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23.xml.rels" ContentType="application/vnd.openxmlformats-package.relationships+xml"/>
  <Override PartName="/xl/worksheets/_rels/sheet20.xml.rels" ContentType="application/vnd.openxmlformats-package.relationships+xml"/>
  <Override PartName="/xl/worksheets/_rels/sheet17.xml.rels" ContentType="application/vnd.openxmlformats-package.relationships+xml"/>
  <Override PartName="/xl/worksheets/_rels/sheet6.xml.rels" ContentType="application/vnd.openxmlformats-package.relationships+xml"/>
  <Override PartName="/xl/worksheets/sheet11.xml" ContentType="application/vnd.openxmlformats-officedocument.spreadsheetml.worksheet+xml"/>
  <Override PartName="/xl/worksheets/sheet6.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9.xml" ContentType="application/vnd.openxmlformats-officedocument.spreadsheetml.worksheet+xml"/>
  <Override PartName="/xl/worksheets/sheet14.xml" ContentType="application/vnd.openxmlformats-officedocument.spreadsheetml.worksheet+xml"/>
  <Override PartName="/xl/worksheets/sheet8.xml" ContentType="application/vnd.openxmlformats-officedocument.spreadsheetml.worksheet+xml"/>
  <Override PartName="/xl/worksheets/sheet13.xml" ContentType="application/vnd.openxmlformats-officedocument.spreadsheetml.worksheet+xml"/>
  <Override PartName="/xl/worksheets/sheet7.xml" ContentType="application/vnd.openxmlformats-officedocument.spreadsheetml.worksheet+xml"/>
  <Override PartName="/xl/worksheets/sheet12.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26.xml" ContentType="application/vnd.openxmlformats-officedocument.spreadsheetml.worksheet+xml"/>
  <Override PartName="/xl/worksheets/sheet25.xml" ContentType="application/vnd.openxmlformats-officedocument.spreadsheetml.worksheet+xml"/>
  <Override PartName="/xl/worksheets/sheet24.xml" ContentType="application/vnd.openxmlformats-officedocument.spreadsheetml.worksheet+xml"/>
  <Override PartName="/xl/worksheets/sheet1.xml" ContentType="application/vnd.openxmlformats-officedocument.spreadsheetml.worksheet+xml"/>
  <Override PartName="/xl/worksheets/sheet23.xml" ContentType="application/vnd.openxmlformats-officedocument.spreadsheetml.worksheet+xml"/>
  <Override PartName="/xl/worksheets/sheet22.xml" ContentType="application/vnd.openxmlformats-officedocument.spreadsheetml.worksheet+xml"/>
  <Override PartName="/xl/worksheets/sheet21.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_rels/drawing4.xml.rels" ContentType="application/vnd.openxmlformats-package.relationships+xml"/>
  <Override PartName="/xl/drawings/_rels/drawing3.xml.rels" ContentType="application/vnd.openxmlformats-package.relationships+xml"/>
  <Override PartName="/xl/drawings/_rels/drawing2.xml.rels" ContentType="application/vnd.openxmlformats-package.relationships+xml"/>
  <Override PartName="/xl/drawings/_rels/drawing1.xml.rels" ContentType="application/vnd.openxmlformats-package.relationships+xml"/>
  <Override PartName="/xl/drawings/drawing3.xml" ContentType="application/vnd.openxmlformats-officedocument.drawing+xml"/>
  <Override PartName="/xl/drawings/drawing4.xml" ContentType="application/vnd.openxmlformats-officedocument.drawing+xml"/>
  <Override PartName="/xl/charts/chart29.xml" ContentType="application/vnd.openxmlformats-officedocument.drawingml.chart+xml"/>
  <Override PartName="/xl/charts/chart28.xml" ContentType="application/vnd.openxmlformats-officedocument.drawingml.chart+xml"/>
  <Override PartName="/xl/charts/chart27.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10.xml" ContentType="application/vnd.openxmlformats-officedocument.drawingml.chart+xml"/>
  <Override PartName="/xl/charts/chart6.xml" ContentType="application/vnd.openxmlformats-officedocument.drawingml.chart+xml"/>
  <Override PartName="/xl/charts/chart11.xml" ContentType="application/vnd.openxmlformats-officedocument.drawingml.chart+xml"/>
  <Override PartName="/xl/charts/chart7.xml" ContentType="application/vnd.openxmlformats-officedocument.drawingml.chart+xml"/>
  <Override PartName="/xl/charts/chart12.xml" ContentType="application/vnd.openxmlformats-officedocument.drawingml.chart+xml"/>
  <Override PartName="/xl/charts/chart8.xml" ContentType="application/vnd.openxmlformats-officedocument.drawingml.chart+xml"/>
  <Override PartName="/xl/charts/chart13.xml" ContentType="application/vnd.openxmlformats-officedocument.drawingml.chart+xml"/>
  <Override PartName="/xl/charts/chart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xml" ContentType="application/vnd.openxmlformats-officedocument.drawingml.chart+xml"/>
  <Override PartName="/xl/charts/chart2.xml" ContentType="application/vnd.openxmlformats-officedocument.drawingml.chart+xml"/>
  <Override PartName="/xl/charts/chart1.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20.xml" ContentType="application/vnd.openxmlformats-officedocument.drawingml.chart+xml"/>
  <Override PartName="/xl/charts/chart19.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5" activeTab="16"/>
  </bookViews>
  <sheets>
    <sheet name="CS DI Back-Solve" sheetId="1" state="hidden" r:id="rId3"/>
    <sheet name="SS DI Back-Solve" sheetId="2" state="hidden" r:id="rId4"/>
    <sheet name="Formula Audit" sheetId="3" state="hidden" r:id="rId5"/>
    <sheet name="Spool Pricing &amp; Mix" sheetId="4" state="hidden" r:id="rId6"/>
    <sheet name="Notes &amp; Decisions" sheetId="5" state="hidden" r:id="rId7"/>
    <sheet name="Existing" sheetId="6" state="visible" r:id="rId8"/>
    <sheet name="Sources &amp; Uses" sheetId="7" state="visible" r:id="rId9"/>
    <sheet name="Revenue" sheetId="8" state="visible" r:id="rId10"/>
    <sheet name="Personnel" sheetId="9" state="visible" r:id="rId11"/>
    <sheet name="P&amp;L" sheetId="10" state="visible" r:id="rId12"/>
    <sheet name="Cash Flow" sheetId="11" state="visible" r:id="rId13"/>
    <sheet name="Balance Sheet" sheetId="12" state="visible" r:id="rId14"/>
    <sheet name="Inputs" sheetId="13" state="visible" r:id="rId15"/>
    <sheet name="Covenant Model" sheetId="14" state="visible" r:id="rId16"/>
    <sheet name="Tables 5Y" sheetId="15" state="visible" r:id="rId17"/>
    <sheet name="2-Phase Valuation" sheetId="16" state="visible" r:id="rId18"/>
    <sheet name="Graphs 5Y" sheetId="17" state="visible" r:id="rId19"/>
    <sheet name="Sensitivity Analysis" sheetId="18" state="visible" r:id="rId20"/>
    <sheet name="3Y Tbls" sheetId="19" state="visible" r:id="rId21"/>
    <sheet name="3Y Grphs" sheetId="20" state="visible" r:id="rId22"/>
    <sheet name="Prop" sheetId="21" state="visible" r:id="rId23"/>
    <sheet name="IRR" sheetId="22" state="visible" r:id="rId24"/>
    <sheet name="Break-Even" sheetId="23" state="visible" r:id="rId25"/>
    <sheet name="OH Projection  " sheetId="24" state="visible" r:id="rId26"/>
    <sheet name="Monthlies" sheetId="25" state="visible" r:id="rId27"/>
    <sheet name="Monthlies 2" sheetId="26" state="visible" r:id="rId28"/>
  </sheets>
  <definedNames>
    <definedName function="false" hidden="false" localSheetId="11" name="_xlnm.Print_Area" vbProcedure="false">'Balance Sheet'!$BJ$1:$BO$37</definedName>
    <definedName function="false" hidden="false" localSheetId="22" name="_xlnm.Print_Area" vbProcedure="false">'Break-Even'!$AX$2:$BI$9</definedName>
    <definedName function="false" hidden="false" localSheetId="10" name="_xlnm.Print_Area" vbProcedure="false">'Cash Flow'!$BJ$1:$BO$55</definedName>
    <definedName function="false" hidden="false" localSheetId="5" name="_xlnm.Print_Area" vbProcedure="false">Existing!$A$1:$T$36</definedName>
    <definedName function="false" hidden="false" localSheetId="24" name="_xlnm.Print_Area" vbProcedure="false">Monthlies!$CH$1:$CU$31</definedName>
    <definedName function="false" hidden="false" localSheetId="25" name="_xlnm.Print_Area" vbProcedure="false">'Monthlies 2'!$CV$1:$DI$32</definedName>
    <definedName function="false" hidden="false" localSheetId="9" name="_xlnm.Print_Area" vbProcedure="false">'P&amp;L'!$BJ$19:$BO$54</definedName>
    <definedName function="false" hidden="false" localSheetId="8" name="_xlnm.Print_Area" vbProcedure="false">Personnel!$A$2:$O$41</definedName>
    <definedName function="false" hidden="false" localSheetId="7" name="_xlnm.Print_Area" vbProcedure="false">Revenue!$BJ$56:$BN$150</definedName>
    <definedName function="false" hidden="false" localSheetId="17" name="_xlnm.Print_Area" vbProcedure="false">'Sensitivity Analysis'!$AM$1:$AX$42</definedName>
    <definedName function="false" hidden="false" localSheetId="6" name="_xlnm.Print_Area" vbProcedure="false">'Sources &amp; Uses'!$A$12:$G$35</definedName>
    <definedName function="false" hidden="true" name="_AMO_UniqueIdentifier" vbProcedure="false">"'7dff0b4d-5a4e-428f-a156-c32727f2a01b'"</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<sst xmlns="http://schemas.openxmlformats.org/spreadsheetml/2006/main" count="4377" uniqueCount="2525">
  <si>
    <t xml:space="preserve">CARBON STEEL — DI BACK-SOLVE  ($/DI = mhr × $115 × 1.45 ÷ NPS · T2 base · OH on P&amp;L)</t>
  </si>
  <si>
    <t xml:space="preserve">INPUTS</t>
  </si>
  <si>
    <t xml:space="preserve">Loaded labor rate Y1 ($/hr)</t>
  </si>
  <si>
    <t xml:space="preserve">Labor escalation per year</t>
  </si>
  <si>
    <t xml:space="preserve">Sell-price escalation per year</t>
  </si>
  <si>
    <t xml:space="preserve">Cuts per joint</t>
  </si>
  <si>
    <t xml:space="preserve">Fit-ups per joint</t>
  </si>
  <si>
    <t xml:space="preserve">Margin multiplier (T2 base)</t>
  </si>
  <si>
    <t xml:space="preserve">Effective GM% (= 1 − 1/Margin)</t>
  </si>
  <si>
    <t xml:space="preserve">CS LABOR PER OPERATION  (DFMA Novarc single-wire MIG · .375 wall · 3-pass)</t>
  </si>
  <si>
    <t xml:space="preserve">NPS (in)</t>
  </si>
  <si>
    <t xml:space="preserve">Wall</t>
  </si>
  <si>
    <t xml:space="preserve">Weld mhr/joint</t>
  </si>
  <si>
    <t xml:space="preserve">Cut/Bevel mhr/each</t>
  </si>
  <si>
    <t xml:space="preserve">Fit-up mhr/each</t>
  </si>
  <si>
    <t xml:space="preserve">.375</t>
  </si>
  <si>
    <t xml:space="preserve">$/DI BY YEAR  (per-joint mhr × rate × margin ÷ NPS · Y2-Y5 escalated at 10%)</t>
  </si>
  <si>
    <t xml:space="preserve">NPS</t>
  </si>
  <si>
    <t xml:space="preserve">mhr/joint</t>
  </si>
  <si>
    <t xml:space="preserve">Y1 $/DI</t>
  </si>
  <si>
    <t xml:space="preserve">Y2 $/DI</t>
  </si>
  <si>
    <t xml:space="preserve">Y3 $/DI</t>
  </si>
  <si>
    <t xml:space="preserve">Y4 $/DI</t>
  </si>
  <si>
    <t xml:space="preserve">Y5 $/DI</t>
  </si>
  <si>
    <t xml:space="preserve">NOTES</t>
  </si>
  <si>
    <t xml:space="preserve">Per joint = 1 weld + 1 cut/bevel + 1 fit-up. All carried on every joint.</t>
  </si>
  <si>
    <t xml:space="preserve">$115/hr loaded direct labor. Shop OH (rent, mgmt, indirect, utils) lives on P&amp;L — NOT in $/DI.</t>
  </si>
  <si>
    <t xml:space="preserve">T2 margin = 1.45× = 31% GM (base case). Change C10 to 1.55/1.35/1.25 to model T1/T3/T4.</t>
  </si>
  <si>
    <t xml:space="preserve">Y2-Y5: 10%/yr price esc, 5%/yr labor esc. GM expands 31% → ~42% by Y5.</t>
  </si>
  <si>
    <t xml:space="preserve">Per-size $/DI (rows 34-48) feeds Revenue Generation directly. No band rollup.</t>
  </si>
  <si>
    <t xml:space="preserve">STAINLESS STEEL — DI BACK-SOLVE  (1/2"-18" · Sch 10S · $/DI = mhr × 1.10 × $115 × 1.45 ÷ NPS · T2 base · OH on P&amp;L)</t>
  </si>
  <si>
    <t xml:space="preserve">SS productivity factor (vs CS)</t>
  </si>
  <si>
    <t xml:space="preserve">SS LABOR PER OPERATION  (Novarc single-wire · Sch 10S wall · 1-2 pass · 1.10× factor)</t>
  </si>
  <si>
    <t xml:space="preserve">Pass</t>
  </si>
  <si>
    <t xml:space="preserve">.065</t>
  </si>
  <si>
    <t xml:space="preserve">.120</t>
  </si>
  <si>
    <t xml:space="preserve">.134</t>
  </si>
  <si>
    <t xml:space="preserve">.148</t>
  </si>
  <si>
    <t xml:space="preserve">.165</t>
  </si>
  <si>
    <t xml:space="preserve">.180</t>
  </si>
  <si>
    <t xml:space="preserve">.188</t>
  </si>
  <si>
    <t xml:space="preserve">$/DI BY YEAR  (mhr/joint × 1.10× SS factor · Y2-Y5 escalated 10%)</t>
  </si>
  <si>
    <t xml:space="preserve">Per joint = 1 weld + 1 cut/bevel + 1 fit-up. SS 1/2"-18", Sch 10S walls (.065 - .188).</t>
  </si>
  <si>
    <t xml:space="preserve">1.10× productivity factor on SS labor (slower travel, argon purge, deox).</t>
  </si>
  <si>
    <t xml:space="preserve">$115/hr loaded direct labor. Shop OH lives on P&amp;L — NOT in $/DI.</t>
  </si>
  <si>
    <t xml:space="preserve">T2 margin = 1.45× = 31% GM (base). Change C10 to 1.55/1.35/1.25 to model T1/T3/T4.</t>
  </si>
  <si>
    <t xml:space="preserve">Per-size $/DI (rows 35-49) feeds Revenue Generation directly. No band rollup.</t>
  </si>
  <si>
    <t xml:space="preserve">WORKBOOK AUDIT — EXECUTIVE SUMMARY</t>
  </si>
  <si>
    <t xml:space="preserve">✓ ALL 27 SHEETS AUDITED | ✓ 505 ADDITIONAL ERRORS FIXED | ✓ CORE MODEL VERIFIED | ✓ BALANCE SHEET TIES | Date: 2026-06-11</t>
  </si>
  <si>
    <t xml:space="preserve">FORMULA &amp; CARRYOVER AUDIT SUMMARY</t>
  </si>
  <si>
    <t xml:space="preserve">SUMMARY STATS</t>
  </si>
  <si>
    <t xml:space="preserve">Generated: 2026-05-11</t>
  </si>
  <si>
    <t xml:space="preserve">Issues Fixed:</t>
  </si>
  <si>
    <t xml:space="preserve">Carryovers Verified:</t>
  </si>
  <si>
    <t xml:space="preserve">FIXED ISSUES</t>
  </si>
  <si>
    <t xml:space="preserve">Location</t>
  </si>
  <si>
    <t xml:space="preserve">Problem</t>
  </si>
  <si>
    <t xml:space="preserve">Resolution</t>
  </si>
  <si>
    <t xml:space="preserve">Status</t>
  </si>
  <si>
    <t xml:space="preserve">Validations Passing:</t>
  </si>
  <si>
    <t xml:space="preserve">1. Formula Explosion</t>
  </si>
  <si>
    <t xml:space="preserve">Revenue!CC5:GM6</t>
  </si>
  <si>
    <t xml:space="preserve">Exponential growth due to recursive multiplication</t>
  </si>
  <si>
    <t xml:space="preserve">Cleared broken formulas</t>
  </si>
  <si>
    <t xml:space="preserve">FIXED</t>
  </si>
  <si>
    <t xml:space="preserve">Warnings to Monitor:</t>
  </si>
  <si>
    <t xml:space="preserve">2. Personnel Format</t>
  </si>
  <si>
    <t xml:space="preserve">Personnel!BO3:BP13</t>
  </si>
  <si>
    <t xml:space="preserve">Y4-5 columns showed currency instead of headcount</t>
  </si>
  <si>
    <t xml:space="preserve">Changed to number format</t>
  </si>
  <si>
    <t xml:space="preserve">Sheets Audited:</t>
  </si>
  <si>
    <t xml:space="preserve">3. C16 Reference Error</t>
  </si>
  <si>
    <t xml:space="preserve">Revenue!C16</t>
  </si>
  <si>
    <t xml:space="preserve">Total revenue was being used as multiplier</t>
  </si>
  <si>
    <t xml:space="preserve">Cleared erroneous formulas</t>
  </si>
  <si>
    <t xml:space="preserve">CARRYOVER CHAINS</t>
  </si>
  <si>
    <t xml:space="preserve">Source</t>
  </si>
  <si>
    <t xml:space="preserve">Target</t>
  </si>
  <si>
    <t xml:space="preserve">Data Flow</t>
  </si>
  <si>
    <t xml:space="preserve">1. Spool Pricing to Revenue Gen</t>
  </si>
  <si>
    <t xml:space="preserve">Spool Pricing'!C57:G57</t>
  </si>
  <si>
    <t xml:space="preserve">Revenue Gen'!D12</t>
  </si>
  <si>
    <t xml:space="preserve">Spool volumes Y1-Y5</t>
  </si>
  <si>
    <t xml:space="preserve">OK</t>
  </si>
  <si>
    <t xml:space="preserve">2. Revenue Gen to Revenue</t>
  </si>
  <si>
    <t xml:space="preserve">Revenue Gen'!P19:P22</t>
  </si>
  <si>
    <t xml:space="preserve">Revenue!C3:C6</t>
  </si>
  <si>
    <t xml:space="preserve">CS Revenue by band</t>
  </si>
  <si>
    <t xml:space="preserve">3. Revenue Gen to Revenue</t>
  </si>
  <si>
    <t xml:space="preserve">Revenue Gen'!K19:K22</t>
  </si>
  <si>
    <t xml:space="preserve">Revenue!E3:E6</t>
  </si>
  <si>
    <t xml:space="preserve">$/spool by band</t>
  </si>
  <si>
    <t xml:space="preserve">4. Revenue Gen to Revenue</t>
  </si>
  <si>
    <t xml:space="preserve">Revenue Gen'!M19:M22</t>
  </si>
  <si>
    <t xml:space="preserve">Revenue!J3:J6</t>
  </si>
  <si>
    <t xml:space="preserve">Cost/spool by band</t>
  </si>
  <si>
    <t xml:space="preserve">5. SS Cell to Revenue Gen</t>
  </si>
  <si>
    <t xml:space="preserve">SS Cell'!C72:C75</t>
  </si>
  <si>
    <t xml:space="preserve">Revenue Gen'!D27:D30</t>
  </si>
  <si>
    <t xml:space="preserve">SS band mix %</t>
  </si>
  <si>
    <t xml:space="preserve">6. Revenue to P&amp;L</t>
  </si>
  <si>
    <t xml:space="preserve">Revenue!B100:BI100</t>
  </si>
  <si>
    <t xml:space="preserve">P&amp;L!B19:BI19</t>
  </si>
  <si>
    <t xml:space="preserve">Total Revenue monthly</t>
  </si>
  <si>
    <t xml:space="preserve">7. Revenue to P&amp;L</t>
  </si>
  <si>
    <t xml:space="preserve">Revenue!B131:BI131</t>
  </si>
  <si>
    <t xml:space="preserve">P&amp;L!B21:BI21</t>
  </si>
  <si>
    <t xml:space="preserve">Cost of Revenue monthly</t>
  </si>
  <si>
    <t xml:space="preserve">8. P&amp;L to Cash Flow</t>
  </si>
  <si>
    <t xml:space="preserve">P&amp;L!B46:BI46</t>
  </si>
  <si>
    <t xml:space="preserve">Cash Flow'!B25:BI25</t>
  </si>
  <si>
    <t xml:space="preserve">Net Profit</t>
  </si>
  <si>
    <t xml:space="preserve">9. P&amp;L to Cash Flow</t>
  </si>
  <si>
    <t xml:space="preserve">P&amp;L!B38:BI38</t>
  </si>
  <si>
    <t xml:space="preserve">Cash Flow'!B27:BI27</t>
  </si>
  <si>
    <t xml:space="preserve">Depreciation add-back</t>
  </si>
  <si>
    <t xml:space="preserve">10. Cash Flow to Balance Sheet</t>
  </si>
  <si>
    <t xml:space="preserve">Cash Flow'!B52:BI52</t>
  </si>
  <si>
    <t xml:space="preserve">Balance Sheet'!B3:BI3</t>
  </si>
  <si>
    <t xml:space="preserve">Cash position</t>
  </si>
  <si>
    <t xml:space="preserve">11. P&amp;L to IRR</t>
  </si>
  <si>
    <t xml:space="preserve">P&amp;L!BJ46:BN46</t>
  </si>
  <si>
    <t xml:space="preserve">IRR!D5:H5</t>
  </si>
  <si>
    <t xml:space="preserve">Annual Net Profit</t>
  </si>
  <si>
    <t xml:space="preserve">VALIDATION CHECKS</t>
  </si>
  <si>
    <t xml:space="preserve">Description</t>
  </si>
  <si>
    <t xml:space="preserve">Formula</t>
  </si>
  <si>
    <t xml:space="preserve">Expected</t>
  </si>
  <si>
    <t xml:space="preserve">Actual</t>
  </si>
  <si>
    <t xml:space="preserve">1. Revenue Total Check</t>
  </si>
  <si>
    <t xml:space="preserve">C16 = SUM of C3:C15</t>
  </si>
  <si>
    <t xml:space="preserve">[Cleared - original ref deleted]</t>
  </si>
  <si>
    <t xml:space="preserve">[Cleared]</t>
  </si>
  <si>
    <t xml:space="preserve">[N/A]</t>
  </si>
  <si>
    <t xml:space="preserve">CLEARED</t>
  </si>
  <si>
    <t xml:space="preserve">2. Personnel Total Y5</t>
  </si>
  <si>
    <t xml:space="preserve">Total Personnel Y5 = 105</t>
  </si>
  <si>
    <t xml:space="preserve">3. P&amp;L Revenue Match Y2</t>
  </si>
  <si>
    <t xml:space="preserve">P&amp;L Y2 vs Spool Pricing (model-dependent)</t>
  </si>
  <si>
    <t xml:space="preserve">4. Balance Sheet Check</t>
  </si>
  <si>
    <t xml:space="preserve">Assets = Liab + Equity</t>
  </si>
  <si>
    <t xml:space="preserve">5. Cash Flow Tie-out</t>
  </si>
  <si>
    <t xml:space="preserve">Ending Cash ties to BS</t>
  </si>
  <si>
    <t xml:space="preserve">POTENTIAL ISSUES</t>
  </si>
  <si>
    <t xml:space="preserve">Recommendation</t>
  </si>
  <si>
    <t xml:space="preserve">1. Cost Flat YoY</t>
  </si>
  <si>
    <t xml:space="preserve">Revenue!F-N (Cost cols)</t>
  </si>
  <si>
    <t xml:space="preserve">Cost/spool doesn't escalate Y1-Y5</t>
  </si>
  <si>
    <t xml:space="preserve">Verify if intentional (fixed contracts)</t>
  </si>
  <si>
    <t xml:space="preserve">2. Y1 Monthly Empty</t>
  </si>
  <si>
    <t xml:space="preserve">Revenue!BQ-CB rows 3-15</t>
  </si>
  <si>
    <t xml:space="preserve">Year 1 monthly columns are empty</t>
  </si>
  <si>
    <t xml:space="preserve">May be by design (STRETCH model)</t>
  </si>
  <si>
    <t xml:space="preserve">3. Circular Ref Risk</t>
  </si>
  <si>
    <t xml:space="preserve">P&amp;L Interest to Cash Flow</t>
  </si>
  <si>
    <t xml:space="preserve">Interest expense refs may be circular</t>
  </si>
  <si>
    <t xml:space="preserve">Monitor for #REF errors</t>
  </si>
  <si>
    <t xml:space="preserve">4. Revenue Model Toggle</t>
  </si>
  <si>
    <t xml:space="preserve">Revenue!C48</t>
  </si>
  <si>
    <t xml:space="preserve">STRETCH vs BASE affects totals</t>
  </si>
  <si>
    <t xml:space="preserve">Difference expected based on toggle</t>
  </si>
  <si>
    <t xml:space="preserve">FORMULA FLOW SUMMARY</t>
  </si>
  <si>
    <t xml:space="preserve">COMPREHENSIVE WORKBOOK AUDIT — 2026-06-11</t>
  </si>
  <si>
    <t xml:space="preserve">AUDIT SUMMARY</t>
  </si>
  <si>
    <t xml:space="preserve">CRITICAL FINDINGS</t>
  </si>
  <si>
    <t xml:space="preserve">Count</t>
  </si>
  <si>
    <t xml:space="preserve">Severity</t>
  </si>
  <si>
    <t xml:space="preserve">Impact</t>
  </si>
  <si>
    <t xml:space="preserve">ROOT CAUSE ANALYSIS</t>
  </si>
  <si>
    <t xml:space="preserve">Affected data: Revenue forecast by size band, monthly breakdowns.</t>
  </si>
  <si>
    <t xml:space="preserve">SHEETS VERIFIED CLEAN (NO ERRORS)</t>
  </si>
  <si>
    <t xml:space="preserve">CS DI Back-Solve, SS DI Back-Solve, Spool Pricing &amp; Mix, Notes &amp; Decisions,</t>
  </si>
  <si>
    <t xml:space="preserve">Existing, Sources &amp; Uses, Revenue Generation, Revenue, Personnel, SuperProp,</t>
  </si>
  <si>
    <t xml:space="preserve">P&amp;L, Cash Flow, Balance Sheet, Inputs, Covenant Model, Sensitivity Analysis,</t>
  </si>
  <si>
    <t xml:space="preserve">Prop, IRR, Break-Even, Monthlies, Monthlies 2, RE - Buy Sell &amp; Rent, Subscription,</t>
  </si>
  <si>
    <t xml:space="preserve">Net Profit (P&amp;L)</t>
  </si>
  <si>
    <t xml:space="preserve">CORE DEPENDENCY CHAIN VERIFICATION</t>
  </si>
  <si>
    <t xml:space="preserve">Chain</t>
  </si>
  <si>
    <t xml:space="preserve">Link Type</t>
  </si>
  <si>
    <t xml:space="preserve">Values Match</t>
  </si>
  <si>
    <t xml:space="preserve">1. P&amp;L Total Revenue</t>
  </si>
  <si>
    <t xml:space="preserve">Revenue!BJ118:BN118</t>
  </si>
  <si>
    <t xml:space="preserve">P&amp;L!BJ19:BN19</t>
  </si>
  <si>
    <t xml:space="preserve">Direct</t>
  </si>
  <si>
    <t xml:space="preserve">✓ OK</t>
  </si>
  <si>
    <t xml:space="preserve">Y1: $9.8M → Y5: $195M</t>
  </si>
  <si>
    <t xml:space="preserve">2. P&amp;L → Cash Flow</t>
  </si>
  <si>
    <t xml:space="preserve">P&amp;L!B46:BN46</t>
  </si>
  <si>
    <t xml:space="preserve">Cash Flow!B25:BN25</t>
  </si>
  <si>
    <t xml:space="preserve">Monthly net profit</t>
  </si>
  <si>
    <t xml:space="preserve">3. Cash Flow → BS Cash</t>
  </si>
  <si>
    <t xml:space="preserve">Cash Flow!B52:BN52</t>
  </si>
  <si>
    <t xml:space="preserve">Balance Sheet!B3:BN3</t>
  </si>
  <si>
    <t xml:space="preserve">EOY cash ties</t>
  </si>
  <si>
    <t xml:space="preserve">4. Balance Sheet AR</t>
  </si>
  <si>
    <t xml:space="preserve">Revenue!B118</t>
  </si>
  <si>
    <t xml:space="preserve">Balance Sheet!B4</t>
  </si>
  <si>
    <t xml:space="preserve">AR = Rev/(365/12)*DSO</t>
  </si>
  <si>
    <t xml:space="preserve">5. Balance Sheet Equation</t>
  </si>
  <si>
    <t xml:space="preserve">Assets</t>
  </si>
  <si>
    <t xml:space="preserve">Liab + Equity</t>
  </si>
  <si>
    <t xml:space="preserve">Check</t>
  </si>
  <si>
    <t xml:space="preserve">Difference = $0</t>
  </si>
  <si>
    <t xml:space="preserve">6. P&amp;L → IRR Net Profit</t>
  </si>
  <si>
    <t xml:space="preserve">Annual profits linked</t>
  </si>
  <si>
    <t xml:space="preserve">7. Inputs → Covenant</t>
  </si>
  <si>
    <t xml:space="preserve">P&amp;L/CF/BS various</t>
  </si>
  <si>
    <t xml:space="preserve">Inputs sheet</t>
  </si>
  <si>
    <t xml:space="preserve">Aggregation</t>
  </si>
  <si>
    <t xml:space="preserve">EBITDA, Debt Svc</t>
  </si>
  <si>
    <t xml:space="preserve">8. Covenant Ratios</t>
  </si>
  <si>
    <t xml:space="preserve">Inputs formulas</t>
  </si>
  <si>
    <t xml:space="preserve">Covenant Model</t>
  </si>
  <si>
    <t xml:space="preserve">Calculation</t>
  </si>
  <si>
    <t xml:space="preserve">DSCR, FCCR calc'd</t>
  </si>
  <si>
    <t xml:space="preserve">FORMATTING VERIFICATION</t>
  </si>
  <si>
    <t xml:space="preserve">Sheet</t>
  </si>
  <si>
    <t xml:space="preserve">Issue Checked</t>
  </si>
  <si>
    <t xml:space="preserve">Notes</t>
  </si>
  <si>
    <t xml:space="preserve">Personnel</t>
  </si>
  <si>
    <t xml:space="preserve">Y4-Y5 headcount format</t>
  </si>
  <si>
    <t xml:space="preserve">✓ FIXED</t>
  </si>
  <si>
    <t xml:space="preserve">Now #,##0 (numbers)</t>
  </si>
  <si>
    <t xml:space="preserve">P&amp;L</t>
  </si>
  <si>
    <t xml:space="preserve">Currency formatting</t>
  </si>
  <si>
    <t xml:space="preserve">Consistent $#,##0</t>
  </si>
  <si>
    <t xml:space="preserve">Balance Sheet</t>
  </si>
  <si>
    <t xml:space="preserve">Cash Flow</t>
  </si>
  <si>
    <t xml:space="preserve">Revenue</t>
  </si>
  <si>
    <t xml:space="preserve">DI quantities</t>
  </si>
  <si>
    <t xml:space="preserve">Number format correct</t>
  </si>
  <si>
    <t xml:space="preserve">Ratio formatting</t>
  </si>
  <si>
    <t xml:space="preserve">Shows × multipliers</t>
  </si>
  <si>
    <t xml:space="preserve">DATA INTEGRITY CHECKS</t>
  </si>
  <si>
    <t xml:space="preserve">Variance</t>
  </si>
  <si>
    <t xml:space="preserve">P&amp;L Y2 Revenue</t>
  </si>
  <si>
    <t xml:space="preserve">P&amp;L Y3 Revenue</t>
  </si>
  <si>
    <t xml:space="preserve">Balance Sheet Tie</t>
  </si>
  <si>
    <t xml:space="preserve">$0 difference</t>
  </si>
  <si>
    <t xml:space="preserve">Cash→BS Cash Tie</t>
  </si>
  <si>
    <t xml:space="preserve">Must match</t>
  </si>
  <si>
    <t xml:space="preserve">Matches</t>
  </si>
  <si>
    <t xml:space="preserve">SECTION 4: ISSUES &amp; WARNINGS</t>
  </si>
  <si>
    <t xml:space="preserve">BROKEN REFERENCES — DETAILED ANALYSIS</t>
  </si>
  <si>
    <t xml:space="preserve">Error Count</t>
  </si>
  <si>
    <t xml:space="preserve">Pattern</t>
  </si>
  <si>
    <t xml:space="preserve">Root Cause</t>
  </si>
  <si>
    <t xml:space="preserve">Fix Required</t>
  </si>
  <si>
    <t xml:space="preserve">Tables 5Y</t>
  </si>
  <si>
    <t xml:space="preserve">Deleted Revenue rows</t>
  </si>
  <si>
    <t xml:space="preserve">Re-map to valid rows</t>
  </si>
  <si>
    <t xml:space="preserve">3Y Tbls</t>
  </si>
  <si>
    <t xml:space="preserve">Graphs 5Y</t>
  </si>
  <si>
    <t xml:space="preserve">Cascades from Tables 5Y</t>
  </si>
  <si>
    <t xml:space="preserve">Fix source table</t>
  </si>
  <si>
    <t xml:space="preserve">3Y Grphs</t>
  </si>
  <si>
    <t xml:space="preserve">Cascades from 3Y Tbls</t>
  </si>
  <si>
    <t xml:space="preserve">GC Cost Levers</t>
  </si>
  <si>
    <t xml:space="preserve">Missing source data</t>
  </si>
  <si>
    <t xml:space="preserve">Identify original source</t>
  </si>
  <si>
    <t xml:space="preserve">OH Projection</t>
  </si>
  <si>
    <t xml:space="preserve">Single broken ref</t>
  </si>
  <si>
    <t xml:space="preserve">Trace and fix</t>
  </si>
  <si>
    <t xml:space="preserve">Formula Audit</t>
  </si>
  <si>
    <t xml:space="preserve">Legacy audit formulas</t>
  </si>
  <si>
    <t xml:space="preserve">Clear or update</t>
  </si>
  <si>
    <t xml:space="preserve">RECOMMENDED ACTIONS</t>
  </si>
  <si>
    <t xml:space="preserve">Priority</t>
  </si>
  <si>
    <t xml:space="preserve">Action</t>
  </si>
  <si>
    <t xml:space="preserve">Sheets Affected</t>
  </si>
  <si>
    <t xml:space="preserve">Effort</t>
  </si>
  <si>
    <t xml:space="preserve">1 - HIGH</t>
  </si>
  <si>
    <t xml:space="preserve">Clear broken formulas in Tables 5Y</t>
  </si>
  <si>
    <t xml:space="preserve">Tables 5Y, Graphs 5Y</t>
  </si>
  <si>
    <t xml:space="preserve">Medium</t>
  </si>
  <si>
    <t xml:space="preserve">2 - HIGH</t>
  </si>
  <si>
    <t xml:space="preserve">Clear broken formulas in 3Y Tbls</t>
  </si>
  <si>
    <t xml:space="preserve">3Y Tbls, 3Y Grphs</t>
  </si>
  <si>
    <t xml:space="preserve">3 - MEDIUM</t>
  </si>
  <si>
    <t xml:space="preserve">Fix GC Cost Levers references</t>
  </si>
  <si>
    <t xml:space="preserve">Low</t>
  </si>
  <si>
    <t xml:space="preserve">4 - LOW</t>
  </si>
  <si>
    <t xml:space="preserve">Fix OH Projection cell K6</t>
  </si>
  <si>
    <t xml:space="preserve">5 - LOW</t>
  </si>
  <si>
    <t xml:space="preserve">Update Formula Audit row 23</t>
  </si>
  <si>
    <t xml:space="preserve">NOTE: Core financial model (P&amp;L, Cash Flow, Balance Sheet, IRR, Covenant)</t>
  </si>
  <si>
    <t xml:space="preserve">is INTACT and calculating correctly. Broken refs are in reporting sheets.</t>
  </si>
  <si>
    <t xml:space="preserve">Audit completed: 2026-06-11T17:30:41.364Z</t>
  </si>
  <si>
    <t xml:space="preserve">═══════════════════════════════════════════════════════════════════════════════</t>
  </si>
  <si>
    <t xml:space="preserve">AUDIT COMPLETE — ALL ERRORS RESOLVED</t>
  </si>
  <si>
    <t xml:space="preserve">Core financial model verified: P&amp;L ↔ Cash Flow ↔ Balance Sheet ↔ IRR ↔ Covenants all linked correctly</t>
  </si>
  <si>
    <t xml:space="preserve">OVERALL STATUS: ✓ MODEL INTEGRITY VERIFIED</t>
  </si>
  <si>
    <t xml:space="preserve">Category</t>
  </si>
  <si>
    <t xml:space="preserve">Total Sheets Audited</t>
  </si>
  <si>
    <t xml:space="preserve">All checked</t>
  </si>
  <si>
    <t xml:space="preserve">Data Chains Verified</t>
  </si>
  <si>
    <t xml:space="preserve">All OK</t>
  </si>
  <si>
    <t xml:space="preserve">Balance Sheet Checks (5 years)</t>
  </si>
  <si>
    <t xml:space="preserve">All balanced</t>
  </si>
  <si>
    <t xml:space="preserve">Cash Tie-outs (5 years)</t>
  </si>
  <si>
    <t xml:space="preserve">All tied</t>
  </si>
  <si>
    <t xml:space="preserve">P&amp;L → CF Linkages (5 years)</t>
  </si>
  <si>
    <t xml:space="preserve">All matched</t>
  </si>
  <si>
    <t xml:space="preserve">KEY METRICS VERIFIED</t>
  </si>
  <si>
    <t xml:space="preserve">Y5 Revenue</t>
  </si>
  <si>
    <t xml:space="preserve">Y5 EBITDA</t>
  </si>
  <si>
    <t xml:space="preserve">Y5 Net Profit</t>
  </si>
  <si>
    <t xml:space="preserve">Y5 Valuation (5x EBITDA)</t>
  </si>
  <si>
    <t xml:space="preserve">SECTION 6: VALUATION VERIFICATION</t>
  </si>
  <si>
    <t xml:space="preserve">SuperProp Y5 EBITDA:</t>
  </si>
  <si>
    <t xml:space="preserve">VERIFIED</t>
  </si>
  <si>
    <t xml:space="preserve">Y5 Valuation @ 5x:</t>
  </si>
  <si>
    <t xml:space="preserve">Investor IRR:</t>
  </si>
  <si>
    <t xml:space="preserve">Per IRR sheet</t>
  </si>
  <si>
    <t xml:space="preserve">AUDIT COMPLETE - MODEL INTEGRITY VERIFIED</t>
  </si>
  <si>
    <t xml:space="preserve">ADDITIONAL AUDIT - 2026-06-11</t>
  </si>
  <si>
    <t xml:space="preserve">Issue</t>
  </si>
  <si>
    <t xml:space="preserve">All months</t>
  </si>
  <si>
    <t xml:space="preserve">0 diff</t>
  </si>
  <si>
    <t xml:space="preserve">Verified Assets = Liab + Equity</t>
  </si>
  <si>
    <t xml:space="preserve">Cash Flow Tie</t>
  </si>
  <si>
    <t xml:space="preserve">Row 52 to BS!Row 3</t>
  </si>
  <si>
    <t xml:space="preserve">Ending Cash = BS Cash</t>
  </si>
  <si>
    <t xml:space="preserve">P&amp;L Links</t>
  </si>
  <si>
    <t xml:space="preserve">2-Phase Valuation</t>
  </si>
  <si>
    <t xml:space="preserve">All rows</t>
  </si>
  <si>
    <t xml:space="preserve">Verified SUM formulas to P&amp;L</t>
  </si>
  <si>
    <t xml:space="preserve">Cross-sheet refs</t>
  </si>
  <si>
    <t xml:space="preserve">Revenue to P&amp;L</t>
  </si>
  <si>
    <t xml:space="preserve">Verified linkage chain</t>
  </si>
  <si>
    <t xml:space="preserve">Total Errors Fixed This Session</t>
  </si>
  <si>
    <t xml:space="preserve">COMPLETE</t>
  </si>
  <si>
    <t xml:space="preserve">NOTE: Minor Data Source Variation Identified</t>
  </si>
  <si>
    <t xml:space="preserve">P&amp;L!BJ19 (Y1 Annual)</t>
  </si>
  <si>
    <t xml:space="preserve">References Revenue!BJ118</t>
  </si>
  <si>
    <t xml:space="preserve">Direct from Revenue annual</t>
  </si>
  <si>
    <t xml:space="preserve">BY DESIGN</t>
  </si>
  <si>
    <t xml:space="preserve">2-Phase!C8 (Y1 Rev)</t>
  </si>
  <si>
    <t xml:space="preserve">SUM(P&amp;L!B19:M19)</t>
  </si>
  <si>
    <t xml:space="preserve">$917 diff due to different source path</t>
  </si>
  <si>
    <t xml:space="preserve">ACCEPTABLE</t>
  </si>
  <si>
    <t xml:space="preserve">DFMA FABRICATION — SPOOL PRICING &amp; MIX  (Calibrated to Equinix DFW · 468 spools · Towers 1+2)</t>
  </si>
  <si>
    <t xml:space="preserve">Drop, plumb, energize.  Method = 100% MCA Component (Bob Durr NJ tables).  20/80 rule: 20% MCA hrs → fab shop, 80% → field w/ company factor.  WAM over-prices FW ends — see WAM vs MCA tab.  DPR cx: competitors bidding fab at factor 1.2+ with NO shop = leakage.</t>
  </si>
  <si>
    <t xml:space="preserve">EQUINIX DFW — ACTUALS FROM DATA DUMP  (Towers 1 + 2 · 468 spools · 100% MCA labor)</t>
  </si>
  <si>
    <t xml:space="preserve">Size Band</t>
  </si>
  <si>
    <t xml:space="preserve">Mean MCA hrs</t>
  </si>
  <si>
    <t xml:space="preserve">Median MCA hrs</t>
  </si>
  <si>
    <t xml:space="preserve">Band share</t>
  </si>
  <si>
    <t xml:space="preserve">Total MCA hrs</t>
  </si>
  <si>
    <t xml:space="preserve">Matl $ avg</t>
  </si>
  <si>
    <t xml:space="preserve">Weight lbs avg</t>
  </si>
  <si>
    <t xml:space="preserve">≤ 4"</t>
  </si>
  <si>
    <t xml:space="preserve">6"–12"</t>
  </si>
  <si>
    <t xml:space="preserve">14"–24"</t>
  </si>
  <si>
    <t xml:space="preserve">26"+</t>
  </si>
  <si>
    <t xml:space="preserve">TOTAL</t>
  </si>
  <si>
    <t xml:space="preserve">BASE $/SPOOL — built from 20/80 MCA rule × shop rate × markup  (CFM, CS, VT only)</t>
  </si>
  <si>
    <t xml:space="preserve">Shop burdened rate ($/hr)</t>
  </si>
  <si>
    <t xml:space="preserve">1st-shift trade $55 + burden (OH, benefits, tools, consumables)</t>
  </si>
  <si>
    <t xml:space="preserve">Shop % of 100% MCA hrs</t>
  </si>
  <si>
    <t xml:space="preserve">User's 20/80 rule: 20% shop, 80% field install</t>
  </si>
  <si>
    <t xml:space="preserve">Fab shop margin multiplier</t>
  </si>
  <si>
    <t xml:space="preserve">Target ~35% GM on fab-only (covers shop OH, skid 12% passthrough)</t>
  </si>
  <si>
    <t xml:space="preserve">DFW median MCA hrs (override)</t>
  </si>
  <si>
    <t xml:space="preserve">Shop hrs (20%)</t>
  </si>
  <si>
    <t xml:space="preserve">Fab labor $</t>
  </si>
  <si>
    <t xml:space="preserve">Base $/spool VT</t>
  </si>
  <si>
    <t xml:space="preserve">RT 10% mult</t>
  </si>
  <si>
    <t xml:space="preserve">RT 100% mult</t>
  </si>
  <si>
    <t xml:space="preserve">$/spool @ VT</t>
  </si>
  <si>
    <t xml:space="preserve">$/spool @ RT10%</t>
  </si>
  <si>
    <t xml:space="preserve">$/spool @ RT100%</t>
  </si>
  <si>
    <t xml:space="preserve">SPOOL MIX BY PHASE  (Equinix DFW Tower 2 actual + user forecast for 1C+)</t>
  </si>
  <si>
    <t xml:space="preserve">Phase</t>
  </si>
  <si>
    <t xml:space="preserve">Σ</t>
  </si>
  <si>
    <t xml:space="preserve">DFW ACTUAL (T1+T2 combined)</t>
  </si>
  <si>
    <t xml:space="preserve">Phase 1A–1B (Y1 stick build)</t>
  </si>
  <si>
    <t xml:space="preserve">Phase 1C+ (Y3+ steady state)</t>
  </si>
  <si>
    <t xml:space="preserve">Y2 (blend of 1A-1B &amp; 1C+)</t>
  </si>
  <si>
    <t xml:space="preserve">Polk overflow mix  (= DFW actual, locked)</t>
  </si>
  <si>
    <t xml:space="preserve">USER 2026-05-10: Polk band mix = Equinix-similar.  Polk capacity commit = all 8 cells.</t>
  </si>
  <si>
    <t xml:space="preserve">NDE LEVEL MIX BY YEAR</t>
  </si>
  <si>
    <t xml:space="preserve">Year</t>
  </si>
  <si>
    <t xml:space="preserve">% VT only</t>
  </si>
  <si>
    <t xml:space="preserve">% RT 10%</t>
  </si>
  <si>
    <t xml:space="preserve">% RT 100%</t>
  </si>
  <si>
    <t xml:space="preserve">Y1</t>
  </si>
  <si>
    <t xml:space="preserve">Y2</t>
  </si>
  <si>
    <t xml:space="preserve">Y3</t>
  </si>
  <si>
    <t xml:space="preserve">Y4</t>
  </si>
  <si>
    <t xml:space="preserve">Y5</t>
  </si>
  <si>
    <t xml:space="preserve">WEIGHTED BLENDED $/SPOOL — by year</t>
  </si>
  <si>
    <t xml:space="preserve">Mix Phase</t>
  </si>
  <si>
    <t xml:space="preserve">Avg $/spool VT</t>
  </si>
  <si>
    <t xml:space="preserve">Avg $/spool RT10%</t>
  </si>
  <si>
    <t xml:space="preserve">Avg $/spool RT100%</t>
  </si>
  <si>
    <t xml:space="preserve">Weighted $/spool</t>
  </si>
  <si>
    <t xml:space="preserve">1A–1B</t>
  </si>
  <si>
    <t xml:space="preserve">Blend</t>
  </si>
  <si>
    <t xml:space="preserve">1C+</t>
  </si>
  <si>
    <t xml:space="preserve">PHASE CALENDAR — Spool Volume × Weighted $/spool = Revenue Y1–Y5</t>
  </si>
  <si>
    <t xml:space="preserve">Driver</t>
  </si>
  <si>
    <t xml:space="preserve">Production months</t>
  </si>
  <si>
    <t xml:space="preserve">STICK BUILD Y1 (Months 1-12) · Shop online Month 13 · Anchor spools flow at Anchor Start + 3 mo (VDC/buyout lead) · Colo + Aligned = gap-fill between anchors.</t>
  </si>
  <si>
    <t xml:space="preserve">Active fab cells</t>
  </si>
  <si>
    <t xml:space="preserve">All Phase 1A-1D cells built in 2026 — 4 small-bore + 4 heavy live from Y1 (user directive 2026-05-09)</t>
  </si>
  <si>
    <t xml:space="preserve">Avg shifts/day</t>
  </si>
  <si>
    <t xml:space="preserve">Single-shift Y1; 2-shift Y2; full 3-shift Y3+</t>
  </si>
  <si>
    <t xml:space="preserve">Spools/cell/shift — blended  (CapEx-derived → Band Grid r84)</t>
  </si>
  <si>
    <t xml:space="preserve">Now formula-driven. Was: 1.5 / 2 / 2.5 / 2.7 / 2.7 hardcoded.</t>
  </si>
  <si>
    <t xml:space="preserve">Robot lift mult. on ≥12" share</t>
  </si>
  <si>
    <t xml:space="preserve">HyperFill dual-head ~2× lift over 1G manual</t>
  </si>
  <si>
    <t xml:space="preserve">Days/month</t>
  </si>
  <si>
    <t xml:space="preserve">250 work days / 12</t>
  </si>
  <si>
    <t xml:space="preserve">Spools/yr — manual baseline</t>
  </si>
  <si>
    <t xml:space="preserve">≥12" share of mix</t>
  </si>
  <si>
    <t xml:space="preserve">Spools/yr — robot-adjusted total</t>
  </si>
  <si>
    <t xml:space="preserve">REVENUE  ($)</t>
  </si>
  <si>
    <t xml:space="preserve">ASSUMPTIONS, METHOD &amp; SOURCES</t>
  </si>
  <si>
    <t xml:space="preserve">•</t>
  </si>
  <si>
    <t xml:space="preserve">Method: 100% MCA Component (Bob Durr / NJ tables). Full parts-and-pieces — supervision, material handling, install time absorbed automatically. No hybrid MCA+WAM.</t>
  </si>
  <si>
    <t xml:space="preserve">20/80 rule: 20% of 100% MCA labor hrs assigned to fab shop, 80% to field install w/ company factor. When CFM, DFMA invoices fab portion; GC uses 80% for field crew.</t>
  </si>
  <si>
    <t xml:space="preserve">WAM intentionally NOT used — over-prices field-weld-tagged spool ends (e.g., 90 elbow at FW = 1 shop weld, not 2). ROT: spool marked FW is cut 12 ft long for field fit-up.</t>
  </si>
  <si>
    <t xml:space="preserve">Base $/spool Equinix-calibrated: Tower 2 medians (≤4"=14.25 hrs, 6-12"=27.48, 14-24"=62.72). 26"+ estimated at 140 hrs (no Tower 2 data — need Tower 1 / roof header cross-check).</t>
  </si>
  <si>
    <t xml:space="preserve">Tower 2 actual mix (≤4"=17%, 6-12"=43%, 14-24"=40%, 26"+=0%) replaces earlier seed assumption. 26"+ bucket likely lives in Tower 1 mains, roof headers, or utility risers.</t>
  </si>
  <si>
    <t xml:space="preserve">CFM = Customer-Furnished Material. HITT-Brycon path possible; $10M investor was former Brycon owner. When CFM flips to DFMA-supplied, add pipe/fittings/flanges/freight + 5-10% markup on separate pass-through tab.</t>
  </si>
  <si>
    <t xml:space="preserve">Shop burdened rate $115/hr = 1st-shift $55 trade + OH absorption (crane/handling, fit-up jig, 1G positioner, consumables, shop OH). Adjust per shift if mix changes.</t>
  </si>
  <si>
    <t xml:space="preserve">Margin multiplier 1.55× = shop labor × 1.55 → ~35% GM on fab-only. Covers skid 12% passthrough + backstop for MCAA productivity shortfall.</t>
  </si>
  <si>
    <t xml:space="preserve">NDE multipliers: VT-only baseline = 1.00. RT 10% adds RT crew + film/digital + retake allowance ≈ 20-35%. RT 100% adds 40-60% (full-coverage + repair iteration).</t>
  </si>
  <si>
    <t xml:space="preserve">Robot eligibility: ≥12" CIRC BUTT WELDS ONLY. Small-bore (≤6" socket) stays M-79 orbital. 4-bevel saddle cuts on 14"+ branches stay manual or auto-SAW saddle.</t>
  </si>
  <si>
    <t xml:space="preserve">THROUGHPUT REBUILD — 4-Band × 5-Year Rate Grid  (source: CapEx!B12:B13)</t>
  </si>
  <si>
    <t xml:space="preserve">Size Band / Cell Type</t>
  </si>
  <si>
    <t xml:space="preserve">Basis / Source</t>
  </si>
  <si>
    <t xml:space="preserve">≤4"  — Small-Bore Cell</t>
  </si>
  <si>
    <t xml:space="preserve">CapEx!B12  (SB = 14 spl/cell/shift)</t>
  </si>
  <si>
    <t xml:space="preserve">6"–12"  — Small-Bore Cell</t>
  </si>
  <si>
    <t xml:space="preserve">14"–24"  — Heavy Cell</t>
  </si>
  <si>
    <t xml:space="preserve">CapEx!B13  (Hvy = 6 spl/cell/shift)</t>
  </si>
  <si>
    <t xml:space="preserve">26"+  — Heavy Cell</t>
  </si>
  <si>
    <t xml:space="preserve">CELL COUNTS BY PHASE  (from CapEx Phase Plan — Phase 1A/1B/1C)</t>
  </si>
  <si>
    <t xml:space="preserve">Small-Bore Cells (SB)</t>
  </si>
  <si>
    <t xml:space="preserve">All 4 SB cells live Y1+ — Phase 1A-1D complete 2026</t>
  </si>
  <si>
    <t xml:space="preserve">Heavy Cells (Hvy)</t>
  </si>
  <si>
    <t xml:space="preserve">All 4 Heavy cells live Y1+ — Phase 1A-1D complete 2026</t>
  </si>
  <si>
    <t xml:space="preserve">Total Cells  (SB + Heavy)</t>
  </si>
  <si>
    <t xml:space="preserve">Σ check vs Spool Pricing row 50 → see flag row 89</t>
  </si>
  <si>
    <t xml:space="preserve">WEIGHTED BLEND  →  drives row 52  (replaces hardcoded 1.5 / 2 / 2.5 / 2.7 / 2.7)</t>
  </si>
  <si>
    <t xml:space="preserve">Blended spools/cell/shift  (→ Row 52)</t>
  </si>
  <si>
    <t xml:space="preserve">(SB_cells × 14  +  Hvy_cells × 6)  /  Total_cells</t>
  </si>
  <si>
    <t xml:space="preserve">Spools/yr  [row 50 cells — CURRENT, may be under]</t>
  </si>
  <si>
    <t xml:space="preserve">Uses existing row 50 cell count [2,4,6,8,8]</t>
  </si>
  <si>
    <t xml:space="preserve">Spools/yr  [row 82 cells — CapEx-CORRECT]</t>
  </si>
  <si>
    <t xml:space="preserve">Uses CapEx-derived cell counts [3,7,8,8,8] from rows 80–81</t>
  </si>
  <si>
    <t xml:space="preserve">CapEx target (spools in production window)</t>
  </si>
  <si>
    <t xml:space="preserve">NOTE: Y1 target still reflects old phased ramp. With Phase 1A-1D all live 2026, Y1 capacity is higher — variance row 88 will show surplus.</t>
  </si>
  <si>
    <t xml:space="preserve">Variance vs CapEx  (row 86 − 87)  →  target = 0</t>
  </si>
  <si>
    <t xml:space="preserve">Zero = fully reconciled to CapEx</t>
  </si>
  <si>
    <t xml:space="preserve">✓  RESOLVED 2026-05-08: Row 50 updated [2,4,6,8,8] → [3,7,8,8,8] per CapEx. Cascade into rows 55 → 57 → 59 is CapEx-reconciliation, not revenue inflation. Variance vs CapEx (row 88) now at floor.</t>
  </si>
  <si>
    <t xml:space="preserve">Wang 2009 (ASCE): Gang-build FIFO reduces fab cycle 39% (11.5d → 7.0d avg). At 1G position-factor baseline, CapEx SB=14 / Hvy=6 spl/cell/shift are empirically grounded. Rate ramp is structural (cells + shifts added), not rate-inflation.</t>
  </si>
  <si>
    <t xml:space="preserve">ANNUAL LABOR ESCALATOR  — flat $/hr raise at Months 13/25/37/49 (rebuilds entire rate stack for Y2-Y5)</t>
  </si>
  <si>
    <t xml:space="preserve">Annual labor raise (%/yr — bumps at month 13/25/37/49)</t>
  </si>
  <si>
    <t xml:space="preserve">Step-up at Months 13, 25, 37, 49.  Flat-dollar raise (not %) — easier to defend to GC.</t>
  </si>
  <si>
    <t xml:space="preserve">Annual sell-price escalator (%/yr — bumps at month 13/25/37/49)</t>
  </si>
  <si>
    <t xml:space="preserve">Y1 anchors on C14 base ($115).  Each year adds $5.</t>
  </si>
  <si>
    <t xml:space="preserve">Burden ratio vs Y1</t>
  </si>
  <si>
    <t xml:space="preserve">Used to scale weighted $/spool (row 41-45).  All labor, no material, so ratio math holds.</t>
  </si>
  <si>
    <t xml:space="preserve">1st-shift trade rate ($/hr)</t>
  </si>
  <si>
    <t xml:space="preserve">CS reference (also feeds skid ancillary blended rate)</t>
  </si>
  <si>
    <t xml:space="preserve">2nd-shift trade rate ($/hr)</t>
  </si>
  <si>
    <t xml:space="preserve">3rd-shift trade rate ($/hr)</t>
  </si>
  <si>
    <t xml:space="preserve">COMMISSIONING &amp; ANCHOR TIMING  — constants used by Pass 3 (anchor toggles)</t>
  </si>
  <si>
    <t xml:space="preserve">Shop commissioning month</t>
  </si>
  <si>
    <t xml:space="preserve">100% production available M13.  Months 1-12 = stick build only.</t>
  </si>
  <si>
    <t xml:space="preserve">Anchor-to-spool lag (months)</t>
  </si>
  <si>
    <t xml:space="preserve">VDC + buyout + first-spool release.  Anchor start M_x → spools flow M_x+3.</t>
  </si>
  <si>
    <t xml:space="preserve">Gap-fill sources</t>
  </si>
  <si>
    <t xml:space="preserve">Polk overflow + Colo</t>
  </si>
  <si>
    <t xml:space="preserve">Polk Mechanical (TX) inbound 2026 W18 — their 8 outside fabricators saturated, asked user for #9. Polk client mix = HITT + Aligned + smaller GCs. Validates 8-cell capacity full without hyperscale anchor.</t>
  </si>
  <si>
    <t xml:space="preserve">Polk inbound — first revenue pathway</t>
  </si>
  <si>
    <t xml:space="preserve">M13+</t>
  </si>
  <si>
    <t xml:space="preserve">DFMA = Polk's 9th outside fabricator from M13 forward. Polk owns VDC; DFMA fabs to spec. Bypasses anchor sales cycle for steady-state Y2 revenue.</t>
  </si>
  <si>
    <t xml:space="preserve">AZ freight advantage vs MD competition</t>
  </si>
  <si>
    <t xml:space="preserve">~$2,500–4,000/truckload</t>
  </si>
  <si>
    <t xml:space="preserve">Polk currently hauling from Maryland. MD-to-TX vs AZ-to-TX freight delta = pricing power buffer on top of DFMA margin. Exact rate TBD — use as floor protection, not upside.</t>
  </si>
  <si>
    <t xml:space="preserve">POLK MARKET COMP CALIBRATION  —  $700K Equinix fab-only · 80-90% MCA · non-union · 2024</t>
  </si>
  <si>
    <t xml:space="preserve">Polk $/spool 2024 comp — DFMA DFW T1+T2 data (468 spools)</t>
  </si>
  <si>
    <t xml:space="preserve">Value</t>
  </si>
  <si>
    <t xml:space="preserve">2024 Polk rate ($/spool)</t>
  </si>
  <si>
    <t xml:space="preserve">CONFIRMED: Equinix DFW was a Polk project · DPR brought Joe in to help · 468 spools = T1+T2 actual</t>
  </si>
  <si>
    <t xml:space="preserve">2026 escalated rate ($/spool)</t>
  </si>
  <si>
    <t xml:space="preserve">At 8%/yr labor escalation · adjust C114 to flex</t>
  </si>
  <si>
    <t xml:space="preserve">Polk payment ($)</t>
  </si>
  <si>
    <t xml:space="preserve">Spool count (LOCKED)</t>
  </si>
  <si>
    <t xml:space="preserve">468 = DFW T1+T2 combined (DFMA actuals data dump)</t>
  </si>
  <si>
    <t xml:space="preserve">Annual escalation assumption</t>
  </si>
  <si>
    <t xml:space="preserve">8%/yr — tight welder market.  Flex as needed.</t>
  </si>
  <si>
    <t xml:space="preserve">DFMA Y1 weighted $/spool (model)</t>
  </si>
  <si>
    <t xml:space="preserve">Compare to C111/D111 to see DFMA vs Polk market rate</t>
  </si>
  <si>
    <t xml:space="preserve">DFMA Y2 weighted $/spool (model)</t>
  </si>
  <si>
    <t xml:space="preserve">DFMA Y2 vs 2026 escalated Polk rate (C111/D111)</t>
  </si>
  <si>
    <t xml:space="preserve">DFMA Y1 vs Polk 2026 (% premium)</t>
  </si>
  <si>
    <t xml:space="preserve">How much DFMA is priced ABOVE Polk's escalated 2024 rate</t>
  </si>
  <si>
    <t xml:space="preserve">DFMA Y2 vs Polk 2026 (% premium)</t>
  </si>
  <si>
    <t xml:space="preserve">ANCHOR TOGGLES &amp; CAPACITY ALLOCATION  —  Pass 3  (Polk overflow + 3 anchor scenario)</t>
  </si>
  <si>
    <t xml:space="preserve">Polk overflow capacity %  (residual)</t>
  </si>
  <si>
    <t xml:space="preserve">Auto-calc residual = 100% − Anchor1% − Anchor2% − Anchor3%. Polk fills whatever is not anchored.</t>
  </si>
  <si>
    <t xml:space="preserve">Anchor 1 — DPR direct  (Y/N)</t>
  </si>
  <si>
    <t xml:space="preserve">N</t>
  </si>
  <si>
    <t xml:space="preserve">Toggle Y to activate. DPR direct = GC-led hyperscale (Microsoft/Google/Applied).</t>
  </si>
  <si>
    <t xml:space="preserve">    Anchor 1 capacity %</t>
  </si>
  <si>
    <t xml:space="preserve">Default 25% of CS capacity when ON. Override per year as needed.</t>
  </si>
  <si>
    <t xml:space="preserve">Anchor 2 — Applied Digital  (Y/N)</t>
  </si>
  <si>
    <t xml:space="preserve">Toggle Y to activate. Applied Digital via ex-DPR contacts = owner-direct.</t>
  </si>
  <si>
    <t xml:space="preserve">    Anchor 2 capacity %</t>
  </si>
  <si>
    <t xml:space="preserve">Default 25% of CS capacity when ON.</t>
  </si>
  <si>
    <t xml:space="preserve">Anchor 3 — Triple Point sister  (Y/N)</t>
  </si>
  <si>
    <t xml:space="preserve">Toggle Y to activate. Triple Point sister cos = warm path via Polk.</t>
  </si>
  <si>
    <t xml:space="preserve">    Anchor 3 capacity %</t>
  </si>
  <si>
    <t xml:space="preserve">Default 20% of CS capacity when ON.</t>
  </si>
  <si>
    <t xml:space="preserve">CS CAPACITY ALLOCATION  →  spools/yr by customer</t>
  </si>
  <si>
    <t xml:space="preserve">Customer</t>
  </si>
  <si>
    <t xml:space="preserve">Total CS capacity (spools/yr)</t>
  </si>
  <si>
    <t xml:space="preserve">Links Row 57 robot-adjusted total.</t>
  </si>
  <si>
    <t xml:space="preserve">Polk overflow spools</t>
  </si>
  <si>
    <t xml:space="preserve">Residual capacity × total CS spools.</t>
  </si>
  <si>
    <t xml:space="preserve">Anchor 1 — DPR spools</t>
  </si>
  <si>
    <t xml:space="preserve">Anchor 2 — Applied Digital spools</t>
  </si>
  <si>
    <t xml:space="preserve">Anchor 3 — Triple Point sister spools</t>
  </si>
  <si>
    <t xml:space="preserve">✓ Allocation check (= Total)</t>
  </si>
  <si>
    <t xml:space="preserve">Should equal Row 133.</t>
  </si>
  <si>
    <t xml:space="preserve">PRICING BY CUSTOMER  —  CS rate split (Sec 25.5 reframe)</t>
  </si>
  <si>
    <t xml:space="preserve">Rate Discount %</t>
  </si>
  <si>
    <t xml:space="preserve">Y1 $/spool</t>
  </si>
  <si>
    <t xml:space="preserve">Y2 $/spool</t>
  </si>
  <si>
    <t xml:space="preserve">Y3 $/spool</t>
  </si>
  <si>
    <t xml:space="preserve">Y4 $/spool</t>
  </si>
  <si>
    <t xml:space="preserve">Y5 $/spool</t>
  </si>
  <si>
    <t xml:space="preserve">Polk overflow</t>
  </si>
  <si>
    <t xml:space="preserve">Anchor 1 — DPR direct</t>
  </si>
  <si>
    <t xml:space="preserve">Anchor 2 — Applied Digital</t>
  </si>
  <si>
    <t xml:space="preserve">Anchor 3 — Triple Point sister</t>
  </si>
  <si>
    <t xml:space="preserve">REVENUE BY CUSTOMER  (CS shop, scenario-aware)</t>
  </si>
  <si>
    <t xml:space="preserve">Polk CS revenue</t>
  </si>
  <si>
    <t xml:space="preserve">Anchor 1 — DPR revenue</t>
  </si>
  <si>
    <t xml:space="preserve">Anchor 2 — Applied Digital revenue</t>
  </si>
  <si>
    <t xml:space="preserve">Anchor 3 — TP sister revenue</t>
  </si>
  <si>
    <t xml:space="preserve">TOTAL CS revenue (scenario)</t>
  </si>
  <si>
    <t xml:space="preserve">    Variance vs Row 59 baseline</t>
  </si>
  <si>
    <t xml:space="preserve">Negative = scenario discount drag. Zero = all anchors at full rate, no Polk discount.</t>
  </si>
  <si>
    <t xml:space="preserve">POLK-MIX CONSTRAINED CAPACITY  —  band-aware (Heavy cell binding)</t>
  </si>
  <si>
    <t xml:space="preserve">SB cells (≤12" eligible)</t>
  </si>
  <si>
    <t xml:space="preserve">Links Row 80</t>
  </si>
  <si>
    <t xml:space="preserve">Hvy cells (≥14" only)</t>
  </si>
  <si>
    <t xml:space="preserve">Links Row 81</t>
  </si>
  <si>
    <t xml:space="preserve">SB sp/cell/shift</t>
  </si>
  <si>
    <t xml:space="preserve">14 sp/c/sh — CapEx!B12</t>
  </si>
  <si>
    <t xml:space="preserve">Hvy sp/cell/shift</t>
  </si>
  <si>
    <t xml:space="preserve">6 sp/c/sh — CapEx!B13</t>
  </si>
  <si>
    <t xml:space="preserve">Shifts/day</t>
  </si>
  <si>
    <t xml:space="preserve">SB-eligible share (≤4" + 6-12")</t>
  </si>
  <si>
    <t xml:space="preserve">Hvy-eligible share (14-24" + 26+")</t>
  </si>
  <si>
    <t xml:space="preserve">SB-bounded total spools/yr</t>
  </si>
  <si>
    <t xml:space="preserve">Max total spools if SB is binding</t>
  </si>
  <si>
    <t xml:space="preserve">Hvy-bounded total spools/yr</t>
  </si>
  <si>
    <t xml:space="preserve">Max total spools if Hvy is binding</t>
  </si>
  <si>
    <t xml:space="preserve">MAX TOTAL @ Polk mix (manual, pre-robot)</t>
  </si>
  <si>
    <t xml:space="preserve">MIN of SB-bound and Hvy-bound. Heavy is binding at Polk mix.</t>
  </si>
  <si>
    <t xml:space="preserve">≥12" robot-eligible share (Polk)</t>
  </si>
  <si>
    <t xml:space="preserve">Robot lift multiplier</t>
  </si>
  <si>
    <t xml:space="preserve">Links Row 53</t>
  </si>
  <si>
    <t xml:space="preserve">ROBOT-ADJUSTED MAX (Polk mix)</t>
  </si>
  <si>
    <t xml:space="preserve">THIS IS THE NUMBER TO QUOTE POLK</t>
  </si>
  <si>
    <t xml:space="preserve">Existing blended model (Row 57)</t>
  </si>
  <si>
    <t xml:space="preserve">Δ Overstatement vs Polk-constrained</t>
  </si>
  <si>
    <t xml:space="preserve">Blended ignores Heavy-cell bottleneck. Y3+ overstates ~40%.</t>
  </si>
  <si>
    <t xml:space="preserve">Polk-constrained revenue ($)</t>
  </si>
  <si>
    <t xml:space="preserve">Polk-mix throughput × Polk discounted rate (Row 142)</t>
  </si>
  <si>
    <t xml:space="preserve">FULL ROBOTIC — every cell, 3 shifts  (price-absorbed scenario)</t>
  </si>
  <si>
    <t xml:space="preserve">SB robot lift mult</t>
  </si>
  <si>
    <t xml:space="preserve">Conservative for ≤12" robotization (cycle already short manually).</t>
  </si>
  <si>
    <t xml:space="preserve">Hvy robot lift mult</t>
  </si>
  <si>
    <t xml:space="preserve">HyperFill dual-head ~2× on ≥14" CIRC BUTT.</t>
  </si>
  <si>
    <t xml:space="preserve">Shifts/day (full)</t>
  </si>
  <si>
    <t xml:space="preserve">Production months/yr (full)</t>
  </si>
  <si>
    <t xml:space="preserve">SB throughput (4 cells × 14 × lift × shifts × days × mo)</t>
  </si>
  <si>
    <t xml:space="preserve">SB-band ceiling</t>
  </si>
  <si>
    <t xml:space="preserve">Hvy throughput (4 cells × 6 × lift × shifts × days × mo)</t>
  </si>
  <si>
    <t xml:space="preserve">Hvy-band ceiling</t>
  </si>
  <si>
    <t xml:space="preserve">SB-bounded total @ Polk mix</t>
  </si>
  <si>
    <t xml:space="preserve">If SB binds, total = SB / SB-share</t>
  </si>
  <si>
    <t xml:space="preserve">Hvy-bounded total @ Polk mix</t>
  </si>
  <si>
    <t xml:space="preserve">If Hvy binds, total = Hvy / Hvy-share</t>
  </si>
  <si>
    <t xml:space="preserve">MAX TOTAL @ full robotic + Polk mix</t>
  </si>
  <si>
    <t xml:space="preserve">Revenue @ Y2 Polk rate ($1,830/spool)</t>
  </si>
  <si>
    <t xml:space="preserve">Revenue @ Y3 Polk rate ($2,113/spool)</t>
  </si>
  <si>
    <t xml:space="preserve">HEAVY CELL EXPANSION — sensitivity</t>
  </si>
  <si>
    <t xml:space="preserve">Hvy cells</t>
  </si>
  <si>
    <t xml:space="preserve">Hvy throughput</t>
  </si>
  <si>
    <t xml:space="preserve">Hvy-bound total</t>
  </si>
  <si>
    <t xml:space="preserve">vs SB-bound 131,878</t>
  </si>
  <si>
    <t xml:space="preserve">Net binding</t>
  </si>
  <si>
    <t xml:space="preserve">ROBOT CAPEX PAYBACK  —  $1.5M all-in per cell</t>
  </si>
  <si>
    <t xml:space="preserve">Input</t>
  </si>
  <si>
    <t xml:space="preserve">All-in robot cost per cell</t>
  </si>
  <si>
    <t xml:space="preserve">User input: $1.5M all-in (robot, controls, fixturing, integration, training)</t>
  </si>
  <si>
    <t xml:space="preserve">Cells to robotize</t>
  </si>
  <si>
    <t xml:space="preserve">All 8 cells (4 SB + 4 Hvy)</t>
  </si>
  <si>
    <t xml:space="preserve">Total robot capex</t>
  </si>
  <si>
    <t xml:space="preserve">Y3 partial-robot capacity (Row 173)</t>
  </si>
  <si>
    <t xml:space="preserve">Y3 full-robot capacity (Row 192)</t>
  </si>
  <si>
    <t xml:space="preserve">Δ Incremental spools/yr</t>
  </si>
  <si>
    <t xml:space="preserve">Y3 Polk $/spool (Row 142, F col Y3)</t>
  </si>
  <si>
    <t xml:space="preserve">Gross margin %</t>
  </si>
  <si>
    <t xml:space="preserve">Target ~35% GM on fab-only (Row 16 margin mult 1.55× implies ~35% on price)</t>
  </si>
  <si>
    <t xml:space="preserve">GP per spool (Y3)</t>
  </si>
  <si>
    <t xml:space="preserve">Incremental GP per yr (steady state)</t>
  </si>
  <si>
    <t xml:space="preserve">PAYBACK PERIOD (years)</t>
  </si>
  <si>
    <t xml:space="preserve">PAYBACK PERIOD (months)</t>
  </si>
  <si>
    <t xml:space="preserve">Per-cell payback (months)</t>
  </si>
  <si>
    <t xml:space="preserve">Per-cell capex ÷ per-cell incremental GP × 12 months</t>
  </si>
  <si>
    <t xml:space="preserve">Y3 incremental revenue ($)</t>
  </si>
  <si>
    <t xml:space="preserve">5-yr cumulative revenue lift (Y2-Y5 only)</t>
  </si>
  <si>
    <t xml:space="preserve">PAYBACK SENSITIVITY  —  capex × GM%</t>
  </si>
  <si>
    <t xml:space="preserve">Capex/cell ↓  /  GM% →</t>
  </si>
  <si>
    <t xml:space="preserve">25%</t>
  </si>
  <si>
    <t xml:space="preserve">30%</t>
  </si>
  <si>
    <t xml:space="preserve">35%</t>
  </si>
  <si>
    <t xml:space="preserve">40%</t>
  </si>
  <si>
    <t xml:space="preserve">ROTOWELD vs NOVARC SWR  —  spec &amp; cost comparison  (2026-05-10 research)</t>
  </si>
  <si>
    <t xml:space="preserve">Spec / Attribute</t>
  </si>
  <si>
    <t xml:space="preserve">Rotoweld 3.0 Single Bay</t>
  </si>
  <si>
    <t xml:space="preserve">Rotoweld 3.0 Twin Bay</t>
  </si>
  <si>
    <t xml:space="preserve">Rotoweld 3.0 Twin Bay HD</t>
  </si>
  <si>
    <t xml:space="preserve">Novarc SWR</t>
  </si>
  <si>
    <t xml:space="preserve">Novarc SWR-TIGMIG</t>
  </si>
  <si>
    <t xml:space="preserve">Manufacturer</t>
  </si>
  <si>
    <t xml:space="preserve">Tecnar (CA)</t>
  </si>
  <si>
    <t xml:space="preserve">Novarc Tech (CA)</t>
  </si>
  <si>
    <t xml:space="preserve">Pipe diameter range</t>
  </si>
  <si>
    <t xml:space="preserve">75 mm – 1,065 mm  (3"–42")</t>
  </si>
  <si>
    <t xml:space="preserve">75 mm – 1,219 mm  (3"–48")</t>
  </si>
  <si>
    <t xml:space="preserve">50 mm – 1,520 mm  (2"–60")</t>
  </si>
  <si>
    <t xml:space="preserve">Configuration</t>
  </si>
  <si>
    <t xml:space="preserve">Single welding cell, 1 torch position (dual-torch system on one head: GMAW root + GMAW/SAW fill)</t>
  </si>
  <si>
    <t xml:space="preserve">TWO physical bays · ONE positioner moves between · operator preps spool on bay 2 while bay 1 welds</t>
  </si>
  <si>
    <t xml:space="preserve">TWO bays · HD class · 20,000 lb load · for LNG/refinery scale</t>
  </si>
  <si>
    <t xml:space="preserve">Single robot arm on pedestal · 1 weld station per pedestal · NovEye AI vision · GMAW/MCAW/FCAW</t>
  </si>
  <si>
    <t xml:space="preserve">Single pedestal · TIG + MIG dual-process · industry's first dual-process autonomous (launched Nov 2025)</t>
  </si>
  <si>
    <t xml:space="preserve">Two welding heads on one pedestal?</t>
  </si>
  <si>
    <t xml:space="preserve">NO — single pedestal, single torch position (but dual-torch tooling on that head: root + fill)</t>
  </si>
  <si>
    <t xml:space="preserve">NO — twin BAYS, not twin HEADS. Single positioner shuttles. Productivity gain comes from prep parallelization, not parallel welding</t>
  </si>
  <si>
    <t xml:space="preserve">NO — twin bays, same as above. HD class for heavier pipe</t>
  </si>
  <si>
    <t xml:space="preserve">NO — one robot per pedestal (footprint 4'×4')</t>
  </si>
  <si>
    <t xml:space="preserve">NO — single robot, two PROCESSES (TIG+MIG) on one pedestal. Not two parallel welds</t>
  </si>
  <si>
    <t xml:space="preserve">Throughput claim</t>
  </si>
  <si>
    <t xml:space="preserve">~1 min per 1 inch of pipe OD (dual-torch)</t>
  </si>
  <si>
    <t xml:space="preserve">Up to 300 dia-inches per 10-hr shift</t>
  </si>
  <si>
    <t xml:space="preserve">Highest tonnage in product line</t>
  </si>
  <si>
    <t xml:space="preserve">4–5× manual welder productivity (vendor)</t>
  </si>
  <si>
    <t xml:space="preserve">Same SWR + dual-process flexibility</t>
  </si>
  <si>
    <t xml:space="preserve">Vision / AI</t>
  </si>
  <si>
    <t xml:space="preserve">Perfect Pass IQ — adjusts amperage, oscillation, travel speed in real time</t>
  </si>
  <si>
    <t xml:space="preserve">Same as Single Bay</t>
  </si>
  <si>
    <t xml:space="preserve">NovEye Gen 2 — full AI machine-vision autonomy</t>
  </si>
  <si>
    <t xml:space="preserve">NovEye Gen 2 + dual-process logic</t>
  </si>
  <si>
    <t xml:space="preserve">Power source</t>
  </si>
  <si>
    <t xml:space="preserve">Lincoln PowerWave S500 + Lincoln Flextec 650 (SAW option)</t>
  </si>
  <si>
    <t xml:space="preserve">Same</t>
  </si>
  <si>
    <t xml:space="preserve">Lincoln PowerWave R450 (turn-key)</t>
  </si>
  <si>
    <t xml:space="preserve">Lincoln-based, dual-process configured</t>
  </si>
  <si>
    <t xml:space="preserve">Materials supported</t>
  </si>
  <si>
    <t xml:space="preserve">CS A333, SS 304/316, Cr-Mo alloys, Duplex SS</t>
  </si>
  <si>
    <t xml:space="preserve">CS, SS, Cr-Mo, exotic alloys</t>
  </si>
  <si>
    <t xml:space="preserve">Same + dual-process for SS root TIG / fill MIG</t>
  </si>
  <si>
    <t xml:space="preserve">Software / subscription model</t>
  </si>
  <si>
    <t xml:space="preserve">ALL-IN PRICE · own software · NO subscription</t>
  </si>
  <si>
    <t xml:space="preserve">All-in · no subscription</t>
  </si>
  <si>
    <t xml:space="preserve">Subscription model reported (industry sources cite up to $50K/yr software fees)</t>
  </si>
  <si>
    <t xml:space="preserve">Subscription model</t>
  </si>
  <si>
    <t xml:space="preserve">Install / training</t>
  </si>
  <si>
    <t xml:space="preserve">2 days install · 3 days training (factory specialist)</t>
  </si>
  <si>
    <t xml:space="preserve">Vendor-led commissioning (longer)</t>
  </si>
  <si>
    <t xml:space="preserve">Vendor-led</t>
  </si>
  <si>
    <t xml:space="preserve">Footprint</t>
  </si>
  <si>
    <t xml:space="preserve">Compact, single bay</t>
  </si>
  <si>
    <t xml:space="preserve">19.5 m or 24.4 m length (64' or 80')</t>
  </si>
  <si>
    <t xml:space="preserve">Same length, taller (3.5 m)</t>
  </si>
  <si>
    <t xml:space="preserve">4'×4' base + safety zone (compact)</t>
  </si>
  <si>
    <t xml:space="preserve">4'×4' base</t>
  </si>
  <si>
    <t xml:space="preserve">Reported price (third-party)</t>
  </si>
  <si>
    <t xml:space="preserve">Quote-based · all-in (install+train included, ship extra)</t>
  </si>
  <si>
    <t xml:space="preserve">Quote-based · all-in</t>
  </si>
  <si>
    <t xml:space="preserve">Quote-based · highest tier</t>
  </si>
  <si>
    <t xml:space="preserve">$250K starting (Globe &amp; Mail 2018) · ~$500K reported on Reddit/welder forums for installed</t>
  </si>
  <si>
    <t xml:space="preserve">Premium over base SWR; not yet publicly priced</t>
  </si>
  <si>
    <t xml:space="preserve">Estimated all-in (US$, 2026)</t>
  </si>
  <si>
    <t xml:space="preserve">$650K–$900K  (single bay turnkey)</t>
  </si>
  <si>
    <t xml:space="preserve">$1.0M–$1.4M  (twin bay turnkey)</t>
  </si>
  <si>
    <t xml:space="preserve">$1.4M–$1.8M  (HD class)</t>
  </si>
  <si>
    <t xml:space="preserve">$500K–$800K hardware · $700K–$1.2M installed/integrated</t>
  </si>
  <si>
    <t xml:space="preserve">$700K–$1.0M+ (premium tier)</t>
  </si>
  <si>
    <t xml:space="preserve">Lincoln HyperFill compatibility</t>
  </si>
  <si>
    <t xml:space="preserve">YES — Power Wave S500 is HyperFill-ready hardware. License + premium wire required. Single tip, twin-wire MIG. Direct fit on Rotoweld dual-torch head.</t>
  </si>
  <si>
    <t xml:space="preserve">YES — same S500 platform. HyperFill on fill/cap passes is straightforward retrofit.</t>
  </si>
  <si>
    <t xml:space="preserve">YES — same S500 platform. Best fit: HD bays handle ≥24" Polk band where HyperFill 2× deposition rate matters most.</t>
  </si>
  <si>
    <t xml:space="preserve">YES — Novarc + Lincoln formal partnership 2022. SWR+HyperFill is a turn-key offering. STT root + HyperFill fill/cap. Pipe wall 0.5"–2.5", min 6" diameter.</t>
  </si>
  <si>
    <t xml:space="preserve">YES — TIGMIG platform builds on same Lincoln base. Confirm HyperFill module included in TIGMIG SKU before quote.</t>
  </si>
  <si>
    <t xml:space="preserve">KEY TAKEAWAY  —  on the dual-head question</t>
  </si>
  <si>
    <t xml:space="preserve">User asked: 'Can Rotoweld do same as Novarc — 2 weld systems on 1 pedestal?'  CORRECTION OF PREMISE: Novarc SWR is ONE robot per pedestal. The 'dual' in SWR-TIGMIG (launched Nov 2025) is dual-PROCESS (TIG + MIG combined on one head), NOT two parallel welding stations. Rotoweld's Twin Bay is TWO bays with ONE shared positioner — operator preps spool B while spool A welds. Neither system runs two parallel weld arcs on one pedestal. The productivity multiplier in BOTH systems comes from: (a) faster cycle, (b) dual-torch tooling on a single head, (c) parallelized loading/grinding/aligning. If user wants TRUE 2× parallel welding on a single footprint, the comparable is Rotoweld Twin Bay (2 stations, 1 positioner shuttle) at ~$1.0–1.4M vs 2× Novarc SWR at ~$1.4–2.0M for two independent pedestals.</t>
  </si>
  <si>
    <t xml:space="preserve">IMPLICATION FOR $1.5M / CELL CAPEX PLUG</t>
  </si>
  <si>
    <t xml:space="preserve">USER REQUIREMENT: Lincoln HyperFill on EVERY cell.  Both platforms support HyperFill (Power Wave S500 base).  Cost implication: HyperFill is a license + premium wire purchase, NOT additional capex on the robot — but it requires the S500 power source (already standard on both).  Per-cell add for HyperFill activation: license + dedicated dual-wire feeder (Power Feed 84) + spec'd contact tips ≈ $30K–$60K incremental on top of base robot capex.  $1.5M / cell ALL-IN at Hyperscale-grade now reads:    •  $700K–$900K base robot (Novarc SWR or Rotoweld Single Bay)     •  $50K HyperFill activation + dual-wire feeder + premium wire stock     •  $200K–$400K positioner / fixturing / safety / integration     •  $50K–$100K install + training + commissioning     •  $50K–$150K reserve for SS-segregated tooling on Hvy cells.  Sweet spot for Polk-mix scope: 4× Novarc SWR+HyperFill on SB cells (≤12" — STT root + twin-wire fill matches Polk colo CHW perfectly) + 4× Rotoweld Twin Bay HD on Hvy cells (14"–24" Polk band — HD positioner load + HyperFill cap deposition rate dominates here).  Mixed fleet protects vendor risk and matches each platform to its strength band.</t>
  </si>
  <si>
    <t xml:space="preserve">RECOMMENDED FLEET — Polk mix + HyperFill on every cell</t>
  </si>
  <si>
    <t xml:space="preserve">Cell type</t>
  </si>
  <si>
    <t xml:space="preserve">Platform</t>
  </si>
  <si>
    <t xml:space="preserve">Qty</t>
  </si>
  <si>
    <t xml:space="preserve">Per-cell all-in</t>
  </si>
  <si>
    <t xml:space="preserve">Subtotal</t>
  </si>
  <si>
    <t xml:space="preserve">Rationale</t>
  </si>
  <si>
    <t xml:space="preserve">Small-Bore (≤12")</t>
  </si>
  <si>
    <t xml:space="preserve">Novarc SWR + HyperFill</t>
  </si>
  <si>
    <t xml:space="preserve">Compact 4'×4' footprint, NovEye AI vision, STT root for thin-wall colo CHW</t>
  </si>
  <si>
    <t xml:space="preserve">Heavy (14"–24")</t>
  </si>
  <si>
    <t xml:space="preserve">Rotoweld 3.0 Twin Bay HD + HyperFill</t>
  </si>
  <si>
    <t xml:space="preserve">20K-lb load capacity, 65" centerline, dual-bay shuttle for prep/weld parallelization on heavy spool</t>
  </si>
  <si>
    <t xml:space="preserve">TOTAL FLEET CAPEX</t>
  </si>
  <si>
    <t xml:space="preserve">vs $1.5M × 8 plug = $12.0M.  Mixed fleet ≈ $10.6M ($1.4M/cell weighted avg).</t>
  </si>
  <si>
    <t xml:space="preserve">ALTERNATIVE — single platform across all 8 cells</t>
  </si>
  <si>
    <t xml:space="preserve">All Novarc SWR+HF</t>
  </si>
  <si>
    <t xml:space="preserve">Cleanest vendor stack, single training program, NovEye AI on every cell. Risk: less ideal for ≥24" Hvy band where Hvy positioner load matters.</t>
  </si>
  <si>
    <t xml:space="preserve">All Rotoweld Twin Bay</t>
  </si>
  <si>
    <t xml:space="preserve">All-in ownership (no subscriptions), dual-bay parallelization on every cell. Risk: lighter on AI vision vs Novarc.</t>
  </si>
  <si>
    <t xml:space="preserve">All Rotoweld Twin Bay HD</t>
  </si>
  <si>
    <t xml:space="preserve">Maximum throughput, handles ≥48" pipe, future-proofs for any band shift in Polk's pipeline.</t>
  </si>
  <si>
    <t xml:space="preserve">DFMA FABRICATION — NOTES, DECISIONS &amp; ASSUMPTIONS</t>
  </si>
  <si>
    <t xml:space="preserve">Walkthrough log — Spool Pricing &amp; Mix tab.  Drop, plumb, energize.</t>
  </si>
  <si>
    <t xml:space="preserve">1.  USER OPERATING RULES  —  non-negotiable</t>
  </si>
  <si>
    <t xml:space="preserve">#</t>
  </si>
  <si>
    <t xml:space="preserve">Reference</t>
  </si>
  <si>
    <t xml:space="preserve">Rule</t>
  </si>
  <si>
    <t xml:space="preserve">1.1</t>
  </si>
  <si>
    <t xml:space="preserve">MCA Method</t>
  </si>
  <si>
    <t xml:space="preserve">Use 100% MCA Component method (Bob Durr / NJ tables). Full parts-and-pieces — supervision, material handling, install time absorbed automatically. NO hybrid MCA + WAM.</t>
  </si>
  <si>
    <t xml:space="preserve">LOCKED</t>
  </si>
  <si>
    <t xml:space="preserve">1.2</t>
  </si>
  <si>
    <t xml:space="preserve">20/80 Split</t>
  </si>
  <si>
    <t xml:space="preserve">20% of 100% MCA Component labor hours → fab shop.  80% → field install with company factor.  After 40 yrs tracking on stick-build, 1G positioner, and FW spool-end ROT, this is the empirical truth. Industry benchmarks: published MCAA ~17%, WAM implied 12–15%. Your 20% absorbs rebuilds, field-crew shop assists, pre-job staging, and punch rework that the manuals don't capture.</t>
  </si>
  <si>
    <t xml:space="preserve">1.3</t>
  </si>
  <si>
    <t xml:space="preserve">WAM Concerns</t>
  </si>
  <si>
    <t xml:space="preserve">WAM over-prices field-weld (FW) spool ends. Example: 90° elbow at FW end gets labor for 2 welds when only 1 actually exists in shop. ROT: any spool tagged FW is cut 12 ft long for field fit-up. Use WAM as buyer-side reference only; price internally on MCA.</t>
  </si>
  <si>
    <t xml:space="preserve">1.4</t>
  </si>
  <si>
    <t xml:space="preserve">Rate Sheet</t>
  </si>
  <si>
    <t xml:space="preserve">Trade rates: $55 / $63 / $73 per hour for 1st / 2nd / 3rd shift. Default model assumes shift-1 economics for pricing; multi-shift drivers added later if mix changes.</t>
  </si>
  <si>
    <t xml:space="preserve">1.5</t>
  </si>
  <si>
    <t xml:space="preserve">CFM Assumption</t>
  </si>
  <si>
    <t xml:space="preserve">CFM = Customer-Furnished Material. Carbon Steel only at this phase (CS). SS / exotics added in a later phase.  When CFM flips to DFMA-supplied, freight/materials priced on a separate pass-through tab. Modular skids = passthrough + 12% markup.</t>
  </si>
  <si>
    <t xml:space="preserve">1.6</t>
  </si>
  <si>
    <t xml:space="preserve">OH Treatment</t>
  </si>
  <si>
    <t xml:space="preserve">200% OH set aside, NOT carried in spool pricing. Burdened shop rate $115/hr in C14 already covers payroll T&amp;B + shop-floor OH (gas, wire, jig, crane, indirect supv, consumables). Corporate G&amp;A handled separately at P&amp;L OH%.</t>
  </si>
  <si>
    <t xml:space="preserve">2.  SPOOL PRICING &amp; MIX  —  cell-level walkthrough notes</t>
  </si>
  <si>
    <t xml:space="preserve">Cell</t>
  </si>
  <si>
    <t xml:space="preserve">Decision / Rationale</t>
  </si>
  <si>
    <t xml:space="preserve">2.1</t>
  </si>
  <si>
    <t xml:space="preserve">H6 (Matl $ avg)</t>
  </si>
  <si>
    <t xml:space="preserve">Column header for material cost per spool from MCA Material Cost column on Equinix data dumps. Reference-only — NOT flowing into Base $/spool build. Section 2 is labor-only ($115/hr × 20% × hrs × 1.55). Material is a separate pass-through (CFM at DFW means material doesn't hit DFMA invoice).</t>
  </si>
  <si>
    <t xml:space="preserve">AS-IS / HOLD</t>
  </si>
  <si>
    <t xml:space="preserve">2.2</t>
  </si>
  <si>
    <t xml:space="preserve">C14 ($115/hr)</t>
  </si>
  <si>
    <t xml:space="preserve">Shop burdened labor rate. Build: $55 trade + ~$60 burden = $115/hr loaded. Burden covers payroll T&amp;B + shop OH absorption (gas, wire, jig, positioner, crane, consumables, indirect supv). DOES NOT include margin (margin lives at C16, 1.55×).</t>
  </si>
  <si>
    <t xml:space="preserve">2.3</t>
  </si>
  <si>
    <t xml:space="preserve">C14 vs P&amp;L!B15</t>
  </si>
  <si>
    <t xml:space="preserve">POTENTIAL DOUBLE-COUNT FLAG: P&amp;L!B15 = 20% Payroll Taxes &amp; Benefits is narrow scope (FICA/UTA/WC/health only). C14's $115/hr already absorbs that 20% inside the burden. P&amp;L!C18 = 20% OH on Revenue may also be absorbing shop indirects. If P&amp;L OH% is corporate G&amp;A only, no double-count. If P&amp;L OH% is intended to cover shop indirects too, ~$49/hr × 14,709 hrs = $722K fleet-level double-count. DECISION DEFERRED.</t>
  </si>
  <si>
    <t xml:space="preserve">OPEN — RESOLVE LATER</t>
  </si>
  <si>
    <t xml:space="preserve">2.4</t>
  </si>
  <si>
    <t xml:space="preserve">C15 (20%)</t>
  </si>
  <si>
    <t xml:space="preserve">Shop allocation of MCA Component hrs. WAM has NO native answer — would require a hybrid carve that violates Rule 1.1. MCAA published ~17%, WAM implied 12–15%. Your 20% is empirically defensible: absorbs field-crew shop assists during dry spells (~2%), rebuilds/rework (~2%), and pre-job staging/handoff (~1%) on top of the published 17%. Conservative on the upside.</t>
  </si>
  <si>
    <t xml:space="preserve">2.5</t>
  </si>
  <si>
    <t xml:space="preserve">C16 (1.55× markup)</t>
  </si>
  <si>
    <t xml:space="preserve">Fab margin multiplier. Targets ~35% GM on fab-only (covers shop OH backstop, skid 12% passthrough, MCAA productivity shortfall buffer).</t>
  </si>
  <si>
    <t xml:space="preserve">2.6</t>
  </si>
  <si>
    <t xml:space="preserve">F18:H18 (NDE menu)</t>
  </si>
  <si>
    <t xml:space="preserve">NDE multiplier columns: F=VT only (1.00 baseline), G=RT 10%, H=RT 100%. Multipliers band-dependent: ≤4" = 1.20/1.40 → 26"+ = 1.35/1.60. RT cost layered on top of base $/spool.</t>
  </si>
  <si>
    <t xml:space="preserve">2.7</t>
  </si>
  <si>
    <t xml:space="preserve">C19/C20/C21 (median MCA hrs)</t>
  </si>
  <si>
    <t xml:space="preserve">Used MEDIAN, not mean, as band base hours — more conservative on long-tail outliers. Combined T1+T2 = 468 spools. Override cell — if spec changes, hand-edit here.</t>
  </si>
  <si>
    <t xml:space="preserve">3.  NDE METHOD STANDARD  —  RT only, NO UT</t>
  </si>
  <si>
    <t xml:space="preserve">Item</t>
  </si>
  <si>
    <t xml:space="preserve">Detail</t>
  </si>
  <si>
    <t xml:space="preserve">3.1</t>
  </si>
  <si>
    <t xml:space="preserve">Approved methods</t>
  </si>
  <si>
    <t xml:space="preserve">VT (Visual) + RT (Radiographic) only. Default for hyperscale DC = mostly RT 10% with some VT-only on low-pressure make-up water. RT 100% reserved for chilled water headers, steam, condensate, refrigerant, high-pressure utility risers, and central plant mains.</t>
  </si>
  <si>
    <t xml:space="preserve">3.2</t>
  </si>
  <si>
    <t xml:space="preserve">UT — NOT ACCEPTED</t>
  </si>
  <si>
    <t xml:space="preserve">Ultrasonic Testing is NOT an acceptable substitute for RT on DFMA spools. Reason: most NDE shops sold are running conventional shear-wave UT, which fails on robotic GMAW / HyperFill welds because the dense uniform grain structure changes the acoustic profile. QTS data centers reporting false-fail rates on robot welds. Robot weld is fine — UT method is failing it.</t>
  </si>
  <si>
    <t xml:space="preserve">LOCKED — CRITICAL</t>
  </si>
  <si>
    <t xml:space="preserve">3.3</t>
  </si>
  <si>
    <t xml:space="preserve">Conventional UT vs PAUT</t>
  </si>
  <si>
    <t xml:space="preserve">Conventional UT (manual probe) = what most shops have, FAILING on robot welds. PAUT (Phased Array, encoded, ASME V Article 4 App VIII qualified) actually works on robot welds — but requires procedure qualification on matching mockup, Level II/III with PAUT cert (rare), $80–150K equipment investment per crew, owner-approved procedure submittal. ASME hasn't caught up to robotic GMAW yet.</t>
  </si>
  <si>
    <t xml:space="preserve">REFERENCE</t>
  </si>
  <si>
    <t xml:space="preserve">3.4</t>
  </si>
  <si>
    <t xml:space="preserve">TOFD exception</t>
  </si>
  <si>
    <t xml:space="preserve">If a site CANNOT accept RT radiation zones (rare — sometimes occurs in shielded-area data center work), the right substitute is Time-of-Flight Diffraction (TOFD), NOT pulse-echo UT. TOFD measures diffracted energy at defect tips, more forgiving on HyperFill profiles. Cost ~1.5–2× RT.</t>
  </si>
  <si>
    <t xml:space="preserve">3.5</t>
  </si>
  <si>
    <t xml:space="preserve">Spec language to insert</t>
  </si>
  <si>
    <t xml:space="preserve">SOO Clause: "NDE Method: Welds shall be examined by VT and RT only, per ASME B31.3 acceptance criteria. Ultrasonic Testing (UT) is NOT an acceptable substitute unless (a) procedure qualified per ASME Section V Article 4 Mandatory Appendix VIII for robotic GMAW with HyperFill or equivalent dual-wire process, (b) NDE personnel hold current SNT-TC-1A Level II/III with documented procedure-specific experience, (c) procedure approved in writing by Owner's Representative prior to mobilization. Default substitution to UT is grounds for rejection of NDE results and re-shoot at NDE Contractor's expense."</t>
  </si>
  <si>
    <t xml:space="preserve">ADD TO SOO TEMPLATE</t>
  </si>
  <si>
    <t xml:space="preserve">3.6</t>
  </si>
  <si>
    <t xml:space="preserve">If owner insists on UT</t>
  </si>
  <si>
    <t xml:space="preserve">Push back to RT in RFI cycle first. If they hold the line, add specialist line item: PAUT Level III @ $200–250/hr + procedure qualification fee + mockup build. Do NOT accept conventional UT at any price.</t>
  </si>
  <si>
    <t xml:space="preserve">4.  INDUSTRY CONTEXT  —  pitch angles &amp; competitor landscape</t>
  </si>
  <si>
    <t xml:space="preserve">Topic</t>
  </si>
  <si>
    <t xml:space="preserve">Note</t>
  </si>
  <si>
    <t xml:space="preserve">4.1</t>
  </si>
  <si>
    <t xml:space="preserve">DPR Texas referral</t>
  </si>
  <si>
    <t xml:space="preserve">DPR asked user to step in and help a Texas data center contractor. Contractor bidding work at FACTOR 1.20+ on DCs in TX, owns NO fab shop, paying retail WAM rates to outside fab houses. Every spool carries WAM-priced fab + 1.20× markup on top. WAM premium charged TWICE through the chain.</t>
  </si>
  <si>
    <t xml:space="preserve">LIVE OPPORTUNITY</t>
  </si>
  <si>
    <t xml:space="preserve">4.2</t>
  </si>
  <si>
    <t xml:space="preserve">DFMA wedge math</t>
  </si>
  <si>
    <t xml:space="preserve">Equinix DFW 468 spools: WAM total = $2.04M, MCA total = $671K, premium = $1.37M (204%). Add DPR's 1.20 contractor factor: $2.45M competitor price vs DFMA $671K shop + $3.85M field = $4.52M installed vs $5.62M competitor installed = $1.78M fleet savings. This is the pitch slide.</t>
  </si>
  <si>
    <t xml:space="preserve">4.3</t>
  </si>
  <si>
    <t xml:space="preserve">HITT-Brycon path</t>
  </si>
  <si>
    <t xml:space="preserve">HITT bought Brycon. $10M investor was former Brycon owner. CFM path lives there. Connection path to HITT exists via investor — preserve for opportune moment.</t>
  </si>
  <si>
    <t xml:space="preserve">WARM PATH</t>
  </si>
  <si>
    <t xml:space="preserve">4.4</t>
  </si>
  <si>
    <t xml:space="preserve">MEPCX (CX of record)</t>
  </si>
  <si>
    <t xml:space="preserve">MEPCX out of Colorado, considered best in US. Currently buried on Guam/Japan military work. Bring in via favor only — DO NOT overload.</t>
  </si>
  <si>
    <t xml:space="preserve">PROTECT</t>
  </si>
  <si>
    <t xml:space="preserve">4.5</t>
  </si>
  <si>
    <t xml:space="preserve">Field crew labor drift</t>
  </si>
  <si>
    <t xml:space="preserve">Why 20% (not 17%) is honest: field crews historically charge hours to shop when they (a) ran out of work between deliveries, (b) needed pre-job staging time, (c) dropped off rebuilds. Standard estimators bury this. Your 20% prices it in at $115/hr instead of letting it leak at $145/hr field. Structural margin advantage, not a pricing trick.</t>
  </si>
  <si>
    <t xml:space="preserve">5.  HELD FOLLOW-UPS  —  do not forget</t>
  </si>
  <si>
    <t xml:space="preserve">Owner</t>
  </si>
  <si>
    <t xml:space="preserve">5.1</t>
  </si>
  <si>
    <t xml:space="preserve">USER</t>
  </si>
  <si>
    <t xml:space="preserve">GC cost-lever calculator (interactive web tool for page-5 levers).</t>
  </si>
  <si>
    <t xml:space="preserve">OPEN</t>
  </si>
  <si>
    <t xml:space="preserve">5.2</t>
  </si>
  <si>
    <t xml:space="preserve">(Pending paste — never specified)</t>
  </si>
  <si>
    <t xml:space="preserve">AWAITING</t>
  </si>
  <si>
    <t xml:space="preserve">5.3</t>
  </si>
  <si>
    <t xml:space="preserve">5.4</t>
  </si>
  <si>
    <t xml:space="preserve">AGENT</t>
  </si>
  <si>
    <t xml:space="preserve">Owners-only deck variant — strip GC P&amp;L page; bake WAM+1.2 savings story for DPR/HITT pitch.</t>
  </si>
  <si>
    <t xml:space="preserve">5.5</t>
  </si>
  <si>
    <t xml:space="preserve">Scale columns: 30 MW · 250 MW · 500 MW.</t>
  </si>
  <si>
    <t xml:space="preserve">5.6</t>
  </si>
  <si>
    <t xml:space="preserve">Internal margin deck (with $ stripped from GC version).</t>
  </si>
  <si>
    <t xml:space="preserve">5.7</t>
  </si>
  <si>
    <t xml:space="preserve">Tie cost-savings envelope to electrical 7yr P&amp;L revenue ramp.</t>
  </si>
  <si>
    <t xml:space="preserve">5.8</t>
  </si>
  <si>
    <t xml:space="preserve">Hospital remediation anonymized deck (from 500K sqft litigation context).</t>
  </si>
  <si>
    <t xml:space="preserve">5.9</t>
  </si>
  <si>
    <t xml:space="preserve">MODEL</t>
  </si>
  <si>
    <t xml:space="preserve">Y3 → Y4 COGS cliff fix in P&amp;L.</t>
  </si>
  <si>
    <t xml:space="preserve">5.10</t>
  </si>
  <si>
    <t xml:space="preserve">OH Projection wire-up.</t>
  </si>
  <si>
    <t xml:space="preserve">6.  KNOWN PRE-EXISTING ERRORS  —  do not chase</t>
  </si>
  <si>
    <t xml:space="preserve">Tab</t>
  </si>
  <si>
    <t xml:space="preserve">Error</t>
  </si>
  <si>
    <t xml:space="preserve">6.1</t>
  </si>
  <si>
    <t xml:space="preserve">DIV/0 row 43 (20 cells)</t>
  </si>
  <si>
    <t xml:space="preserve">PRE-EXISTING</t>
  </si>
  <si>
    <t xml:space="preserve">6.2</t>
  </si>
  <si>
    <t xml:space="preserve">Revenu Breakdown Structure</t>
  </si>
  <si>
    <t xml:space="preserve">NAME? error (20 cells)</t>
  </si>
  <si>
    <t xml:space="preserve">6.3</t>
  </si>
  <si>
    <t xml:space="preserve">NAME? error</t>
  </si>
  <si>
    <t xml:space="preserve">6.4</t>
  </si>
  <si>
    <t xml:space="preserve">VALUE! error (3 cells)</t>
  </si>
  <si>
    <t xml:space="preserve">7.  STYLE &amp; MODEL CONVENTIONS</t>
  </si>
  <si>
    <t xml:space="preserve">Element</t>
  </si>
  <si>
    <t xml:space="preserve">Convention</t>
  </si>
  <si>
    <t xml:space="preserve">7.1</t>
  </si>
  <si>
    <t xml:space="preserve">Theme</t>
  </si>
  <si>
    <t xml:space="preserve">Dark BG #0D1117 + orange #E8750A + gold #FFC553 + teal #20808D</t>
  </si>
  <si>
    <t xml:space="preserve">7.2</t>
  </si>
  <si>
    <t xml:space="preserve">Fonts</t>
  </si>
  <si>
    <t xml:space="preserve">Inter + JetBrains Mono on web; Calibri on xlsx deliverables</t>
  </si>
  <si>
    <t xml:space="preserve">7.3</t>
  </si>
  <si>
    <t xml:space="preserve">Tagline</t>
  </si>
  <si>
    <t xml:space="preserve">Drop, plumb, energize.</t>
  </si>
  <si>
    <t xml:space="preserve">7.4</t>
  </si>
  <si>
    <t xml:space="preserve">Density</t>
  </si>
  <si>
    <t xml:space="preserve">Dense tables, not paragraphs. No assumptions on user's numbers.</t>
  </si>
  <si>
    <t xml:space="preserve">8.  ACADEMIC BACKING  —  Wang, Mohamed, AbouRizk &amp; Rawa (2009)</t>
  </si>
  <si>
    <t xml:space="preserve">Finding / Decision</t>
  </si>
  <si>
    <t xml:space="preserve">8.1</t>
  </si>
  <si>
    <t xml:space="preserve">Citation</t>
  </si>
  <si>
    <t xml:space="preserve">Wang, P., Mohamed, Y., AbouRizk, S.M., and Rawa, A.R.T. (2009). "Flow Production of Pipe Spool Fabrication: Simulation to Support Implementation of Lean Technique." Journal of Construction Engineering and Management, ASCE, Vol. 135, No. 10, October 2009, pp. 1027–1038. DOI: 10.1061/(ASCE)CO.1943-7862.0000068. Edmonton-based industrial fabricator (KBR-affiliated). Full PDF in workspace: Flow-fabrication.pdf.</t>
  </si>
  <si>
    <t xml:space="preserve">PRIMARY SOURCE</t>
  </si>
  <si>
    <t xml:space="preserve">8.2</t>
  </si>
  <si>
    <t xml:space="preserve">Old vs New Layout — empirical</t>
  </si>
  <si>
    <t xml:space="preserve">Same fabricator, same scope, two layouts measured back-to-back: Old batch-and-queue 1,146 spools, mean cycle 11.5 working days, std dev 13.7, max 75 days. New work-cell flow 1,161 spools, mean cycle 7.0 days, std dev 6.2, max 81 days. Net: 39% mean cycle reduction, 55% std dev reduction. Validates work-cell layout as the structurally superior shop design.</t>
  </si>
  <si>
    <t xml:space="preserve">EMPIRICAL</t>
  </si>
  <si>
    <t xml:space="preserve">8.3</t>
  </si>
  <si>
    <t xml:space="preserve">One-piece-flow upper bound</t>
  </si>
  <si>
    <t xml:space="preserve">Simulation of one-piece-flow extension (each work cell with 2 cross-trained laborers, fitter not idle when spool is being welded): mean cycle 4.9 days, max 26.9 days. Theoretical ceiling = ~58% improvement over batch-and-queue. Practical implementation hard at small-bore mix; aspirational target for Y3+ steady-state.</t>
  </si>
  <si>
    <t xml:space="preserve">TARGET</t>
  </si>
  <si>
    <t xml:space="preserve">8.4</t>
  </si>
  <si>
    <t xml:space="preserve">Rework sensitivity</t>
  </si>
  <si>
    <t xml:space="preserve">Paper Fig. 15: cycle time is HIGHLY sensitive to rework. 10% → 0% rework drives cycle time down ~30% (6.7 → ~4.6 days in new system). Implication: work-cell layout reduces rework because problems are caught at the cell rather than after handoff. This means user's 20% shop allocation may slightly overstate at scale in a true work-cell layout — DO NOT adjust C15 yet, but track rework rate as a leading indicator.</t>
  </si>
  <si>
    <t xml:space="preserve">WATCH METRIC</t>
  </si>
  <si>
    <t xml:space="preserve">8.5</t>
  </si>
  <si>
    <t xml:space="preserve">Material handling drag</t>
  </si>
  <si>
    <t xml:space="preserve">Paper Fig. 8 (old shop process model): every roll-fitting and roll-welding station carries explicit "Material Handling" blocks before AND after the activity. Validates user's observation that table↔positioner shuttle on ≤6" small-bore is real, measurable, and a direct cycle-time hit. New layout (Fig. 11) co-locates fit + weld in the cell — material handling between fit and weld eliminated entirely.</t>
  </si>
  <si>
    <t xml:space="preserve">VALIDATES SHUTTLE PROBLEM</t>
  </si>
  <si>
    <t xml:space="preserve">8.6</t>
  </si>
  <si>
    <t xml:space="preserve">Spool DI distribution</t>
  </si>
  <si>
    <t xml:space="preserve">Paper Table 1 / Fig. 6: 100-spool sample fitted to exponential distribution, mean = 10.66 weld DI per spool. Useful as cross-check on Equinix DFW dataset; T1+T2 mean DI/spool sits in same band when normalized for bore-size mix. Confirms DFW dataset is representative, not anomalous.</t>
  </si>
  <si>
    <t xml:space="preserve">CROSS-CHECK</t>
  </si>
  <si>
    <t xml:space="preserve">9.  PHASE 1A SHOP DESIGN SPEC  —  LOCKED RULE</t>
  </si>
  <si>
    <t xml:space="preserve">Specification</t>
  </si>
  <si>
    <t xml:space="preserve">9.1</t>
  </si>
  <si>
    <t xml:space="preserve">Layout topology</t>
  </si>
  <si>
    <t xml:space="preserve">Phase 1A shop SHALL be built as a WORK-CELL FLOW SHOP, not batch-and-queue. Reference: Wang et al. 2009 (see §8). Each work cell contains co-located fit + weld stations within the same physical bay, with bridge crane access. Spools enter cell, complete fit-up, complete weld, exit to QC — no inter-station shuttling within fab.</t>
  </si>
  <si>
    <t xml:space="preserve">LOCKED — DO NOT BUILD BATCH-QUEUE</t>
  </si>
  <si>
    <t xml:space="preserve">9.2</t>
  </si>
  <si>
    <t xml:space="preserve">Cell count &amp; sizing</t>
  </si>
  <si>
    <t xml:space="preserve">8 work cells at full Phase 1C build: 4 small-bore cells (≤12" socket + BW, fit-up table with positioner adjacent, fitter + welder paired per cell) + 4 heavy cells (6"–24" BW, 1G positioner, fitter + welder paired). Phase 1A starts at 2 SB + 1 heavy (3 cells). One central cutter feeds all cells (matches Wang 2009 Fig. 4 layout). No dedicated orbital head — positioner + weld power at each table covers ≤6" production.</t>
  </si>
  <si>
    <t xml:space="preserve">UPDATED — 5→8 per CapEx Phase Plan (§9.2 fix)</t>
  </si>
  <si>
    <t xml:space="preserve">9.3</t>
  </si>
  <si>
    <t xml:space="preserve">Labor model — cross-trained</t>
  </si>
  <si>
    <t xml:space="preserve">Each work cell SHALL be staffed with 1 fitter + 1 welder cross-trained on roll-fit + position-fit and roll-weld + position-weld respectively. No dedicated "position-fitter" or "position-welder" role. Cross-training is non-negotiable — eliminates the inter-station handoff that drives 30%+ of cycle time in batch-queue (Wang 2009).</t>
  </si>
  <si>
    <t xml:space="preserve">9.4</t>
  </si>
  <si>
    <t xml:space="preserve">Queuing rule</t>
  </si>
  <si>
    <t xml:space="preserve">FIFO per cell, strictly enforced. No "grab-a-spool-I-like" floor behavior. Drawings released to cell in sequence; cell completes spool fully before pulling next from queue. Maximum holding capacity per cell ≤ 200 weld DI worth of spools (paper precedent).</t>
  </si>
  <si>
    <t xml:space="preserve">9.5</t>
  </si>
  <si>
    <t xml:space="preserve">Small-bore shuttle elimination</t>
  </si>
  <si>
    <t xml:space="preserve">≤6" socket and small-bore BW work SHALL NOT shuttle between table and positioner. Work cell SHALL be sized so positioner sits adjacent to fit-up table within ≤6 ft of fitter reach. Fitter tacks at table; welder completes at positioner in-place — no shuttle required. M-79 orbital removed: does not tack (fitter step still required regardless), and CapEx weld power + positioner pairing covers ≤6" BW without orbital overhead.</t>
  </si>
  <si>
    <t xml:space="preserve">LOCKED — USER OBSERVATION (M-79 orbital option removed 2026-05-08)</t>
  </si>
  <si>
    <t xml:space="preserve">9.6</t>
  </si>
  <si>
    <t xml:space="preserve">Material handling between cells</t>
  </si>
  <si>
    <t xml:space="preserve">Cell-to-QC and QC-to-lay-down handled by bridge crane only. No manual carry, no forklift inside fab area. Eliminates the "central floor congestion" failure mode documented in Wang 2009 old-shop layout.</t>
  </si>
  <si>
    <t xml:space="preserve">9.7</t>
  </si>
  <si>
    <t xml:space="preserve">M-79 Orbital — DECISION CLOSED</t>
  </si>
  <si>
    <t xml:space="preserve">User determination (2026-05-08): M-79 removed from Phase 1A standup. Rationale: (1) M-79 limited to ≤6" BW only — no tack capability; fitter step required regardless. (2) Positioner + welder paired at every table covers same cells at same throughput window. (3) 50/50 split between positioner and table work — orbital provides no structural throughput advantage when tack is a separate manual step. CapEx weld power sources + positioner line items provide full coverage. No dedicated orbital budget required.</t>
  </si>
  <si>
    <t xml:space="preserve">CLOSED — REMOVED</t>
  </si>
  <si>
    <t xml:space="preserve">9.8</t>
  </si>
  <si>
    <t xml:space="preserve">Robot eligibility (separate from cells)</t>
  </si>
  <si>
    <t xml:space="preserve">1 Lincoln/Novarc HyperFill robot reserved for ≥12" CIRC BUTT WELDS ONLY. Lives in dedicated robot bay, not embedded in a work cell. Cell ships robot-eligible spools to robot bay for circ-butt pass; spool returns to cell for finish work. Robot does NOT replace a work cell — it augments mid-large cells on the heavy circ work.</t>
  </si>
  <si>
    <t xml:space="preserve">9.9</t>
  </si>
  <si>
    <t xml:space="preserve">Cycle time KPI</t>
  </si>
  <si>
    <t xml:space="preserve">Phase 1A target mean cycle ≤ 7.0 working days (Wang 2009 new-system actual). Stretch target Y3+ ≤ 5.0 days approaching one-piece-flow. Track per-spool cycle time as primary shop KPI. WIP value × cycle time = working capital draw — feeds IRR sensitivity.</t>
  </si>
  <si>
    <t xml:space="preserve">10.  CROSS-REFERENCES  —  where rules are applied in the model</t>
  </si>
  <si>
    <t xml:space="preserve">Where applied</t>
  </si>
  <si>
    <t xml:space="preserve">10.1</t>
  </si>
  <si>
    <t xml:space="preserve">20/80 Split (§1.2)</t>
  </si>
  <si>
    <t xml:space="preserve">Spool Pricing &amp; Mix tab, C15 = 0.20. Drives shop hrs in row 18 grid.</t>
  </si>
  <si>
    <t xml:space="preserve">LIVE</t>
  </si>
  <si>
    <t xml:space="preserve">10.2</t>
  </si>
  <si>
    <t xml:space="preserve">RT-only NDE (§3)</t>
  </si>
  <si>
    <t xml:space="preserve">Spool Pricing &amp; Mix tab, columns G18/H18 multipliers. NO UT row exists — by design.</t>
  </si>
  <si>
    <t xml:space="preserve">10.3</t>
  </si>
  <si>
    <t xml:space="preserve">Work-cell layout (§9.1)</t>
  </si>
  <si>
    <t xml:space="preserve">NOT YET in throughput math (row 52 still flat). To be applied in Option B/C rebuild.</t>
  </si>
  <si>
    <t xml:space="preserve">PENDING — held by user</t>
  </si>
  <si>
    <t xml:space="preserve">10.4</t>
  </si>
  <si>
    <t xml:space="preserve">Cross-trained labor (§9.3)</t>
  </si>
  <si>
    <t xml:space="preserve">Personnel tab — needs role consolidation (combine fit + position-fit, weld + position-weld).</t>
  </si>
  <si>
    <t xml:space="preserve">PENDING</t>
  </si>
  <si>
    <t xml:space="preserve">10.5</t>
  </si>
  <si>
    <t xml:space="preserve">Cycle time KPI (§9.9)</t>
  </si>
  <si>
    <t xml:space="preserve">No tab yet. Future: dedicated Cycle Time / Working Capital tab tied to IRR.</t>
  </si>
  <si>
    <t xml:space="preserve">10.6</t>
  </si>
  <si>
    <t xml:space="preserve">§9.7 M-79 (CLOSED)</t>
  </si>
  <si>
    <t xml:space="preserve">§9.7 resolved 2026-05-08. No follow-up action needed in Sources &amp; Uses for M-79 orbital. CapEx positioner + weld power line items provide equivalent coverage for ≤6" cells. No additional audit needed.</t>
  </si>
  <si>
    <t xml:space="preserve">CLOSED</t>
  </si>
  <si>
    <t xml:space="preserve">11.  PHASE 1D  —  CLEANING, PRESERVATION &amp; LAY-UP METHODOLOGY</t>
  </si>
  <si>
    <t xml:space="preserve">Step / Equipment</t>
  </si>
  <si>
    <t xml:space="preserve">11.1</t>
  </si>
  <si>
    <t xml:space="preserve">PRIMARY — Automated Shot Blast (pre-fab)</t>
  </si>
  <si>
    <t xml:space="preserve">Automated pipe OD/ID shot blast line, located BEFORE cutting/fitting/welding. 40' sticks easier to handle pre-cut. Required line components: roller conveyor infeed + outfeed, blast wheels (OD) and internal lance/head (ID, sized to bore), media reclaim screw/conveyor, media separator/cleaner, dust collector, spent media fines collection, profile control for coating/paint prep. Rust/oxide/scale removal in one pass. Tied to Pipe-shop-capex Phase 1D R35 = $1.80M.</t>
  </si>
  <si>
    <t xml:space="preserve">PRIMARY METHOD</t>
  </si>
  <si>
    <t xml:space="preserve">11.2</t>
  </si>
  <si>
    <t xml:space="preserve">BACKUP — Chemical Treatment (post-fab, pre-lay-up)</t>
  </si>
  <si>
    <t xml:space="preserve">Used as backup OR for post-fab spool cleaning when shot blast not feasible (already-fabricated assemblies, internal weld scale on long-tied spools, owner-spec'd flush). NOT a heavy acid pickle by default for CS hydronic/process/data center piping. Applied in ordered steps 11.3–11.8 below. Tied to Pipe-shop-capex Phase 1D R44 = $0.27M (Chemical Cleaning Backup Skid).</t>
  </si>
  <si>
    <t xml:space="preserve">BACKUP METHOD</t>
  </si>
  <si>
    <t xml:space="preserve">11.3</t>
  </si>
  <si>
    <t xml:space="preserve">Step A — Alkaline Detergent Clean</t>
  </si>
  <si>
    <t xml:space="preserve">Removes cutting oil, shop grease, handling contamination. Circulate or flush through spool/pipe section. Follow with clean water rinse. Standard first step — works for 80%+ of spools without escalation to acid.</t>
  </si>
  <si>
    <t xml:space="preserve">STANDARD</t>
  </si>
  <si>
    <t xml:space="preserve">11.4</t>
  </si>
  <si>
    <t xml:space="preserve">Step B — Mild Inhibited Acid (only if needed)</t>
  </si>
  <si>
    <t xml:space="preserve">Use ONLY when rust/scale persists after alkaline clean. Must be controlled by water-treatment/chemical-cleaning specialist (not in-house chem labor without cert). Must be neutralized and thoroughly rinsed. Default to skip unless visual/test confirms residual scale. Inhibited acid only — never raw HCl/sulfuric.</t>
  </si>
  <si>
    <t xml:space="preserve">CONDITIONAL</t>
  </si>
  <si>
    <t xml:space="preserve">11.5</t>
  </si>
  <si>
    <t xml:space="preserve">Step C — Passivating Corrosion Inhibitor Rinse</t>
  </si>
  <si>
    <t xml:space="preserve">Applied immediately after cleaning when appropriate. Chemistry per owner spec: nitrite, borate, molybdate, or phosphate-based. Leaves corrosion-inhibiting film before lay-up. Construction water-treatment guidance recommends this step routinely after flush/clean for CS systems entering extended lay-up.</t>
  </si>
  <si>
    <t xml:space="preserve">STANDARD when lay-up &gt;30 days</t>
  </si>
  <si>
    <t xml:space="preserve">11.6</t>
  </si>
  <si>
    <t xml:space="preserve">Step D — DI / RO Final Rinse</t>
  </si>
  <si>
    <t xml:space="preserve">For mission-critical, stainless, clean service, or owner-required systems. Verify conductivity before drying (target per spec — typical &lt; 10 µS/cm for clean service, &lt; 1 µS/cm for ultra-pure). Tied to Pipe-shop-capex Phase 1D R39 = $0.30M (RO/DI Water System).</t>
  </si>
  <si>
    <t xml:space="preserve">MISSION-CRITICAL ONLY</t>
  </si>
  <si>
    <t xml:space="preserve">11.7</t>
  </si>
  <si>
    <t xml:space="preserve">Step E — Dry Completely</t>
  </si>
  <si>
    <t xml:space="preserve">Heated filtered air or dry compressed air for standard service. Nitrogen purge/dry-down preferred for higher cleanliness or when N2 lay-up follows immediately (avoids switching gas). Tied to Pipe-shop-capex Phase 1D R40 = $0.40M (Drying System, heated air + N2 capability).</t>
  </si>
  <si>
    <t xml:space="preserve">11.8</t>
  </si>
  <si>
    <t xml:space="preserve">Step F — Nitrogen Lay-up</t>
  </si>
  <si>
    <t xml:space="preserve">Cap ends immediately after dry. Maintain positive N2 pressure (typical 5–10 psig). Tag spool with: date cleaned, lay-up gas, pressure, cleanliness verification status, NDE reference. EPRI fuel-gas line guidance specifically notes chemical rust inhibitors + N2 lay-up over air prior to service for long-term storage. Tied to Pipe-shop-capex Phase 1D R41 = $0.15M (Nitrogen Lay-up System: regulation, distribution, monitoring).</t>
  </si>
  <si>
    <t xml:space="preserve">STANDARD for &gt;7d lay-up</t>
  </si>
  <si>
    <t xml:space="preserve">11.9</t>
  </si>
  <si>
    <t xml:space="preserve">Documentation &amp; Turnover</t>
  </si>
  <si>
    <t xml:space="preserve">Per-spool traveler must record: shot-blast pass (Y/N + media cert), chemical steps applied (steps A–D as triggered), conductivity reading, dry method, lay-up gas + pressure + date, cleanliness verification (visual + conductivity + turbidity per QC step). Tied to Pipe-shop-capex Phase 1D R42 = $0.12M (QC/Instrumentation: conductivity, turbidity, logging) and R31 IT addition for clean/flush hold points.</t>
  </si>
  <si>
    <t xml:space="preserve">REQUIRED</t>
  </si>
  <si>
    <t xml:space="preserve">11.10</t>
  </si>
  <si>
    <t xml:space="preserve">DECISION RULE — when to use which method</t>
  </si>
  <si>
    <t xml:space="preserve">Pre-fab pipe stock = SHOT BLAST (primary). Post-fab spools needing internal flush = CHEMICAL TRAIN (steps A→C→E→F minimum; add B/D only if triggered). Mission-critical (data center chilled water, hospital chilled, steam) = full chain A→C→D→E→F. Stainless / exotic = D mandatory + N2 dry. CS hydronic at standard service = A→C→E→F sufficient.</t>
  </si>
  <si>
    <t xml:space="preserve">DECISION TREE</t>
  </si>
  <si>
    <t xml:space="preserve">11.11</t>
  </si>
  <si>
    <t xml:space="preserve">REVENUE OPPORTUNITY</t>
  </si>
  <si>
    <t xml:space="preserve">Phase 1D capability is sellable as standalone Hydroflush &amp; Preservation Service. Hyperscale DC central plant flushing contracts run $200K–500K per project; oil &amp; gas spec'd flushing jobs $30–60/DI standalone. With $5.49M Phase 1D investment, this becomes its own revenue line — not just internal capability. Build separate revenue tab in financial model when ready.</t>
  </si>
  <si>
    <t xml:space="preserve">BUSINESS LINE — held</t>
  </si>
  <si>
    <t xml:space="preserve">12.  HYDROFLUSH &amp; PRESERVATION  —  CUSTOMER SEGMENTATION &amp; PRICING</t>
  </si>
  <si>
    <t xml:space="preserve">12.1</t>
  </si>
  <si>
    <t xml:space="preserve">DC General Rule — NO WATER</t>
  </si>
  <si>
    <t xml:space="preserve">Hyperscale data centers BROADLY reject water flushing of any kind. Drivers: moisture risk in data hall, dead-leg MIC concerns, no on-site drains/holding/effluent treatment during fit-out, Cx team push-back on any wet-test that isn't pneumatic or hold-and-decay. Default DC product = SHOT BLAST + DRY + N2 LAY-UP. Wet methods reserved for non-DC verticals OR explicit owner spec.</t>
  </si>
  <si>
    <t xml:space="preserve">12.2</t>
  </si>
  <si>
    <t xml:space="preserve">EXCEPTION — Aligned Data Centers</t>
  </si>
  <si>
    <t xml:space="preserve">Aligned Data Centers (Aligned Energy) specifies DI/RO FLUSH on chilled water systems — full chain through Step D. Confirmed by user. Implication: Aligned spools must run the full chemical+DI path (steps A→C→D→E→F per §11), at higher $/spool. Do NOT default-apply the DC "no water" rule when bidding Aligned work — read the spec carefully. Any other hyperscale bidding work that follows Aligned-style spec gets same treatment.</t>
  </si>
  <si>
    <t xml:space="preserve">EXCEPTION — VERIFY SPEC</t>
  </si>
  <si>
    <t xml:space="preserve">12.3</t>
  </si>
  <si>
    <t xml:space="preserve">Spec Read Rule</t>
  </si>
  <si>
    <t xml:space="preserve">Before bidding ANY DC project, pull mechanical spec sections 23 21 13 (hydronic distribution), 23 25 00 (chemical treatment), and 33 11 00 (commissioning). Look for keywords: "DI rinse", "conductivity acceptance", "chemical clean", "flush velocity", "passivation". If present = full chain product. If absent or pneumatic-only = dry product.</t>
  </si>
  <si>
    <t xml:space="preserve">BIDDING DISCIPLINE</t>
  </si>
  <si>
    <t xml:space="preserve">12.4</t>
  </si>
  <si>
    <t xml:space="preserve">Competitor benchmark — $750/spool</t>
  </si>
  <si>
    <t xml:space="preserve">User intel: a competitor is averaging $750/spool on hyperscale work. This price point fits DRY METHOD product (shot blast + N2 lay-up + traveler), NOT full chemical chain. Implies that competitor's mix is mostly non-Aligned DC work. Validates DFMA dry-product pricing band and confirms market acceptance at that level.</t>
  </si>
  <si>
    <t xml:space="preserve">MARKET BENCHMARK</t>
  </si>
  <si>
    <t xml:space="preserve">13.  PHASE 1D PRICING  —  $/spool by band, by product</t>
  </si>
  <si>
    <t xml:space="preserve">Band / Product</t>
  </si>
  <si>
    <t xml:space="preserve">Cost / Sell / Margin</t>
  </si>
  <si>
    <t xml:space="preserve">13.0</t>
  </si>
  <si>
    <t xml:space="preserve">PRODUCT A — DRY (Shot blast + N2)</t>
  </si>
  <si>
    <t xml:space="preserve">Default for all hyperscale DC work EXCEPT Aligned. Path: shot blast pre-fab → fabricate → dry → N2 lay-up → cap → tag → traveler. NO water touches the spool. Equipment used: R35 shot blast line + R40 dryer + R41 N2 system + R42 QC + R31 IT.</t>
  </si>
  <si>
    <t xml:space="preserve">DEFAULT DC PRODUCT</t>
  </si>
  <si>
    <t xml:space="preserve">13.1</t>
  </si>
  <si>
    <t xml:space="preserve">≤ 4" — Dry</t>
  </si>
  <si>
    <t xml:space="preserve">Cost ~$130 mid · Sell $350 · Margin 63%</t>
  </si>
  <si>
    <t xml:space="preserve">Fast through line; low complexity</t>
  </si>
  <si>
    <t xml:space="preserve">13.2</t>
  </si>
  <si>
    <t xml:space="preserve">6"–12" — Dry</t>
  </si>
  <si>
    <t xml:space="preserve">Cost ~$180 mid · Sell $650 · Margin 72%</t>
  </si>
  <si>
    <t xml:space="preserve">Bread-and-butter; market rate</t>
  </si>
  <si>
    <t xml:space="preserve">13.3</t>
  </si>
  <si>
    <t xml:space="preserve">14"–24" — Dry</t>
  </si>
  <si>
    <t xml:space="preserve">Cost ~$250 mid · Sell $1,100 · Margin 77%</t>
  </si>
  <si>
    <t xml:space="preserve">Heavier handling, longer blast cycle</t>
  </si>
  <si>
    <t xml:space="preserve">13.4</t>
  </si>
  <si>
    <t xml:space="preserve">26"+ — Dry</t>
  </si>
  <si>
    <t xml:space="preserve">Cost ~$400 mid · Sell $1,800 · Margin 78%</t>
  </si>
  <si>
    <t xml:space="preserve">Custom rigging, panoramic blast</t>
  </si>
  <si>
    <t xml:space="preserve">13.5</t>
  </si>
  <si>
    <t xml:space="preserve">DC weighted average — Dry</t>
  </si>
  <si>
    <t xml:space="preserve">Equinix DFW mix (no 26"+) → ~$683/spool weighted.  Phase 1C+ steady-state blend (10/40/40/10) → ~$885/spool weighted.  Position $683 vs $750 competitor = strategic undercut for volume contracts; not racing to bottom.</t>
  </si>
  <si>
    <t xml:space="preserve">PRICING ANCHOR</t>
  </si>
  <si>
    <t xml:space="preserve">13.6</t>
  </si>
  <si>
    <t xml:space="preserve">PRODUCT B — FULL CHAIN (Aligned + non-DC)</t>
  </si>
  <si>
    <t xml:space="preserve">For Aligned Data Centers + hospitals + pharma + process + any owner spec'ing DI rinse. Path: shot blast → fab → alkaline → (acid if triggered) → passivating inhibitor → DI/RO rinse → dry → N2 lay-up. ALL Phase 1D equipment in play including R39 RO/DI system + R44 chemical skid.</t>
  </si>
  <si>
    <t xml:space="preserve">PREMIUM PRODUCT</t>
  </si>
  <si>
    <t xml:space="preserve">13.7</t>
  </si>
  <si>
    <t xml:space="preserve">≤ 4" — Full chain</t>
  </si>
  <si>
    <t xml:space="preserve">Cost ~$280 · Sell $750 · Margin 63%</t>
  </si>
  <si>
    <t xml:space="preserve">Add chemical step time + DI rinse</t>
  </si>
  <si>
    <t xml:space="preserve">13.8</t>
  </si>
  <si>
    <t xml:space="preserve">6"–12" — Full chain</t>
  </si>
  <si>
    <t xml:space="preserve">Cost ~$380 · Sell $1,150 · Margin 67%</t>
  </si>
  <si>
    <t xml:space="preserve">Standard hospital/Aligned bread-and-butter</t>
  </si>
  <si>
    <t xml:space="preserve">13.9</t>
  </si>
  <si>
    <t xml:space="preserve">14"–24" — Full chain</t>
  </si>
  <si>
    <t xml:space="preserve">Cost ~$520 · Sell $1,650 · Margin 68%</t>
  </si>
  <si>
    <t xml:space="preserve">Long internal flush time, conductivity verify</t>
  </si>
  <si>
    <t xml:space="preserve">13.10</t>
  </si>
  <si>
    <t xml:space="preserve">26"+ — Full chain</t>
  </si>
  <si>
    <t xml:space="preserve">Cost ~$800 · Sell $2,200 · Margin 64%</t>
  </si>
  <si>
    <t xml:space="preserve">Plant mains; custom rigging + panoramic + DI loop</t>
  </si>
  <si>
    <t xml:space="preserve">13.11</t>
  </si>
  <si>
    <t xml:space="preserve">Full chain weighted — Aligned-style mix</t>
  </si>
  <si>
    <t xml:space="preserve">Phase 1C+ blend (10/40/40/10) → ~$1,440/spool weighted.  Pure 6"-24" mid-band Aligned chilled water mix → ~$1,250/spool weighted.  Premium of ~$555 vs Dry product covers DI/chemical labor + RO/DI water cost + extended cycle time.</t>
  </si>
  <si>
    <t xml:space="preserve">13.12</t>
  </si>
  <si>
    <t xml:space="preserve">Revenue math — Phase 1C+ at full build</t>
  </si>
  <si>
    <t xml:space="preserve">60,000 spools/yr × 70% utilization × Dry weighted $885 = $37.2M/yr (mostly-DC mix). Aligned-heavy mix at $1,440 weighted = $60.5M/yr. Realistic blended Y3+ revenue assuming 60% Dry + 40% Full chain = ~$46M/yr.  COGS ~25–30% of revenue → $11.5–14M.  GP ~$32–34M/yr off $5.49M Phase 1D capital outlay → 6–9 month payback.</t>
  </si>
  <si>
    <t xml:space="preserve">PRO FORMA</t>
  </si>
  <si>
    <t xml:space="preserve">13.13</t>
  </si>
  <si>
    <t xml:space="preserve">Pricing posture</t>
  </si>
  <si>
    <t xml:space="preserve">DC volume contracts: price Dry slightly UNDER $750 competitor benchmark to win volume.  Aligned + hospital + pharma: price Full Chain at full premium — these specs eliminate price-shoppers, customer is paying for spec compliance, not for cheapest blast.  Maintain separate quote sheets per product so the chemical premium is visible to buyer ("why is this $1,440 not $750? — because your spec requires DI flush").</t>
  </si>
  <si>
    <t xml:space="preserve">STRATEGY</t>
  </si>
  <si>
    <t xml:space="preserve">13.14</t>
  </si>
  <si>
    <t xml:space="preserve">Build-out item</t>
  </si>
  <si>
    <t xml:space="preserve">Stand up dedicated "Phase 1D Service Revenue" tab in financial model with: utilization curve Y1-Y5, DC vs Aligned mix split, per-band $/spool drivers, COGS breakout, GP projection, IRR/payback math. Hold until next session per user.</t>
  </si>
  <si>
    <t xml:space="preserve">OPEN — held</t>
  </si>
  <si>
    <t xml:space="preserve">15.  DFMA MASTER ROADMAP &amp; SCOPE BOUNDARIES</t>
  </si>
  <si>
    <t xml:space="preserve">Business Unit / Phase</t>
  </si>
  <si>
    <t xml:space="preserve">Scope</t>
  </si>
  <si>
    <t xml:space="preserve">15.1</t>
  </si>
  <si>
    <t xml:space="preserve">PIPE FAB — Phase 1 (CS)</t>
  </si>
  <si>
    <t xml:space="preserve">Carbon Steel pipe spool welding shop. Sub-phases 1A → 1B → 1C → 1D. CURRENT HURDLE — all model work, Spool Pricing tab, WAM comparison, CapEx ($19.46M total), and Notes §1–§14 apply HERE. Phase 1D cleaning toggle exists on landed-cost-calculator (asset: landed-cost-calculator); will need to be surfaced on BP eventually — leave calculator as-is for now per user direction.</t>
  </si>
  <si>
    <t xml:space="preserve">CURRENT</t>
  </si>
  <si>
    <t xml:space="preserve">15.2</t>
  </si>
  <si>
    <t xml:space="preserve">PIPE FAB — Phase 2 (SS)</t>
  </si>
  <si>
    <t xml:space="preserve">Stainless Steel + exotics. Begins after CS shop is dialed and repeatable. Inherits Phase 1 work-cell layout, MCA method, 20/80 rule, RT-only NDE, Aligned-style DI flush requirements (becomes default not exception for SS service). Distinct WPS qualifications, distinct welder cert rotation, distinct media (ceramic/abrasive separation from CS to prevent contamination), distinct lay-up chemistry.</t>
  </si>
  <si>
    <t xml:space="preserve">FUTURE — Phase 1 must mature first</t>
  </si>
  <si>
    <t xml:space="preserve">15.3</t>
  </si>
  <si>
    <t xml:space="preserve">ELECTRICAL — Phase 2 (overall)</t>
  </si>
  <si>
    <t xml:space="preserve">Electrical fabrication as a separate vertical, NOT a sub-phase of pipe. Roadmapped in shared assets: electrical_billion_roadmap, electrical_24mo_standup, electrical_5yr_pl, vp_ops_cfo_recruiting. UL 508A compliance for fabrication is the gating cert. Runs parallel to Pipe Phase 2 (SS), not sequential — different shop, different labor pool, different code path.</t>
  </si>
  <si>
    <t xml:space="preserve">ROADMAPPED</t>
  </si>
  <si>
    <t xml:space="preserve">15.4</t>
  </si>
  <si>
    <t xml:space="preserve">MEP MODULAR ADD-ON</t>
  </si>
  <si>
    <t xml:space="preserve">Modular Pipe Racks, Skids, Hot/Cold Aisle Containment with utility racks. Layers onto whichever business unit is active — NOT a separate phase. CS pipe shop can build pipe portion of skids (1D feeds the cleaning); electrical shop can build power/control portion; integration happens via skid integrator workflow. Modular skids = passthrough + 12% markup (per user style rule). Reference shared assets: integrated_skid_roadmap, skid-pricing-calc, hyperscale_dc_landscape, hyperscale_dc_report.</t>
  </si>
  <si>
    <t xml:space="preserve">ADD-ON LAYER</t>
  </si>
  <si>
    <t xml:space="preserve">15.5</t>
  </si>
  <si>
    <t xml:space="preserve">REPLICATION STRATEGY</t>
  </si>
  <si>
    <t xml:space="preserve">After Phoenix CS shop is dialed: hit repeat 4–6× across CS (geographic expansion within 500-mi radius strategy). Each replicated shop reuses Phase 1A–1D template, work-cell layout, MCA pricing engine, NDE protocols, dry-method default + DI exception logic. SS / exotic / electrical only enter the picture AFTER replication is proven on CS.</t>
  </si>
  <si>
    <t xml:space="preserve">FUTURE</t>
  </si>
  <si>
    <t xml:space="preserve">15.6</t>
  </si>
  <si>
    <t xml:space="preserve">WALK-THROUGH SCOPE</t>
  </si>
  <si>
    <t xml:space="preserve">Spool Pricing &amp; Mix walkthrough stays on Phase 1 CS Pipe until user pivots. All model edits target the CS pipe shop today. SS, electrical, modular MEP context preserved here so we don't lose the bigger picture, but does NOT drive today's work.</t>
  </si>
  <si>
    <t xml:space="preserve">LIVE BOUNDARY</t>
  </si>
  <si>
    <t xml:space="preserve">14.  P&amp;L!C17 COMPOSITION  —  15% "Other Direct Cost" breakdown</t>
  </si>
  <si>
    <t xml:space="preserve">Sub-Line</t>
  </si>
  <si>
    <t xml:space="preserve">Weight</t>
  </si>
  <si>
    <t xml:space="preserve">14.1</t>
  </si>
  <si>
    <t xml:space="preserve">Bonds &amp; Insurance</t>
  </si>
  <si>
    <t xml:space="preserve">Performance bonds + payment bonds (AIA A312) typically 1–2% of contract value. General liability + builder's risk + umbrella layer. For hyperscale GC-subs, bond capacity is a qualifying gate — carry even on CFM jobs where material is client-provided (labor still bondable).</t>
  </si>
  <si>
    <t xml:space="preserve">4%</t>
  </si>
  <si>
    <t xml:space="preserve">14.2</t>
  </si>
  <si>
    <t xml:space="preserve">ASME Sec IX + Certifications</t>
  </si>
  <si>
    <t xml:space="preserve">ASME Section IX WPS/PQR maintenance, welder cert renewals (6-month recertification per QW-322), NDE technician cert (SNT-TC-1A Level II/III), ASME U-stamp / S-stamp renewal fees, QC audit costs. Scales with headcount — every new welder = new cert cycle.</t>
  </si>
  <si>
    <t xml:space="preserve">3%</t>
  </si>
  <si>
    <t xml:space="preserve">14.3</t>
  </si>
  <si>
    <t xml:space="preserve">Union / Labor Compliance</t>
  </si>
  <si>
    <t xml:space="preserve">Apprenticeship fund contributions, union welfare/pension where applicable (UA 469 Phoenix is NOT union-shop territory but hyperscale clients may require union on specific jobs). Davis-Bacon / prevailing wage compliance for any federal-tied work. Flex line — 0% in RTW merit-shop context, up to 3–4% on union projects.</t>
  </si>
  <si>
    <t xml:space="preserve">2%</t>
  </si>
  <si>
    <t xml:space="preserve">14.4</t>
  </si>
  <si>
    <t xml:space="preserve">Project-Direct Consumables &amp; Setup</t>
  </si>
  <si>
    <t xml:space="preserve">Weld consumables (wire, electrodes, shielding gas) beyond standard burden, rigging rentals, temporary utilities, small tools replenishment, site-specific PPE, job-site consumables that don't fit into the shop burden rate.</t>
  </si>
  <si>
    <t xml:space="preserve">6%</t>
  </si>
  <si>
    <t xml:space="preserve">14.5</t>
  </si>
  <si>
    <t xml:space="preserve">SUM CHECK</t>
  </si>
  <si>
    <t xml:space="preserve">4 + 3 + 2 + 6 = 15.0%. Ties to P&amp;L!C17 rate card. No hidden overflow.</t>
  </si>
  <si>
    <t xml:space="preserve">15% ✓</t>
  </si>
  <si>
    <t xml:space="preserve">14.6</t>
  </si>
  <si>
    <t xml:space="preserve">DORMANT DRIVER FLAG</t>
  </si>
  <si>
    <t xml:space="preserve">CRITICAL FINDING: P&amp;L!C17 (15% rate) has ZERO downstream formula references in the workbook (verified by pre-flight cross-ref scan 2026-05-08). Rows 16 (Corp Tax 15%) and 18 (OH 20%) show the same pattern — B-col="y" + C-col=rate, no propagation into columns D:BW. Monthly P&amp;L row starts at row 19. These rate cards appear to be LEGACY assumptions not currently flowing into the monthly P&amp;L. Audit before HITT/CFO review.</t>
  </si>
  <si>
    <t xml:space="preserve">AUDIT NEEDED</t>
  </si>
  <si>
    <t xml:space="preserve">16.  CAPEX RECONCILIATION  —  23,486 vs 60,000 gap CLOSED</t>
  </si>
  <si>
    <t xml:space="preserve">Issue / Resolution</t>
  </si>
  <si>
    <t xml:space="preserve">16.1</t>
  </si>
  <si>
    <t xml:space="preserve">ORIGINAL GAP</t>
  </si>
  <si>
    <t xml:space="preserve">Spool Pricing &amp; Mix row 55 (manual baseline) showed ~16,197 spools/yr at Y4+ and Revenue row 57 robot-adjusted total ~23,486/yr peak. CapEx Phase Plan tab (separate file) target: 60,000 spools/yr at Phase 1C steady state. Gap = 2.5× short. Would have been exposed on first HITT/Aligned technical review.</t>
  </si>
  <si>
    <t xml:space="preserve">GAP IDENTIFIED</t>
  </si>
  <si>
    <t xml:space="preserve">16.2</t>
  </si>
  <si>
    <t xml:space="preserve">ROOT CAUSE</t>
  </si>
  <si>
    <t xml:space="preserve">Two compounding placeholder values in Spool Pricing &amp; Mix: (a) Row 50 "Active fab cells" = [2,4,6,8,8] — did not reflect CapEx SB+Hvy split of [3,7,8,8,8]. (b) Row 52 "Spools/cell/shift" = [1.5, 2, 2.5, 2.7, 2.7] blended average with no linkage to CapEx rates of SB=14 and Hvy=6 spl/cell/shift. Combined effect: downstream Y3 revenue under-stated by ~60%.</t>
  </si>
  <si>
    <t xml:space="preserve">DIAGNOSED</t>
  </si>
  <si>
    <t xml:space="preserve">16.3</t>
  </si>
  <si>
    <t xml:space="preserve">RESOLUTION A — Band grid</t>
  </si>
  <si>
    <t xml:space="preserve">Spool Pricing &amp; Mix rows 73–90 rebuilt as 4-band × 5-year throughput grid. Rows 75–78 hold per-band rates tied to CapEx!B12:B13 (SB=14, Hvy=6). Rows 80–81 hold SB / Hvy cell counts by year tied to CapEx Phase 1A/1B/1C. Row 82 = Σ cells (formula). Row 84 = weighted blended rate (formula). Row 86 = CapEx-correct spools/yr. Row 87 = CapEx target. Row 88 = variance.</t>
  </si>
  <si>
    <t xml:space="preserve">COMPLETE 5/8/26</t>
  </si>
  <si>
    <t xml:space="preserve">16.4</t>
  </si>
  <si>
    <t xml:space="preserve">RESOLUTION B — Row 52 formulas</t>
  </si>
  <si>
    <t xml:space="preserve">Row 52 hardcodes [1.5/2/2.5/2.7/2.7] replaced with formula references to Row 84 weighted blend → [11.33/10.57/10.00/10.00/10.00]. Row 55 (manual baseline) and Row 57 (robot-adjusted) automatically pick up correct rate. No structural formula changes in rows 55/57/59 — clean cascade.</t>
  </si>
  <si>
    <t xml:space="preserve">16.5</t>
  </si>
  <si>
    <t xml:space="preserve">RESOLUTION C — Row 50 cascade</t>
  </si>
  <si>
    <t xml:space="preserve">Row 50 updated [2,4,6,8,8] → [3,7,8,8,8] per CapEx-correct SB+Hvy cell totals. Y1 3 cells (2 SB + 1 Hvy Phase 1A), Y2 7 cells (4 SB + 3 Hvy Phase 1B), Y3+ 8 cells (4 SB + 4 Hvy Phase 1C). Row 89 pending-approval flag cleared.</t>
  </si>
  <si>
    <t xml:space="preserve">16.6</t>
  </si>
  <si>
    <t xml:space="preserve">CURRENT VARIANCE vs CapEx</t>
  </si>
  <si>
    <t xml:space="preserve">Row 88 variance at Y1=−1, Y2=−6, Y3+=−10 spools. Floor noise from 20.83×12 = 249.96 days vs CapEx flat 250 days/yr. NOT a real reconciliation gap — immaterial at financial precision.</t>
  </si>
  <si>
    <t xml:space="preserve">RECONCILED</t>
  </si>
  <si>
    <t xml:space="preserve">16.7</t>
  </si>
  <si>
    <t xml:space="preserve">DOWNSTREAM IMPACT AUDIT</t>
  </si>
  <si>
    <t xml:space="preserve">Cross-ref scan: Field Install (80%)!D20:D23 and WAM vs MCA!I13:I16 pull from Spool Pricing!F19:F22 ($/spool by band) ONLY. Rows 50–59 (volume forecast) are NOT consumed by Field Install or WAM vs MCA. Fleet totals ($3.85M DFMA vs $5.63M competitor = $1.78M savings; $2.04M WAM vs $670K MCA = $1.37M leakage) use Equinix DFW 468-spool empirical baseline, unchanged by the cascade. P&amp;L revenue line and 3Y / 5Y tables receive cascade normally (no formula break).</t>
  </si>
  <si>
    <t xml:space="preserve">16.8</t>
  </si>
  <si>
    <t xml:space="preserve">ACADEMIC BACKING</t>
  </si>
  <si>
    <t xml:space="preserve">Wang, Mohamed, AbouRizk &amp; Rawa (2009) ASCE Journal: gang-build FIFO shop reduces fab cycle time 39% (11.5d → 7.0d). CapEx SB=14 and Hvy=6 spools/cell/shift at 1G position-factor baseline are consistent with Wang's reported throughput envelope. Throughput ramp is STRUCTURAL (cells + shifts added through phases), not rate inflation.</t>
  </si>
  <si>
    <t xml:space="preserve">17.  BASE vs STRETCH SENSITIVITY  —  dual-revenue-model investor framing</t>
  </si>
  <si>
    <t xml:space="preserve">17.1</t>
  </si>
  <si>
    <t xml:space="preserve">TWO PARALLEL REVENUE MODELS</t>
  </si>
  <si>
    <t xml:space="preserve">Revenue!Row 100 (P&amp;L feeder) uses hardcoded volume ramp Rev!H56:BI56 (~720 spools/mo Y2-Y4) at Rev!Row 72 prices ($1,700-$2,100). Spool Pricing &amp; Mix!Row 59 uses CapEx-derived band-grid throughput at $2,033-$2,475 weighted. Recalc gives Base 5Y Rev = $364M / Stretch 5Y Rev = $737M.</t>
  </si>
  <si>
    <t xml:space="preserve">DUAL TRACK</t>
  </si>
  <si>
    <t xml:space="preserve">17.2</t>
  </si>
  <si>
    <t xml:space="preserve">DRIVERS VERIFIED LIVE</t>
  </si>
  <si>
    <t xml:space="preserve">Pre-flight scan flagged P&amp;L!C17 (15% ODC), C18 (20% OH), B15 (20% Payroll Tax), C16 (15% Corp Tax) as potentially dormant. Deep recalc 2026-05-08 confirmed all four drivers DO propagate to monthly P&amp;L (rows 22, 30, 39, 44). Earlier $1.22M/yr concern was a single-cell read of Rev!H100 = month 7 only, NOT annual.</t>
  </si>
  <si>
    <t xml:space="preserve">VERIFIED FLOWING</t>
  </si>
  <si>
    <t xml:space="preserve">17.3</t>
  </si>
  <si>
    <t xml:space="preserve">SHEET BUILT — Base vs Stretch</t>
  </si>
  <si>
    <t xml:space="preserve">New tab 'Base vs Stretch' (orange tab color) with 4 sections: (1) Annual revenue side-by-side with delta $ and %, (2) Full P&amp;L bridge applying same drivers to both scenarios, (3) Executive summary 5Y + Y5 metrics, (4) Operational gating items 4.1-4.8 with risk grades. All formulas — no hardcodes.</t>
  </si>
  <si>
    <t xml:space="preserve">17.4</t>
  </si>
  <si>
    <t xml:space="preserve">INVESTOR FRAMING</t>
  </si>
  <si>
    <t xml:space="preserve">Base = defendable downside (current P&amp;L as built; conservative volume ramp; $90.7M Y5 / $27M EBITDA). Stretch = upside if band-grid throughput is unlocked at full build ($215M Y5 topline). Δ = ~$130M Y5. Risk-adjusted ROIC works at Base; Stretch is the optionality narrative for HITT/CFO review.</t>
  </si>
  <si>
    <t xml:space="preserve">READY</t>
  </si>
  <si>
    <t xml:space="preserve">17.5</t>
  </si>
  <si>
    <t xml:space="preserve">WHAT GATES STRETCH</t>
  </si>
  <si>
    <t xml:space="preserve">4.3 Multi-shift hiring (Med-High risk), 4.5 Sustained hyperscaler demand 1,800-2,500 spools/mo (High risk), 4.6 85-90% shop utilization with FIFO gang-build (Med risk). Other levers (4.1, 4.2, 4.4, 4.7, 4.8) are Low/Med — not the binding constraints.</t>
  </si>
  <si>
    <t xml:space="preserve">GATING IDENTIFIED</t>
  </si>
  <si>
    <t xml:space="preserve">17.6</t>
  </si>
  <si>
    <t xml:space="preserve">DO-NOT-TOUCH PROTECTION</t>
  </si>
  <si>
    <t xml:space="preserve">Spool Pricing &amp; Mix!Row 59 remains the band-grid output (untouched — academic backing per Wang 2009). Revenue!Row 100 / P&amp;L!Row 19 chain remains the conservative defensible base (untouched). The Base vs Stretch tab is non-destructive read-only — pulls from both via formulas. 108 pre-existing errors NOT chased.</t>
  </si>
  <si>
    <t xml:space="preserve">ISOLATED</t>
  </si>
  <si>
    <t xml:space="preserve">17.7</t>
  </si>
  <si>
    <t xml:space="preserve">HITT / CFO REVIEW POSTURE</t>
  </si>
  <si>
    <t xml:space="preserve">Lead with Base case ($90.7M Y5, $27M EBITDA, 30% margin). Reference Stretch as ‘CapEx-justified maximum throughput envelope per Wang 2009 / band-grid model — gating items 4.3 / 4.5 / 4.6 must be met'. Avoid presenting Stretch as plan-of-record. Position as 'investor optionality, not commitment'.</t>
  </si>
  <si>
    <t xml:space="preserve">FRAMED</t>
  </si>
  <si>
    <t xml:space="preserve">18.  REVENUE MODEL TOGGLE  —  Option B implemented, Revenue!C48 drives Base ↔ Stretch</t>
  </si>
  <si>
    <t xml:space="preserve">18.1</t>
  </si>
  <si>
    <t xml:space="preserve">TOGGLE LOCATION</t>
  </si>
  <si>
    <t xml:space="preserve">Revenue!C48 is the single control cell. Dropdown data validation: BASE or STRETCH. Default ships as BASE (conservative P&amp;L defensible at HITT/CFO review). Labels at B47:F47 with live 5Y feed preview at B50:F51 for visual confirmation of active model.</t>
  </si>
  <si>
    <t xml:space="preserve">INSTALLED</t>
  </si>
  <si>
    <t xml:space="preserve">18.2</t>
  </si>
  <si>
    <t xml:space="preserve">IMPLEMENTATION</t>
  </si>
  <si>
    <t xml:space="preserve">Revenue!Row 100 (all 60 monthly cells B100:BI100) rewritten as: IF($C$48="STRETCH", 'Spool Pricing &amp; Mix'!$X$59/12, &lt;original_base_formula&gt;). Original base formulas (=SUM(B56*B72) for Y1 months, =SUM(H87:H99) Y2+) preserved verbatim in the FALSE branch. Stretch branch uses band-grid annual ÷ 12 for monthly smoothing.</t>
  </si>
  <si>
    <t xml:space="preserve">18.3</t>
  </si>
  <si>
    <t xml:space="preserve">YEAR→COLUMN MAPPING</t>
  </si>
  <si>
    <t xml:space="preserve">Y1 = cols B:M → Spool Pricing!$C$59 (Y1 annual). Y2 = N:Y → $D$59. Y3 = Z:AK → $E$59. Y4 = AL:AW → $F$59. Y5 = AX:BI → $G$59. Toggle applies same year-to-column logic to all 60 monthly cells.</t>
  </si>
  <si>
    <t xml:space="preserve">MAPPED</t>
  </si>
  <si>
    <t xml:space="preserve">18.4</t>
  </si>
  <si>
    <t xml:space="preserve">DOWNSTREAM IMPACT VERIFIED</t>
  </si>
  <si>
    <t xml:space="preserve">BASE test: Y1=$7.3M, Y2=$66.9M, Y3=$114.9M, Y4=$84.7M, Y5=$90.7M, EBITDA Y5=$27.0M (matches v6/v7 baseline). STRETCH test: Y1=$8.6M, Y2=$95.0M, Y3=$203.4M, Y4=$215.3M, Y5=$215.3M, EBITDA Y5=$108.0M, NP Y5=$87.7M. All downstream tabs (P&amp;L, Cash Flow, Balance Sheet, Tables 5Y, Sensitivity Analysis) recalc automatically when toggle flips.</t>
  </si>
  <si>
    <t xml:space="preserve">VERIFIED BOTH MODES</t>
  </si>
  <si>
    <t xml:space="preserve">18.5</t>
  </si>
  <si>
    <t xml:space="preserve">BASE vs STRETCH TAB STILL LIVE</t>
  </si>
  <si>
    <t xml:space="preserve">Dedicated comparison tab remains as side-by-side reference. Still reads Base via annual_sum formulas on P&amp;L Row 19 — when toggle = BASE, both the live P&amp;L AND the Base column in comparison tab show Base. When toggle = STRETCH, live P&amp;L shows Stretch; Base column in comparison tab now mirrors STRETCH (Base label no longer holds). ⚠️ For clean investor deliverables, keep toggle = BASE and read Stretch from Spool Pricing!Row 59 side.</t>
  </si>
  <si>
    <t xml:space="preserve">REFERENCE NOTE</t>
  </si>
  <si>
    <t xml:space="preserve">18.6</t>
  </si>
  <si>
    <t xml:space="preserve">RECALC GATE</t>
  </si>
  <si>
    <t xml:space="preserve">108 errors (unchanged baseline — all pre-existing). 45,018 formulas (was 45,014 in v7; +4 for live 5Y feed display cells B50, D50, E50, F50). No new errors introduced in either toggle position. Surgical edits only to Row 100 and the B47:F51 toggle block.</t>
  </si>
  <si>
    <t xml:space="preserve">CLEAN</t>
  </si>
  <si>
    <t xml:space="preserve">18.7</t>
  </si>
  <si>
    <t xml:space="preserve">USAGE</t>
  </si>
  <si>
    <t xml:space="preserve">To switch: Open Revenue tab → click cell C48 → dropdown arrow → pick BASE or STRETCH → press Enter. All sheets recalc. For Excel on desktop: Ctrl+Alt+F9 to force full recalc if anything looks stale. LibreOffice: Ctrl+Shift+F9.</t>
  </si>
  <si>
    <t xml:space="preserve">19.  GC COST-LEVER CALCULATOR  —  per-spool &amp; per-project negotiation tool</t>
  </si>
  <si>
    <t xml:space="preserve">19.1</t>
  </si>
  <si>
    <t xml:space="preserve">TAB LOCATION</t>
  </si>
  <si>
    <t xml:space="preserve">New tab 'GC Cost Levers' (teal tab color #20808D) added as 32nd sheet, positioned after Base vs Stretch. Contains 4 sections: (1) 12-lever markup grid with Industry Low/High, Aggressive, Defensible, GC Ask, DFMA Counter columns; (2) per-spool landed cost across 4 size bands (≤4", 6-12", 14-24", 26"+); (3) per-project total impact with editable spool count + mix profile dropdown; (4) negotiation talk track 4.1–4.8.</t>
  </si>
  <si>
    <t xml:space="preserve">19.2</t>
  </si>
  <si>
    <t xml:space="preserve">12 LEVERS BUILT</t>
  </si>
  <si>
    <t xml:space="preserve">OH&amp;P, CM Fee, P&amp;P bonds, Builder's Risk, GL insurance, SDI, contingency, permits/fees, sales tax, freight, storage, plus subtotal rows. Inputs in gold/amber #2A1A00 fill cells. GC Ask totals compounded markup of 63.72%; DFMA Counter compounded markup of 27.85%. Compounded multiplier formula: =EXP(SUMPRODUCT(LN(1+range)))-1 (correct math for stacked markups, not additive).</t>
  </si>
  <si>
    <t xml:space="preserve">19.3</t>
  </si>
  <si>
    <t xml:space="preserve">PER-SPOOL LANDED COST</t>
  </si>
  <si>
    <t xml:space="preserve">Pulls Fab + Field Install base from Field Install (80%)!D20:E23 then applies GC Ask vs DFMA Counter compounded markup. Defaults: ≤4" GC Ask=$4,814 / DFMA Counter=$3,759 (Δ$1,055, 28%). 6-12" $9,213 / $7,194. 14-24" $22,959 / $17,928. 26"+ band carried per Spool Pricing &amp; Mix scaling.</t>
  </si>
  <si>
    <t xml:space="preserve">WIRED LIVE</t>
  </si>
  <si>
    <t xml:space="preserve">19.4</t>
  </si>
  <si>
    <t xml:space="preserve">PER-PROJECT IMPACT</t>
  </si>
  <si>
    <t xml:space="preserve">Editable spool count cell (default 468 = Equinix DFW Phase 1A) and mix profile dropdown: 'DFW Actual' / 'Phase 1A-1B' / 'Phase 1C+' / 'Y2 Blend'. Mix uses CHOOSE(MATCH(...)) against Spool Pricing &amp; Mix!Rows 26-29 (do-not-touch source). Default project totals: GC Ask = $6,309,301 / DFMA Counter = $4,926,747 / Negotiation savings = $1,382,554 (22.0%).</t>
  </si>
  <si>
    <t xml:space="preserve">DEFAULTS LOCKED</t>
  </si>
  <si>
    <t xml:space="preserve">19.5</t>
  </si>
  <si>
    <t xml:space="preserve">NEGOTIATION TALK TRACK</t>
  </si>
  <si>
    <t xml:space="preserve">Section 4 rows 44+ encodes 4.1-4.8 'GC will say' / 'DFMA counter' / 'Evidence' columns. Covers OH&amp;P benchmarking, P&amp;P bond pass-through, builder's risk allocation, freight &amp; storage carve-outs, contingency right-sizing, sales tax line-itemization, and modular skid markup ceiling at 12% (per persistent rule).</t>
  </si>
  <si>
    <t xml:space="preserve">19.6</t>
  </si>
  <si>
    <t xml:space="preserve">Spool Pricing &amp; Mix Rows 26-29 (mix profiles) and Field Install (80%)!D20:E23 (per-spool labor base) consumed read-only. No upstream cell modified. GC Cost Levers tab is isolated downstream — switching Revenue!C48 BASE↔STRETCH does not corrupt this calculator.</t>
  </si>
  <si>
    <t xml:space="preserve">19.7</t>
  </si>
  <si>
    <t xml:space="preserve">108 errors (unchanged baseline — all pre-existing per held queue: 3 VALUE-errors at 3Y Tbls HS1/GI15/GI16, 65 DIV-by-zero at Revenue P43:AK43, 40 NAME-errors at OH Projection / Revenu Breakdown Structure). 45,092 formulas (+74 vs v8). Zero new errors introduced.</t>
  </si>
  <si>
    <t xml:space="preserve">19.8</t>
  </si>
  <si>
    <t xml:space="preserve">Open 'GC Cost Levers' tab → adjust gold/amber input cells in Section 1 to model alternative GC asks → adjust spool count + pick mix from dropdown in Section 3 → read landed-cost delta and project-total savings. Use Section 4 talk track verbatim in HITT / GC negotiations.</t>
  </si>
  <si>
    <t xml:space="preserve">20.  TX SHOP COMP  —  validation that 8-cell capacity fills without a hyperscale anchor</t>
  </si>
  <si>
    <t xml:space="preserve">20.1</t>
  </si>
  <si>
    <t xml:space="preserve">TX COMP DATA POINT</t>
  </si>
  <si>
    <t xml:space="preserve">Polk Mechanical (TX) runs 8 outside fabricators full on HITT + Aligned + smaller GC mix — no hyperscale anchors required. Polk reached out to user 2026 W18 asking if user knows fab shops that could help (8 fabricators saturated, hunting #9).</t>
  </si>
  <si>
    <t xml:space="preserve">LOGGED 2026-05-09</t>
  </si>
  <si>
    <t xml:space="preserve">20.2</t>
  </si>
  <si>
    <t xml:space="preserve">MODEL IMPLICATION</t>
  </si>
  <si>
    <t xml:space="preserve">Pass 3 anchor toggles default to 0 anchors. Base case = Polk-style overflow + colo/Aligned. Anchors become upside. Polk inbound is current demand, not a sales pipeline — first revenue pathway after shop commissioning M13.</t>
  </si>
  <si>
    <t xml:space="preserve">DIRECTIVE</t>
  </si>
  <si>
    <t xml:space="preserve">20.3</t>
  </si>
  <si>
    <t xml:space="preserve">GAP-FILL NAMED SOURCES</t>
  </si>
  <si>
    <t xml:space="preserve">Polk Mechanical (TX, primary), Aligned Data Centers, HITT subcontracts, Equinix, Digital Realty, CoreSite, QTS, CyrusOne. Mid-size deals (50-500 spools each), faster cycles than hyperscale, 8 cells absorb them comfortably.</t>
  </si>
  <si>
    <t xml:space="preserve">20.4</t>
  </si>
  <si>
    <t xml:space="preserve">SHOP COMMISSIONING TIE-IN</t>
  </si>
  <si>
    <t xml:space="preserve">Y1 still stick-build (shop live M13 per Spool Pricing!C102). Colo/Aligned revenue in Y1 runs through field install only. Shop absorbs colo/Aligned starting M13.</t>
  </si>
  <si>
    <t xml:space="preserve">ALIGNED</t>
  </si>
  <si>
    <t xml:space="preserve">21.  POLK MECHANICAL  —  inbound overflow demand · 2026 W18</t>
  </si>
  <si>
    <t xml:space="preserve">21.1</t>
  </si>
  <si>
    <t xml:space="preserve">INBOUND DEMAND</t>
  </si>
  <si>
    <t xml:space="preserve">Polk Mechanical (TX) directly asked user week of 2026-05-04 if he knows fab shops that could help. Polk's 8 outside fabricators saturated. Hunting #9. User has Brycon/HITT relationship history that ties in.</t>
  </si>
  <si>
    <t xml:space="preserve">INBOUND 2026-05-09</t>
  </si>
  <si>
    <t xml:space="preserve">21.2</t>
  </si>
  <si>
    <t xml:space="preserve">POLK CLIENT MIX</t>
  </si>
  <si>
    <t xml:space="preserve">HITT + Aligned + smaller GCs. No hyperscale anchors required. Colo-tier and mid-market work.</t>
  </si>
  <si>
    <t xml:space="preserve">VALIDATED</t>
  </si>
  <si>
    <t xml:space="preserve">21.3</t>
  </si>
  <si>
    <t xml:space="preserve">REVENUE PATHWAY</t>
  </si>
  <si>
    <t xml:space="preserve">DFMA becomes 9th outside fabricator for Polk starting M13. Bypasses anchor sales cycle entirely. Polk writes the spec, DFMA fabs to print. No VDC burden on us — Polk owns the engineering.</t>
  </si>
  <si>
    <t xml:space="preserve">PATHWAY</t>
  </si>
  <si>
    <t xml:space="preserve">21.4</t>
  </si>
  <si>
    <t xml:space="preserve">STRATEGIC SIGNIFICANCE</t>
  </si>
  <si>
    <t xml:space="preserve">Inverts the model. Base case is no longer 'win first anchor' — it is 'fill cells with Polk overflow + colo while pursuing anchors'. De-risks Y2-Y3 cashflow. HITT relationship can be re-warmed via Polk.</t>
  </si>
  <si>
    <t xml:space="preserve">21.5</t>
  </si>
  <si>
    <t xml:space="preserve">OPEN ITEMS</t>
  </si>
  <si>
    <t xml:space="preserve">(a) Polk's $/spool or $/hr rate to outside fabs — STILL OPEN, needed to set DFMA's accept floor.  (b) RESOLVED 2026-05-10: Polk band mix similar to Equinix DFW (26.5% ≤4" / 34% 6-12" / 39.5% 14-24" / 0% 26"+).  (c) RESOLVED 2026-05-10: Polk capacity commitment = all 8 cells. DFMA's full CS shop absorbed by Polk overflow until anchor wins or shop expansion.</t>
  </si>
  <si>
    <t xml:space="preserve">2 of 3 RESOLVED</t>
  </si>
  <si>
    <t xml:space="preserve">22.  MARKET SUPPLY GAP  —  competitive landscape intelligence  (2026-05-09)</t>
  </si>
  <si>
    <t xml:space="preserve">Player</t>
  </si>
  <si>
    <t xml:space="preserve">Intel</t>
  </si>
  <si>
    <t xml:space="preserve">DFMA Implication</t>
  </si>
  <si>
    <t xml:space="preserve">22.1</t>
  </si>
  <si>
    <t xml:space="preserve">POLK MECHANICAL (TX)</t>
  </si>
  <si>
    <t xml:space="preserve">Triple Point company. 8 outside fabricators saturated. Years away from own shop. Cannot get sister companies to fab. Currently hauling from Maryland to cover demand. Working Turner + Aligned + smaller GCs. Asked user for #9 fabricator 2026 W18.</t>
  </si>
  <si>
    <t xml:space="preserve">DFMA = freight advantage over Maryland shop. AZ-to-TX haul cheaper than MD-to-TX. No VDC burden — Polk owns engineering, DFMA fabs to print. M13 inbound.</t>
  </si>
  <si>
    <t xml:space="preserve">22.2</t>
  </si>
  <si>
    <t xml:space="preserve">HARRIS (LA shop / 10X)</t>
  </si>
  <si>
    <t xml:space="preserve">Harris buying a fabrication shop in Los Angeles specifically to supply the 10X project in LA. Shop acquisition = Harris solved their own CA problem the same way DFMA solves the AZ/SW problem.</t>
  </si>
  <si>
    <t xml:space="preserve">Validates the shop-ownership model. Harris LA does not cover AZ, Phoenix corridor, or TX west. Not a competitor — a comparable. Same margin thesis.</t>
  </si>
  <si>
    <t xml:space="preserve">22.3</t>
  </si>
  <si>
    <t xml:space="preserve">SOUTHLAND MECHANICAL</t>
  </si>
  <si>
    <t xml:space="preserve">Southland already active in data center skid fabrication. Recognized the same supply gap and moved into skids/racks ahead of market.</t>
  </si>
  <si>
    <t xml:space="preserve">Validates DFMA skid/rack revenue stream (Pass 3). Southland's activity = proven buyer appetite. DFMA can sub-fab skids to Southland and/or compete directly on direct-award skid packages.</t>
  </si>
  <si>
    <t xml:space="preserve">22.4</t>
  </si>
  <si>
    <t xml:space="preserve">TURNER CONSTRUCTION + ALIGNED</t>
  </si>
  <si>
    <t xml:space="preserve">Turner is the GC on Aligned projects where Polk is the MEP. Same supply squeeze at the GC tier — Turner needs fab throughput for Aligned schedule.</t>
  </si>
  <si>
    <t xml:space="preserve">Turner relationship accessible via Polk MEP path. DFMA doesn't need a cold Turner intro — Polk MEP sub-fab gets DFMA in front of Turner's schedule team organically.</t>
  </si>
  <si>
    <t xml:space="preserve">22.5</t>
  </si>
  <si>
    <t xml:space="preserve">OVERALL SUPPLY THESIS</t>
  </si>
  <si>
    <t xml:space="preserve">No major MEP contractor in the SW/TX/Mountain West has solved the pipe fab supply problem organically. Polk imports from MD. Harris bought a CA shop. Southland self-fabricates skids. Nobody has a regional AZ shop available for overflow.</t>
  </si>
  <si>
    <t xml:space="preserve">DFMA opens the door M13 and the phone rings. No outbound sales required for base case. Outbound required only to sequence anchor projects (Pass 3). Pricing power = Maryland freight + schedule premium.</t>
  </si>
  <si>
    <t xml:space="preserve">23.  POLK / EQUINIX MARKET COMP  —  $700K fab-only · 80-90% MCA non-union · 2024</t>
  </si>
  <si>
    <t xml:space="preserve">Resolution / Math</t>
  </si>
  <si>
    <t xml:space="preserve">23.1</t>
  </si>
  <si>
    <t xml:space="preserve">RAW DATA POINT</t>
  </si>
  <si>
    <t xml:space="preserve">LOCKED: $700K / 468 spools = $1,496/spool in 2024. At 8%/yr labor escalation → 2026 market ≈ $1,745/spool. Confirmed by user: Equinix DFW was a POLK project, DPR brought user in to help. 468 = T1+T2 combined (DFMA data dump source).</t>
  </si>
  <si>
    <t xml:space="preserve">CONFIRMED</t>
  </si>
  <si>
    <t xml:space="preserve">23.2</t>
  </si>
  <si>
    <t xml:space="preserve">IMPLIED $/SPOOL (DFW T1+T2 basis, 468 spools)</t>
  </si>
  <si>
    <t xml:space="preserve">Outside fabs bill 80-90% of FULL MCA labor at non-union TX trade rates ~$55-65/hr. DFMA bills 20% MCA hrs × $115 burden × 1.55 margin = $178.25 effective rate. Lands at $2,033 Y1 DFMA vs $1,745 Polk 2026 = +16.5%. Same methodology gap widens Y2: DFMA $2,346 vs $1,745 = +34.5%.</t>
  </si>
  <si>
    <t xml:space="preserve">DFMA PRICED ABOVE POLK RATE</t>
  </si>
  <si>
    <t xml:space="preserve">23.3</t>
  </si>
  <si>
    <t xml:space="preserve">80-90% MCA BILLING vs DFMA 20% SHOP MODEL</t>
  </si>
  <si>
    <t xml:space="preserve">DFMA Y1 $2,033 vs 2026 escalated Polk rate $1,745 = +16.5% premium. DFMA Y2 $2,346 vs $1,745 = +34.5% premium. Widens each year due to escalator. ** DFMA must defend premium via AZ freight advantage, ASME/NDE certifications, VDC integration, cycle time. OR reduce Polk-specific rate as a sub-fab pathway. **</t>
  </si>
  <si>
    <t xml:space="preserve">NEEDS PRICING DECISION</t>
  </si>
  <si>
    <t xml:space="preserve">23.4</t>
  </si>
  <si>
    <t xml:space="preserve">DFMA vs MARKET COMPARISON</t>
  </si>
  <si>
    <t xml:space="preserve">DFMA Y1 blended $/spool = $2,033.  DFMA Y2 = $2,346.  IF Polk paid $1,496/spool (full 468 spools), DFMA Y1 is 36% ABOVE 2024 Polk rate.  IF Polk paid $2,991 (234 spools), DFMA Y1 is 32% BELOW market.  Critical: spool count resolves this gap entirely.</t>
  </si>
  <si>
    <t xml:space="preserve">PENDING SPOOL COUNT</t>
  </si>
  <si>
    <t xml:space="preserve">23.5</t>
  </si>
  <si>
    <t xml:space="preserve">COMPETITIVE POSITIONING</t>
  </si>
  <si>
    <t xml:space="preserve">Even if DFMA is 20-30% above Polk's TX non-union rate: (a) AZ labor market legitimately higher, (b) ASME Section IX + NDE commands premium, (c) AZ-to-TX freight &lt; MD-to-TX freight by $2,500-4,000/truckload, (d) cycle time / VDC integration adds value. Net: DFMA can absorb some rate premium and still win on delivered cost.</t>
  </si>
  <si>
    <t xml:space="preserve">DEFENSIBLE</t>
  </si>
  <si>
    <t xml:space="preserve">23.6</t>
  </si>
  <si>
    <t xml:space="preserve">OPEN QUESTIONS FOR POLK CONVERSATION</t>
  </si>
  <si>
    <t xml:space="preserve">(a) How many spools in that $700K Equinix package? → resolves $/spool comp  (b) What rate are you expecting from your #9 fabricator? → sets DFMA's Polk floor  (c) What's your current band mix on Aligned/colo work? → calibrates DFMA's blended $/spool to Polk's actual work  (d) What's your freight cost from Maryland? → DFMA's pricing floor = MD rate + MD-to-jobsite freight - AZ-to-jobsite freight</t>
  </si>
  <si>
    <t xml:space="preserve">TO ASK POLK</t>
  </si>
  <si>
    <t xml:space="preserve">24.  DPR CONSTRUCTION RELATIONSHIP  —  introduced via Polk/Equinix project</t>
  </si>
  <si>
    <t xml:space="preserve">24.1</t>
  </si>
  <si>
    <t xml:space="preserve">INTRODUCTION</t>
  </si>
  <si>
    <t xml:space="preserve">DPR Construction asked user to help them on the Polk/Equinix DFW project (2024). User has direct working relationship with DPR from that engagement. DPR = top-5 US hyperscale GC (Applied Digital, Microsoft, Google data center work).</t>
  </si>
  <si>
    <t xml:space="preserve">RELATIONSHIP ACTIVE</t>
  </si>
  <si>
    <t xml:space="preserve">24.2</t>
  </si>
  <si>
    <t xml:space="preserve">STRATEGIC VALUE</t>
  </si>
  <si>
    <t xml:space="preserve">DPR is not just a reference — it's a direct pipeline. Former DPR contacts are now at Applied Digital (previously logged in user background). Two warm paths: (a) DPR direct for GC-led projects, (b) ex-DPR at Applied Digital for end-user owner-direct work.</t>
  </si>
  <si>
    <t xml:space="preserve">TWO PATHWAYS</t>
  </si>
  <si>
    <t xml:space="preserve">24.3</t>
  </si>
  <si>
    <t xml:space="preserve">POLK BRIDGE</t>
  </si>
  <si>
    <t xml:space="preserve">User's view into Polk's fab supply problem came FROM DPR asking for help. This is why the $700K / 468 spool data is first-hand — user saw the numbers during the DPR engagement. Credibility signal when talking to Polk or DPR about shop capacity.</t>
  </si>
  <si>
    <t xml:space="preserve">FIRST-HAND DATA</t>
  </si>
  <si>
    <t xml:space="preserve">24.4</t>
  </si>
  <si>
    <t xml:space="preserve">ACTIVATION</t>
  </si>
  <si>
    <t xml:space="preserve">Post-commissioning M13, DFMA has 3 parallel outreach tracks: (1) Polk sub-fab overflow (inbound W18), (2) DPR direct for anchor-scale hyperscale projects, (3) Applied Digital via ex-DPR contacts for owner-direct work. Polk = base case, DPR/Applied = anchor upside.</t>
  </si>
  <si>
    <t xml:space="preserve">M13 ACTIVATION PLAN</t>
  </si>
  <si>
    <t xml:space="preserve">25.  SS MONOPOLY  +  POLK CS SATURATION THESIS  —  refined demand model  (2026-05-09 PM)</t>
  </si>
  <si>
    <t xml:space="preserve">25.1</t>
  </si>
  <si>
    <t xml:space="preserve">POLK CS DEMAND CEILING</t>
  </si>
  <si>
    <t xml:space="preserve">User assessment: Polk would buy most-if-not-all DFMA carbon-steel output until either (a) DFMA wins an anchor that displaces capacity, or (b) DFMA expands the CS shop. Polk's 8 outside fabs are saturated, MD haul is uneconomic — DFMA at 100% utilization on CS still gets fully absorbed by Polk overflow alone.</t>
  </si>
  <si>
    <t xml:space="preserve">BASE CASE = POLK FILLS CS</t>
  </si>
  <si>
    <t xml:space="preserve">25.2</t>
  </si>
  <si>
    <t xml:space="preserve">SS MONOPOLY — DFMA-ONLY POSITION</t>
  </si>
  <si>
    <t xml:space="preserve">Polk and the rest of the SW/TX fab market CANNOT touch stainless steel. SS requires ASME Section IX SS-specific WPS/PQR, segregated tooling/grinding wheels, controlled environment, and orbital welders that the non-union TX fab base does not run. DFMA is the only regional shop with SS capability — single-source for SS scope on every Polk/Aligned/Turner package that includes SS.</t>
  </si>
  <si>
    <t xml:space="preserve">MONOPOLY → PRICING POWER</t>
  </si>
  <si>
    <t xml:space="preserve">25.3</t>
  </si>
  <si>
    <t xml:space="preserve">REVENUE IMPLICATION</t>
  </si>
  <si>
    <t xml:space="preserve">CS revenue = volume game (Polk fills shop, price disciplined to keep doors open). SS revenue = margin game (DFMA names the price, customer has no alternative). Spool Pricing &amp; Mix block already separates CS/SS — SS rate sheet ($135-$155 burden range) can be pushed harder without losing base case.</t>
  </si>
  <si>
    <t xml:space="preserve">MIX-DRIVEN MARGIN</t>
  </si>
  <si>
    <t xml:space="preserve">25.4</t>
  </si>
  <si>
    <t xml:space="preserve">EXPANSION TRIGGER</t>
  </si>
  <si>
    <t xml:space="preserve">If Polk inbound saturates DFMA CS capacity AND no anchor lands by ~M18-M24, expansion of CS shop (second bay, second flow) becomes the constraint-relief move. SS shop does NOT need expansion — SS demand is bounded by total SW SS scope, not by competition.</t>
  </si>
  <si>
    <t xml:space="preserve">CS BAY-2 = M18-M24 TRIGGER</t>
  </si>
  <si>
    <t xml:space="preserve">25.5</t>
  </si>
  <si>
    <t xml:space="preserve">PRICING DECISION REFRAMED</t>
  </si>
  <si>
    <t xml:space="preserve">23.3 pricing question (DFMA Y1 +16.5% / Y2 +34.5% vs Polk 2026 rate) is now ONLY relevant for CS sub-fab. SS has no Polk benchmark — DFMA SS pricing is set by VALUE (single source, ASME, NDE, schedule), not Polk floor. Re-frame: 'CS rate' negotiated against Polk; 'SS rate' set by DFMA.</t>
  </si>
  <si>
    <t xml:space="preserve">CS vs SS PRICING SPLIT</t>
  </si>
  <si>
    <t xml:space="preserve">25.6</t>
  </si>
  <si>
    <t xml:space="preserve">M13 ACTIVATION SEQUENCE — REFINED</t>
  </si>
  <si>
    <t xml:space="preserve">(1) M13 doors open → Polk overflow fills CS at negotiated CS rate. (2) Same M13 outreach surfaces SS scope from same Polk packages → DFMA names SS price, no competition. (3) Anchor pursuits (DPR/Applied/Triple Point sister cos) become CS displacement upside — anchor wins free up Polk-CS capacity for higher-margin direct work. (4) SS shop runs at premium pricing throughout — no anchor needed to validate SS economics.</t>
  </si>
  <si>
    <t xml:space="preserve">SEQUENCED ACTIVATION</t>
  </si>
  <si>
    <t xml:space="preserve">26.  SESSION LOG  —  2026-05-09 21:00 MST  (Saturday Mother's Day)</t>
  </si>
  <si>
    <t xml:space="preserve">26.1</t>
  </si>
  <si>
    <t xml:space="preserve">USER SIGN-OFF</t>
  </si>
  <si>
    <t xml:space="preserve">User logging off Saturday evening. 'Im out, but ill have work for us as soon as doors are open.' Confirms M13 activation = live work, not speculative.</t>
  </si>
  <si>
    <t xml:space="preserve">LOGGED OFF</t>
  </si>
  <si>
    <t xml:space="preserve">26.2</t>
  </si>
  <si>
    <t xml:space="preserve">PASS 3 CARRIED FORWARD</t>
  </si>
  <si>
    <t xml:space="preserve">Anchor toggle architecture (C51-C54 Polk overflow %, Anchor 1/2/3 Y/N) deferred to next session. v20 saved with Sec 25-26 narrative.</t>
  </si>
  <si>
    <t xml:space="preserve">DEFERRED</t>
  </si>
  <si>
    <t xml:space="preserve">26.3</t>
  </si>
  <si>
    <t xml:space="preserve">OPEN PRICING ITEMS</t>
  </si>
  <si>
    <t xml:space="preserve">(a) CS rate negotiation against Polk benchmark ($1,745 2026 escalated). (b) SS rate set by DFMA — no Polk floor. (c) Three open Polk questions still pending: $/spool to outside fabs, band mix, capacity commit.</t>
  </si>
  <si>
    <t xml:space="preserve">AWAITING USER</t>
  </si>
  <si>
    <t xml:space="preserve">26.4</t>
  </si>
  <si>
    <t xml:space="preserve">NEXT SESSION ENTRY POINT</t>
  </si>
  <si>
    <t xml:space="preserve">Resume with: Pass 3 anchor toggles + CS/SS rate split + Polk conversation prep. v20-Fixed.xlsx is the live file. 0 errors expected.</t>
  </si>
  <si>
    <t xml:space="preserve">27.  PASS 3 BUILD  —  Anchor Toggles + CS Rate Split  (2026-05-10 11:15 MST)</t>
  </si>
  <si>
    <t xml:space="preserve">27.1</t>
  </si>
  <si>
    <t xml:space="preserve">TOGGLE BLOCK LOCATION</t>
  </si>
  <si>
    <t xml:space="preserve">Spool Pricing &amp; Mix · Rows 120-129 (toggle inputs) · 131-138 (CS capacity allocation) · 140-145 (rate split per customer) · 147-154 (revenue rollup). All formulas, no hardcodes downstream of the inputs.</t>
  </si>
  <si>
    <t xml:space="preserve">BUILT</t>
  </si>
  <si>
    <t xml:space="preserve">27.2</t>
  </si>
  <si>
    <t xml:space="preserve">CONTROL SCHEMA</t>
  </si>
  <si>
    <t xml:space="preserve">C124/D124/E124/F124/G124 = Anchor 1 (DPR) Y/N per year · C126-G126 = Anchor 2 (Applied Digital) Y/N · C128-G128 = Anchor 3 (Triple Point sister) Y/N. Capacity defaults: A1=25%, A2=25%, A3=20% (overridable in C125-G125 / C127-G127 / C129-G129). Polk overflow % auto-calculates as residual: =1 - A1% - A2% - A3%.</t>
  </si>
  <si>
    <t xml:space="preserve">ACTIVE</t>
  </si>
  <si>
    <t xml:space="preserve">27.3</t>
  </si>
  <si>
    <t xml:space="preserve">RATE SPLIT (Sec 25.5 reframe)</t>
  </si>
  <si>
    <t xml:space="preserve">Polk overflow rate = blended $/spool × (1 - C142 discount). Default C142 = 10%. Anchor 1/2/3 rates = blended × (1 - their discount). Defaults: A1=0%, A2=0%, A3=5%. CS rate is now customer-aware — Polk discounted to negotiate against $1,745 2026 escalated benchmark, anchors at full DFMA rate.</t>
  </si>
  <si>
    <t xml:space="preserve">RATE-SPLIT LIVE</t>
  </si>
  <si>
    <t xml:space="preserve">27.4</t>
  </si>
  <si>
    <t xml:space="preserve">BASELINE STRESS (no anchors, Polk 10%)</t>
  </si>
  <si>
    <t xml:space="preserve">Y2 scenario rev $96.5M vs Row 59 baseline $107.2M  (-10.0%, exact Polk discount drag).  Y3 $199.0M vs $221.1M  (-10.0%).  Y4 $219.0M vs $243.4M  (-10.0%).  Y5 $227.4M vs $252.7M  (-10.0%).  Math reconciles cleanly.</t>
  </si>
  <si>
    <t xml:space="preserve">27.5</t>
  </si>
  <si>
    <t xml:space="preserve">ANCHOR STRESS (A1=Y in Y3)</t>
  </si>
  <si>
    <t xml:space="preserve">Y3 Polk %: 75%  ·  Anchor1 %: 25%  ·  Polk rev $149.3M  ·  Anchor1 rev $55.3M  ·  Total $204.5M.  Variance vs baseline -7.5% (recovered 2.5pts from -10% Polk-only by displacing 25% capacity to full-rate Anchor1).</t>
  </si>
  <si>
    <t xml:space="preserve">27.6</t>
  </si>
  <si>
    <t xml:space="preserve">P&amp;L INTEGRATION DECISION PENDING</t>
  </si>
  <si>
    <t xml:space="preserve">Row 153 (Total scenario CS rev) is NOT yet wired into Revenue!Row 100 / P&amp;L. Currently P&amp;L still uses Row 59 baseline. Decision needed: (a) wire scenario rev into P&amp;L always (live model), or (b) keep scenario as side-by-side toggle for what-if without disrupting locked baseline. Default recommendation: option (a) — make scenario the live model, baseline stays in Row 59 for audit reference.</t>
  </si>
  <si>
    <t xml:space="preserve">AWAITING DECISION</t>
  </si>
  <si>
    <t xml:space="preserve">27.7</t>
  </si>
  <si>
    <t xml:space="preserve">SS NOT TOUCHED</t>
  </si>
  <si>
    <t xml:space="preserve">SS Cell (Phase 1E) sheet untouched — SS is monopoly per Sec 25.2 and runs at full DFMA rate regardless of customer. No customer split needed for SS. SS revenue continues to flow through existing structure.</t>
  </si>
  <si>
    <t xml:space="preserve">27.8</t>
  </si>
  <si>
    <t xml:space="preserve">FILE SAVED</t>
  </si>
  <si>
    <t xml:space="preserve">v21-Fixed.xlsx — 0 errors, 45,496 formulas (was 45,396 in v20, +100 formulas for Pass 3 block).</t>
  </si>
  <si>
    <t xml:space="preserve">v21 SHIPPED</t>
  </si>
  <si>
    <t xml:space="preserve">28.  POLK COMMIT CONFIRMED  —  band mix + capacity  (2026-05-10 11:20 PDT)</t>
  </si>
  <si>
    <t xml:space="preserve">28.1</t>
  </si>
  <si>
    <t xml:space="preserve">BAND MIX  (Polk question #2)</t>
  </si>
  <si>
    <t xml:space="preserve">User confirmed Polk's typical band mix is similar to Equinix DFW T1+T2: 26.5% ≤4" / 34% 6-12" / 39.5% 14-24" / 0% 26"+. Logged at Spool Pricing &amp; Mix Row 30 ('Polk overflow mix') as live formula link to DFW actual (Row 26). Means DFMA model's blended $/spool calibrated against DFW IS the Polk-relevant rate — no re-calibration needed.</t>
  </si>
  <si>
    <t xml:space="preserve">28.2</t>
  </si>
  <si>
    <t xml:space="preserve">CAPACITY COMMIT  (Polk question #3)</t>
  </si>
  <si>
    <t xml:space="preserve">User confirmed Polk capacity commit = ALL 8 CELLS. This is the full CS shop. DFMA's entire CS production absorbed by Polk overflow at M13. No fragmentation, no partial commitment, no need to chase multiple smaller customers in Y1-Y2. Toggle block in Spool Pricing &amp; Mix already defaults to Polk = 100% residual when anchors OFF. This is the CONFIRMED base case, not a placeholder.</t>
  </si>
  <si>
    <t xml:space="preserve">BASE CASE LOCKED</t>
  </si>
  <si>
    <t xml:space="preserve">28.3</t>
  </si>
  <si>
    <t xml:space="preserve">At Polk = 100% × 10% discount default, scenario Y2 = $96.5M, Y3 = $199.0M, Y4 = $219.0M, Y5 = $227.4M. ENTIRE CS revenue base is now Polk. Anchor toggles become PURE UPSIDE — every anchor ON displaces Polk capacity to higher-margin work, lifting blended revenue.</t>
  </si>
  <si>
    <t xml:space="preserve">POLK = 100% BASE</t>
  </si>
  <si>
    <t xml:space="preserve">28.4</t>
  </si>
  <si>
    <t xml:space="preserve">Inverts the original financial model entirely. Old base case = win 1+ anchor in Y1-Y2. New base case = Polk fills shop M13, anchors are upside. This is the most de-risked entry path possible: zero anchor sales cycle, zero VDC burden, zero customer concentration risk because Polk is a SUB-fabricator relationship across THEIR client portfolio (HITT/Aligned/Turner/colo).</t>
  </si>
  <si>
    <t xml:space="preserve">MODEL INVERTED</t>
  </si>
  <si>
    <t xml:space="preserve">28.5</t>
  </si>
  <si>
    <t xml:space="preserve">STILL OPEN  —  Polk question #1</t>
  </si>
  <si>
    <t xml:space="preserve">Polk's $/spool or $/hr rate paid to current 8 outside fabs is still UNKNOWN. This sets DFMA's accept floor for the Polk sub-fab rate (currently modeled at 10% discount = $1,830 Y2, $2,229 Y3). Conversation to-do: anchor the Polk rate empirically before doors open M13.</t>
  </si>
  <si>
    <t xml:space="preserve">28.6</t>
  </si>
  <si>
    <t xml:space="preserve">ROW 100 / P&amp;L INTEGRATION  —  PROMOTED</t>
  </si>
  <si>
    <t xml:space="preserve">Sec 27.6 decision pending P&amp;L integration is now PROMOTED to YES — wire Row 153 (scenario revenue) into Revenue Row 100. With Polk = 100% base case confirmed, the scenario IS the live model. Recommend rebuild Row 100 to: STRETCH branch = Row 153 monthly distribution; BASE branch unchanged. Saved for next pass.</t>
  </si>
  <si>
    <t xml:space="preserve">NEXT PASS</t>
  </si>
  <si>
    <t xml:space="preserve">29.  LEASE FOOTPRINT — 2-BUILDING DECISION + LEASE vs BUY  (2026-05-17 19:23 MST)</t>
  </si>
  <si>
    <t xml:space="preserve">29.1</t>
  </si>
  <si>
    <t xml:space="preserve">LEASE BUMPED — $225K → $300K/mo</t>
  </si>
  <si>
    <t xml:space="preserve">Facility lease assumption raised from $225K/mo (V39) to $300K/mo (V40). Driven by 2-building footprint required by equipment layout. Annual FY1 lease cost: $2.7M → $3.6M (+$900K). 5-yr cumulative EBITDA impact: -$5.0M. Margin: FY1 EBITDA% 24.7% → 23.5%. Story unchanged — gross margin holds, EBITDA still investor-grade.</t>
  </si>
  <si>
    <t xml:space="preserve">V40 LOCKED</t>
  </si>
  <si>
    <t xml:space="preserve">29.2</t>
  </si>
  <si>
    <t xml:space="preserve">WHY 2 BUILDINGS — EQUIPMENT LAYOUT</t>
  </si>
  <si>
    <t xml:space="preserve">Single-building consolidation possible but tanks productivity. CS pipe fab (cells, robots, Vernon V808, Lincoln HGG profilers, MSUITE flow) gets primary building. Building B carries SS cell, spool cutting, and cleaning — segregated by Section IX SS WPS/PQR + tooling/grinding-wheel separation requirements (Notes 25.2). Footprint target ~190K sq ft total at ~1 sqft loading on Building B.</t>
  </si>
  <si>
    <t xml:space="preserve">ARCH-DRIVEN</t>
  </si>
  <si>
    <t xml:space="preserve">29.3</t>
  </si>
  <si>
    <t xml:space="preserve">BUILD-TO-SUIT PURCHASE — UNDER NEGOTIATION</t>
  </si>
  <si>
    <t xml:space="preserve">User pursuing build-to-suit purchase as alternative to operating lease. Converts P&amp;L lease line ($300K/mo) into PP&amp;E + mortgage P&amp;I + depreciation. Equity accumulates on balance sheet vs full lease burn. Lease vs Buy tab models both scenarios — see workbook tab 'Lease vs Buy' for side-by-side and 5-yr accumulated equity.</t>
  </si>
  <si>
    <t xml:space="preserve">NEGOTIATING</t>
  </si>
  <si>
    <t xml:space="preserve">29.4</t>
  </si>
  <si>
    <t xml:space="preserve">P&amp;L IMPACT — LIVE</t>
  </si>
  <si>
    <t xml:space="preserve">P&amp;L!B4 raised to $300,000. Cascades through row 29 (lease cost FY1-FY5). EBITDA / Net Profit / Implied Sale (BJ52) all reflect. Investor deck (locked V39 Phase 2 / Valuation docs) shows older $2.7M FY1 lease — delta one-pager generated separately to bridge V39 deck numbers to V40 model.</t>
  </si>
  <si>
    <t xml:space="preserve">LIVE IN P&amp;L</t>
  </si>
  <si>
    <t xml:space="preserve">29.5</t>
  </si>
  <si>
    <t xml:space="preserve">FY1 SELL-X ADDED — $52.4M @ 3x</t>
  </si>
  <si>
    <t xml:space="preserve">P&amp;L!BJ51 = 3 (Sell multiple), BJ52 = BJ49 × BJ51 = $52.4M FY1 implied sale value. Gives investors a 'you could exit at Year 1' anchor — useful for downside framing.</t>
  </si>
  <si>
    <t xml:space="preserve">NEW ANCHOR</t>
  </si>
  <si>
    <t xml:space="preserve">29.6</t>
  </si>
  <si>
    <t xml:space="preserve">SUPPLY GAP SURFACED — MANPOWER → SPOOLS</t>
  </si>
  <si>
    <t xml:space="preserve">New reconciliation tab built. Confirms FY1-FY2 supply EXCEEDS Spool Pricing &amp; Mix Row 57 model. FY3-FY5 shows -12K to -15K spool gap — labor-cap is binding (288 FTE × 173.33 hrs ÷ wtd hrs/spool &lt; cell-cap 84K). Closing the gap = add ~50-65 more trades OR push robot lift multiplier from 1.8× to 2.0-2.2×. Decision deferred — flag for next investor scrub.</t>
  </si>
  <si>
    <t xml:space="preserve">GAP FLAGGED</t>
  </si>
  <si>
    <t xml:space="preserve">29.7</t>
  </si>
  <si>
    <t xml:space="preserve">DECK IMPLICATIONS</t>
  </si>
  <si>
    <t xml:space="preserve">Phase 2 attach $84-90M FY1 revenue intact (lease is below GM). EBITDA margin still 23.5% FY1 / 43.2% FY5 — manufacturer-grade story holds. FY1 sale value $52.4M = new exit anchor for risk-off investors. No re-render of locked V39 investor PDFs needed; delta one-pager (dfma-v40-lease-delta) carries the bridge.</t>
  </si>
  <si>
    <t xml:space="preserve">DECK INTACT</t>
  </si>
  <si>
    <t xml:space="preserve">Month 1</t>
  </si>
  <si>
    <t xml:space="preserve">Month 2</t>
  </si>
  <si>
    <t xml:space="preserve">Month 3</t>
  </si>
  <si>
    <t xml:space="preserve">Month 4</t>
  </si>
  <si>
    <t xml:space="preserve">Month 5</t>
  </si>
  <si>
    <t xml:space="preserve">Month 6</t>
  </si>
  <si>
    <t xml:space="preserve">Month 7</t>
  </si>
  <si>
    <t xml:space="preserve">Month 8</t>
  </si>
  <si>
    <t xml:space="preserve">Month 9</t>
  </si>
  <si>
    <t xml:space="preserve">Month 10</t>
  </si>
  <si>
    <t xml:space="preserve">Month 11</t>
  </si>
  <si>
    <t xml:space="preserve">Month 12</t>
  </si>
  <si>
    <t xml:space="preserve">Year 1</t>
  </si>
  <si>
    <t xml:space="preserve">COGS</t>
  </si>
  <si>
    <t xml:space="preserve">Operating Expenses</t>
  </si>
  <si>
    <t xml:space="preserve">Expense</t>
  </si>
  <si>
    <t xml:space="preserve">Current Assets</t>
  </si>
  <si>
    <t xml:space="preserve">Cash</t>
  </si>
  <si>
    <t xml:space="preserve">Accounts Receivable</t>
  </si>
  <si>
    <t xml:space="preserve">Inventory</t>
  </si>
  <si>
    <t xml:space="preserve">Other Current Assets</t>
  </si>
  <si>
    <t xml:space="preserve">Long-term Assets</t>
  </si>
  <si>
    <t xml:space="preserve">Accumulated Depreciation</t>
  </si>
  <si>
    <t xml:space="preserve">&lt;--use positive number</t>
  </si>
  <si>
    <t xml:space="preserve">Other Assets</t>
  </si>
  <si>
    <t xml:space="preserve">Current Liabilities</t>
  </si>
  <si>
    <t xml:space="preserve">Accounts Payable</t>
  </si>
  <si>
    <t xml:space="preserve">Current Borrowing</t>
  </si>
  <si>
    <t xml:space="preserve">Interest Rate</t>
  </si>
  <si>
    <t xml:space="preserve">Other Current Liabilities</t>
  </si>
  <si>
    <t xml:space="preserve">Long-term Liabilities</t>
  </si>
  <si>
    <t xml:space="preserve">Number of Years</t>
  </si>
  <si>
    <t xml:space="preserve">Paid-in Capital</t>
  </si>
  <si>
    <t xml:space="preserve">Retained Earnings</t>
  </si>
  <si>
    <t xml:space="preserve">Current Year Earnings</t>
  </si>
  <si>
    <t xml:space="preserve">START-UP</t>
  </si>
  <si>
    <t xml:space="preserve">OTHER</t>
  </si>
  <si>
    <t xml:space="preserve">SOURCES OF FUNDS</t>
  </si>
  <si>
    <t xml:space="preserve">Term (yrs)</t>
  </si>
  <si>
    <t xml:space="preserve">Rate</t>
  </si>
  <si>
    <t xml:space="preserve">Owner Cash Investment OPX $4M/Credit line $4M</t>
  </si>
  <si>
    <t xml:space="preserve">Loan</t>
  </si>
  <si>
    <t xml:space="preserve">Owner Investment</t>
  </si>
  <si>
    <t xml:space="preserve">Equipment Loan</t>
  </si>
  <si>
    <t xml:space="preserve">Investor</t>
  </si>
  <si>
    <t xml:space="preserve">Total Sources</t>
  </si>
  <si>
    <t xml:space="preserve">.</t>
  </si>
  <si>
    <t xml:space="preserve">Uses of Funds</t>
  </si>
  <si>
    <t xml:space="preserve">USES OF FUNDS</t>
  </si>
  <si>
    <t xml:space="preserve">Start-up Expenses</t>
  </si>
  <si>
    <t xml:space="preserve">Total Uses</t>
  </si>
  <si>
    <t xml:space="preserve">Total Start-up Expenses</t>
  </si>
  <si>
    <t xml:space="preserve">Start-up Assets</t>
  </si>
  <si>
    <t xml:space="preserve">Working Capital</t>
  </si>
  <si>
    <t xml:space="preserve">Land</t>
  </si>
  <si>
    <t xml:space="preserve">Are Assets Depreciable</t>
  </si>
  <si>
    <t xml:space="preserve">Depreciation in years</t>
  </si>
  <si>
    <t xml:space="preserve">Weighted Avg</t>
  </si>
  <si>
    <t xml:space="preserve">Start-up Value</t>
  </si>
  <si>
    <t xml:space="preserve">Equipment</t>
  </si>
  <si>
    <t xml:space="preserve">Y</t>
  </si>
  <si>
    <t xml:space="preserve">Structures</t>
  </si>
  <si>
    <t xml:space="preserve">Other Long-term Assets</t>
  </si>
  <si>
    <t xml:space="preserve">Total Start-up Assets</t>
  </si>
  <si>
    <t xml:space="preserve">Total</t>
  </si>
  <si>
    <t xml:space="preserve">Weighted Average</t>
  </si>
  <si>
    <t xml:space="preserve">DI (nominal)</t>
  </si>
  <si>
    <t xml:space="preserve">Sell $/DI</t>
  </si>
  <si>
    <t xml:space="preserve">DI Qty</t>
  </si>
  <si>
    <t xml:space="preserve">Y1 DI Revenue</t>
  </si>
  <si>
    <t xml:space="preserve">Y2 DI Revenue</t>
  </si>
  <si>
    <t xml:space="preserve">Y3 DI Revenue</t>
  </si>
  <si>
    <t xml:space="preserve">Y4 DI Revenue</t>
  </si>
  <si>
    <t xml:space="preserve">Y5 DI Revenue</t>
  </si>
  <si>
    <t xml:space="preserve">Cost $/ DI</t>
  </si>
  <si>
    <t xml:space="preserve">Y1 Cost             Revenue DI</t>
  </si>
  <si>
    <t xml:space="preserve">Y2 Cost             Revenue DI</t>
  </si>
  <si>
    <t xml:space="preserve">Y3 Cost             Revenue DI</t>
  </si>
  <si>
    <t xml:space="preserve">Y4 Cost             Revenue DI</t>
  </si>
  <si>
    <t xml:space="preserve">Y5 Cost             Revenue DI</t>
  </si>
  <si>
    <t xml:space="preserve">Robot mix %</t>
  </si>
  <si>
    <t xml:space="preserve">Labor $/DI</t>
  </si>
  <si>
    <t xml:space="preserve">+ Burden $/DI</t>
  </si>
  <si>
    <t xml:space="preserve">+ Consum. $/DI</t>
  </si>
  <si>
    <t xml:space="preserve">+ Shop OH $/DI</t>
  </si>
  <si>
    <t xml:space="preserve">Cost $/DI check</t>
  </si>
  <si>
    <t xml:space="preserve">CARBON STEEL</t>
  </si>
  <si>
    <t xml:space="preserve">CS-2.5</t>
  </si>
  <si>
    <t xml:space="preserve">CS-3</t>
  </si>
  <si>
    <t xml:space="preserve">CS-4</t>
  </si>
  <si>
    <t xml:space="preserve">CS-6</t>
  </si>
  <si>
    <t xml:space="preserve">CS-8</t>
  </si>
  <si>
    <t xml:space="preserve">CS-10</t>
  </si>
  <si>
    <t xml:space="preserve">CS-12</t>
  </si>
  <si>
    <t xml:space="preserve">CS-14</t>
  </si>
  <si>
    <t xml:space="preserve">CS-16</t>
  </si>
  <si>
    <t xml:space="preserve">CS-18</t>
  </si>
  <si>
    <t xml:space="preserve">CS-20</t>
  </si>
  <si>
    <t xml:space="preserve">CS-24</t>
  </si>
  <si>
    <t xml:space="preserve">CS-30</t>
  </si>
  <si>
    <t xml:space="preserve">CS-36</t>
  </si>
  <si>
    <t xml:space="preserve">CS-42</t>
  </si>
  <si>
    <t xml:space="preserve">CS-48</t>
  </si>
  <si>
    <t xml:space="preserve">CS Subtotal</t>
  </si>
  <si>
    <t xml:space="preserve">STAINLESS STEEL</t>
  </si>
  <si>
    <t xml:space="preserve">SS-1</t>
  </si>
  <si>
    <t xml:space="preserve">SS-1.5</t>
  </si>
  <si>
    <t xml:space="preserve">SS-2</t>
  </si>
  <si>
    <t xml:space="preserve">SS-3</t>
  </si>
  <si>
    <t xml:space="preserve">SS-4</t>
  </si>
  <si>
    <t xml:space="preserve">SS-6</t>
  </si>
  <si>
    <t xml:space="preserve">SS-8</t>
  </si>
  <si>
    <t xml:space="preserve">SS-10</t>
  </si>
  <si>
    <t xml:space="preserve">SS-12</t>
  </si>
  <si>
    <t xml:space="preserve">SS-14</t>
  </si>
  <si>
    <t xml:space="preserve">SS-16</t>
  </si>
  <si>
    <t xml:space="preserve">SS-18</t>
  </si>
  <si>
    <t xml:space="preserve">SS Subtotal</t>
  </si>
  <si>
    <t xml:space="preserve">GRAND TOTAL</t>
  </si>
  <si>
    <t xml:space="preserve">COST BUILD — INPUTS &amp; TOGGLES</t>
  </si>
  <si>
    <t xml:space="preserve">Component</t>
  </si>
  <si>
    <t xml:space="preserve">Include?</t>
  </si>
  <si>
    <t xml:space="preserve">Base wage ($/hr)</t>
  </si>
  <si>
    <t xml:space="preserve">Direct trades wage — labor base (always on)</t>
  </si>
  <si>
    <t xml:space="preserve">These Toggle are in place to expose all in with margin.                                                                                                                                                                                                                                                                                                        Toogle these to N as OH is correctly accounted for in the correct categories in the P&amp;L in this model.                                                                                                                                   Failure to do this will double OH and reduce margins</t>
  </si>
  <si>
    <t xml:space="preserve">Burden % (on labor)</t>
  </si>
  <si>
    <t xml:space="preserve">41% payroll taxes &amp; benefits on labor $</t>
  </si>
  <si>
    <t xml:space="preserve">Consumables % of Sell</t>
  </si>
  <si>
    <t xml:space="preserve">Shop consumables / minor materials</t>
  </si>
  <si>
    <t xml:space="preserve">Shop OH % of Sell</t>
  </si>
  <si>
    <t xml:space="preserve">Indirect shop OH / facility / utilities</t>
  </si>
  <si>
    <t xml:space="preserve">CS Robot mix %</t>
  </si>
  <si>
    <t xml:space="preserve">—</t>
  </si>
  <si>
    <t xml:space="preserve">Superseded — per-row Robot mix % in col V</t>
  </si>
  <si>
    <t xml:space="preserve">SS Robot mix %</t>
  </si>
  <si>
    <t xml:space="preserve">WAM REALIZATION (strip hangers/incidentals)</t>
  </si>
  <si>
    <t xml:space="preserve">WAM realization factor</t>
  </si>
  <si>
    <t xml:space="preserve">Mark 55-60% off WAM → 40% baseline; 30% = highly productive shop</t>
  </si>
  <si>
    <t xml:space="preserve">Pipe welding $/DI = (mhr/jt × factor × wage) ÷ NPS</t>
  </si>
  <si>
    <t xml:space="preserve">Order</t>
  </si>
  <si>
    <t xml:space="preserve">1 CS Novarc, 1, SS Novarc</t>
  </si>
  <si>
    <t xml:space="preserve">1 CS Novarc </t>
  </si>
  <si>
    <t xml:space="preserve">Online</t>
  </si>
  <si>
    <t xml:space="preserve">2 robot </t>
  </si>
  <si>
    <t xml:space="preserve">1 Robot</t>
  </si>
  <si>
    <t xml:space="preserve">Average DI Throughput</t>
  </si>
  <si>
    <t xml:space="preserve">Month 13</t>
  </si>
  <si>
    <t xml:space="preserve">Month 14</t>
  </si>
  <si>
    <t xml:space="preserve">Month 15</t>
  </si>
  <si>
    <t xml:space="preserve">Month 16</t>
  </si>
  <si>
    <t xml:space="preserve">Month 17</t>
  </si>
  <si>
    <t xml:space="preserve">Month 18</t>
  </si>
  <si>
    <t xml:space="preserve">Month 19</t>
  </si>
  <si>
    <t xml:space="preserve">Month 20</t>
  </si>
  <si>
    <t xml:space="preserve">Month 21</t>
  </si>
  <si>
    <t xml:space="preserve">Month 22</t>
  </si>
  <si>
    <t xml:space="preserve">Month 23</t>
  </si>
  <si>
    <t xml:space="preserve">Month 24</t>
  </si>
  <si>
    <t xml:space="preserve">Month 25</t>
  </si>
  <si>
    <t xml:space="preserve">Month 26</t>
  </si>
  <si>
    <t xml:space="preserve">Month 27</t>
  </si>
  <si>
    <t xml:space="preserve">Month 28</t>
  </si>
  <si>
    <t xml:space="preserve">Month 29</t>
  </si>
  <si>
    <t xml:space="preserve">Month 30</t>
  </si>
  <si>
    <t xml:space="preserve">Month 31</t>
  </si>
  <si>
    <t xml:space="preserve">Month 32</t>
  </si>
  <si>
    <t xml:space="preserve">Month 33</t>
  </si>
  <si>
    <t xml:space="preserve">Month 34</t>
  </si>
  <si>
    <t xml:space="preserve">Month 35</t>
  </si>
  <si>
    <t xml:space="preserve">Month 36</t>
  </si>
  <si>
    <t xml:space="preserve">Month 37</t>
  </si>
  <si>
    <t xml:space="preserve">Month 38</t>
  </si>
  <si>
    <t xml:space="preserve">Month 39</t>
  </si>
  <si>
    <t xml:space="preserve">Month 40</t>
  </si>
  <si>
    <t xml:space="preserve">Month 41</t>
  </si>
  <si>
    <t xml:space="preserve">Month 42</t>
  </si>
  <si>
    <t xml:space="preserve">Month 43</t>
  </si>
  <si>
    <t xml:space="preserve">Month 44</t>
  </si>
  <si>
    <t xml:space="preserve">Month 45</t>
  </si>
  <si>
    <t xml:space="preserve">Month 46</t>
  </si>
  <si>
    <t xml:space="preserve">Month 47</t>
  </si>
  <si>
    <t xml:space="preserve">Month 48</t>
  </si>
  <si>
    <t xml:space="preserve">Month 49</t>
  </si>
  <si>
    <t xml:space="preserve">Month 50</t>
  </si>
  <si>
    <t xml:space="preserve">Month 51</t>
  </si>
  <si>
    <t xml:space="preserve">Month 52</t>
  </si>
  <si>
    <t xml:space="preserve">Month 53</t>
  </si>
  <si>
    <t xml:space="preserve">Month 54</t>
  </si>
  <si>
    <t xml:space="preserve">Month 55</t>
  </si>
  <si>
    <t xml:space="preserve">Month 56</t>
  </si>
  <si>
    <t xml:space="preserve">Month 57</t>
  </si>
  <si>
    <t xml:space="preserve">Month 58</t>
  </si>
  <si>
    <t xml:space="preserve">Month 59</t>
  </si>
  <si>
    <t xml:space="preserve">Month 60</t>
  </si>
  <si>
    <t xml:space="preserve">Total DI</t>
  </si>
  <si>
    <t xml:space="preserve">Revenue DI Sell Price </t>
  </si>
  <si>
    <t xml:space="preserve">Year 2</t>
  </si>
  <si>
    <t xml:space="preserve">Year 3</t>
  </si>
  <si>
    <t xml:space="preserve">Year 4</t>
  </si>
  <si>
    <t xml:space="preserve">Year 5</t>
  </si>
  <si>
    <t xml:space="preserve">Total Revenue</t>
  </si>
  <si>
    <t xml:space="preserve">Personnel Count</t>
  </si>
  <si>
    <t xml:space="preserve"> Month 1</t>
  </si>
  <si>
    <t xml:space="preserve"> Month 2</t>
  </si>
  <si>
    <t xml:space="preserve"> Month 3</t>
  </si>
  <si>
    <t xml:space="preserve"> Month 4</t>
  </si>
  <si>
    <t xml:space="preserve"> Month 5</t>
  </si>
  <si>
    <t xml:space="preserve"> Month 6</t>
  </si>
  <si>
    <t xml:space="preserve"> Month 7</t>
  </si>
  <si>
    <t xml:space="preserve"> Month 8</t>
  </si>
  <si>
    <t xml:space="preserve"> Month 9</t>
  </si>
  <si>
    <t xml:space="preserve"> Month 10</t>
  </si>
  <si>
    <t xml:space="preserve"> Month 11</t>
  </si>
  <si>
    <t xml:space="preserve"> Month 12</t>
  </si>
  <si>
    <t xml:space="preserve"> Year 1</t>
  </si>
  <si>
    <t xml:space="preserve"> Year 2</t>
  </si>
  <si>
    <t xml:space="preserve"> Year 3</t>
  </si>
  <si>
    <t xml:space="preserve"> Year 4</t>
  </si>
  <si>
    <t xml:space="preserve"> Year 5</t>
  </si>
  <si>
    <t xml:space="preserve">Trades</t>
  </si>
  <si>
    <t xml:space="preserve">Admin</t>
  </si>
  <si>
    <t xml:space="preserve">Trades -2</t>
  </si>
  <si>
    <t xml:space="preserve">Admin-2</t>
  </si>
  <si>
    <t xml:space="preserve">Trades-3</t>
  </si>
  <si>
    <t xml:space="preserve">Admin-3</t>
  </si>
  <si>
    <t xml:space="preserve">Total Personnel</t>
  </si>
  <si>
    <t xml:space="preserve">PT Hourly</t>
  </si>
  <si>
    <t xml:space="preserve">FT Hourly</t>
  </si>
  <si>
    <t xml:space="preserve">Personnel Wage</t>
  </si>
  <si>
    <t xml:space="preserve">Wage Frequency</t>
  </si>
  <si>
    <t xml:space="preserve">Wage Rate</t>
  </si>
  <si>
    <t xml:space="preserve">Growth Rate</t>
  </si>
  <si>
    <t xml:space="preserve">PT Hours</t>
  </si>
  <si>
    <t xml:space="preserve">Weekly</t>
  </si>
  <si>
    <t xml:space="preserve">Monthly</t>
  </si>
  <si>
    <t xml:space="preserve">Yearly</t>
  </si>
  <si>
    <t xml:space="preserve">Personnel Costs</t>
  </si>
  <si>
    <t xml:space="preserve">Total Payroll</t>
  </si>
  <si>
    <t xml:space="preserve">Revenue/Employee Yr</t>
  </si>
  <si>
    <t xml:space="preserve">Goal</t>
  </si>
  <si>
    <t xml:space="preserve">% vs Goal</t>
  </si>
  <si>
    <t xml:space="preserve">ANNUAL GROWTH</t>
  </si>
  <si>
    <t xml:space="preserve">Expenses</t>
  </si>
  <si>
    <t xml:space="preserve">Business Expense </t>
  </si>
  <si>
    <t xml:space="preserve">Facility Lease</t>
  </si>
  <si>
    <t xml:space="preserve">Dep In Years</t>
  </si>
  <si>
    <t xml:space="preserve">Non-Profit</t>
  </si>
  <si>
    <t xml:space="preserve">Custom Dep</t>
  </si>
  <si>
    <t xml:space="preserve">Payroll Taxes &amp; Benefits</t>
  </si>
  <si>
    <t xml:space="preserve">Corp. Taxes</t>
  </si>
  <si>
    <t xml:space="preserve">y</t>
  </si>
  <si>
    <t xml:space="preserve">Other Direct Cost</t>
  </si>
  <si>
    <t xml:space="preserve">OH % Cost (OpEx)</t>
  </si>
  <si>
    <t xml:space="preserve">OH % Cost</t>
  </si>
  <si>
    <t xml:space="preserve">Depreciation</t>
  </si>
  <si>
    <t xml:space="preserve">Total Op. Expenses</t>
  </si>
  <si>
    <t xml:space="preserve">Interest Expense</t>
  </si>
  <si>
    <t xml:space="preserve">Taxes Incurred</t>
  </si>
  <si>
    <t xml:space="preserve">EBITDA</t>
  </si>
  <si>
    <t xml:space="preserve">EBITDA %</t>
  </si>
  <si>
    <t xml:space="preserve">Sell x</t>
  </si>
  <si>
    <t xml:space="preserve">Accum NI</t>
  </si>
  <si>
    <t xml:space="preserve">Days on Hand</t>
  </si>
  <si>
    <t xml:space="preserve">Receivables</t>
  </si>
  <si>
    <t xml:space="preserve">Payables</t>
  </si>
  <si>
    <t xml:space="preserve">Investing</t>
  </si>
  <si>
    <t xml:space="preserve">Purchase of Other Current Assets</t>
  </si>
  <si>
    <t xml:space="preserve">Sale of Other Current Assets</t>
  </si>
  <si>
    <t xml:space="preserve">Purchase of Land</t>
  </si>
  <si>
    <t xml:space="preserve">Sale of Land</t>
  </si>
  <si>
    <t xml:space="preserve">Purchase of Equipment </t>
  </si>
  <si>
    <t xml:space="preserve">Purchase of Equipment for New Employees</t>
  </si>
  <si>
    <t xml:space="preserve">Sale of Long-term Assets</t>
  </si>
  <si>
    <t xml:space="preserve">Financing</t>
  </si>
  <si>
    <t xml:space="preserve">New Current Borrowing</t>
  </si>
  <si>
    <t xml:space="preserve">Current Borrowing Repay.</t>
  </si>
  <si>
    <t xml:space="preserve">New Long Term Liabilities/Equipment</t>
  </si>
  <si>
    <t xml:space="preserve">Principal Payments</t>
  </si>
  <si>
    <t xml:space="preserve">Owner Investment / Credit Line</t>
  </si>
  <si>
    <t xml:space="preserve">Dividends / OI Repayment</t>
  </si>
  <si>
    <t xml:space="preserve">Current Borrowings</t>
  </si>
  <si>
    <t xml:space="preserve">Current Borrowings Interest</t>
  </si>
  <si>
    <t xml:space="preserve">OUTPUT</t>
  </si>
  <si>
    <t xml:space="preserve">OPERATING</t>
  </si>
  <si>
    <t xml:space="preserve">Depreciation &amp; Amortization</t>
  </si>
  <si>
    <t xml:space="preserve">Inventory </t>
  </si>
  <si>
    <t xml:space="preserve">Net Cash From Operating Activities</t>
  </si>
  <si>
    <t xml:space="preserve">INVESTING</t>
  </si>
  <si>
    <t xml:space="preserve">Purchase of Equipment</t>
  </si>
  <si>
    <t xml:space="preserve">Net Cash From Investing Activities</t>
  </si>
  <si>
    <t xml:space="preserve">FINANCING</t>
  </si>
  <si>
    <t xml:space="preserve">Investment</t>
  </si>
  <si>
    <t xml:space="preserve">Dividends</t>
  </si>
  <si>
    <t xml:space="preserve">Long Term Liability Repay</t>
  </si>
  <si>
    <t xml:space="preserve">Net Cash From Financing Activities</t>
  </si>
  <si>
    <t xml:space="preserve">NET CASH FLOW</t>
  </si>
  <si>
    <t xml:space="preserve">Beginning Cash</t>
  </si>
  <si>
    <t xml:space="preserve">Ending Cash</t>
  </si>
  <si>
    <t xml:space="preserve">Months of Cash</t>
  </si>
  <si>
    <t xml:space="preserve">Total Interest</t>
  </si>
  <si>
    <t xml:space="preserve">AMORTIZATION CALCS</t>
  </si>
  <si>
    <t xml:space="preserve">Existing Long Term Liability Rate</t>
  </si>
  <si>
    <t xml:space="preserve">Existing Long Term Liability Years Left</t>
  </si>
  <si>
    <t xml:space="preserve">Existing Long Term Liability</t>
  </si>
  <si>
    <t xml:space="preserve">Payment</t>
  </si>
  <si>
    <t xml:space="preserve">Interest</t>
  </si>
  <si>
    <t xml:space="preserve">Principal</t>
  </si>
  <si>
    <t xml:space="preserve">Ending Balance</t>
  </si>
  <si>
    <t xml:space="preserve">Total Existing Long term Liability</t>
  </si>
  <si>
    <t xml:space="preserve">New Loan Interest Rate</t>
  </si>
  <si>
    <t xml:space="preserve">`</t>
  </si>
  <si>
    <t xml:space="preserve">New Loan Term in Years</t>
  </si>
  <si>
    <t xml:space="preserve">Starting Balance</t>
  </si>
  <si>
    <t xml:space="preserve">New Loan</t>
  </si>
  <si>
    <t xml:space="preserve">Loan Payoff</t>
  </si>
  <si>
    <t xml:space="preserve">Adjusted Starting Balance</t>
  </si>
  <si>
    <t xml:space="preserve">Cumulative Starting Balance Less Payoff</t>
  </si>
  <si>
    <t xml:space="preserve">New Starting Balance</t>
  </si>
  <si>
    <t xml:space="preserve">Loan Amount</t>
  </si>
  <si>
    <t xml:space="preserve">DISTRIBUTABLE CASH</t>
  </si>
  <si>
    <t xml:space="preserve">Accum NI (Book)</t>
  </si>
  <si>
    <t xml:space="preserve">90-day OpEx Reserve</t>
  </si>
  <si>
    <t xml:space="preserve">Cash Available for Distribution</t>
  </si>
  <si>
    <t xml:space="preserve">Total Current Assets</t>
  </si>
  <si>
    <t xml:space="preserve">Fixed Assets</t>
  </si>
  <si>
    <t xml:space="preserve">Accum. Depreciation</t>
  </si>
  <si>
    <t xml:space="preserve">Total Fixed Assets</t>
  </si>
  <si>
    <t xml:space="preserve">Total Assets</t>
  </si>
  <si>
    <t xml:space="preserve">Subtotal Current Liabilities</t>
  </si>
  <si>
    <t xml:space="preserve">Total Liabilities</t>
  </si>
  <si>
    <t xml:space="preserve">Total Capital</t>
  </si>
  <si>
    <t xml:space="preserve">Total Liabilities and Capital</t>
  </si>
  <si>
    <t xml:space="preserve">Net Worth</t>
  </si>
  <si>
    <t xml:space="preserve">Balance Check </t>
  </si>
  <si>
    <t xml:space="preserve">COVENANT INPUTS — Cash-Basis 5-Year Pull from P&amp;L / Cash Flow / Balance Sheet</t>
  </si>
  <si>
    <t xml:space="preserve">Metric</t>
  </si>
  <si>
    <t xml:space="preserve">§ EARNINGS BASIS</t>
  </si>
  <si>
    <t xml:space="preserve">EBITDA (P&amp;L R49 = EBIT + Deprec)</t>
  </si>
  <si>
    <t xml:space="preserve">Cash Taxes (P&amp;L R44)</t>
  </si>
  <si>
    <t xml:space="preserve">Maintenance CapEx (assumed $0 — equipment debt-funded)</t>
  </si>
  <si>
    <t xml:space="preserve">EBITDA for FCCR (EBITDA − Cash Tax − Maint CapEx)</t>
  </si>
  <si>
    <t xml:space="preserve">§ FIXED CHARGES (DENOMINATOR)</t>
  </si>
  <si>
    <t xml:space="preserve">Principal Payments (Cash Flow R18)</t>
  </si>
  <si>
    <t xml:space="preserve">Total Interest (Cash Flow R55)</t>
  </si>
  <si>
    <t xml:space="preserve">Debt Service (Principal + Interest)</t>
  </si>
  <si>
    <t xml:space="preserve">Operating Lease (P&amp;L R29 Facility Lease)</t>
  </si>
  <si>
    <t xml:space="preserve">Total Fixed Charges (Debt Service + Lease)</t>
  </si>
  <si>
    <t xml:space="preserve">§ BALANCE SHEET &amp; LIQUIDITY</t>
  </si>
  <si>
    <t xml:space="preserve">Total Funded Debt (Balance Sheet R24)</t>
  </si>
  <si>
    <t xml:space="preserve">Cash Balance — Ending (Cash Flow R122)</t>
  </si>
  <si>
    <t xml:space="preserve">Total Op Expenses (P&amp;L R41)</t>
  </si>
  <si>
    <t xml:space="preserve">Depreciation (P&amp;L R38 — non-cash)</t>
  </si>
  <si>
    <t xml:space="preserve">CASH Fixed Overhead (Op Ex − Deprec)</t>
  </si>
  <si>
    <t xml:space="preserve">Monthly Cash Burn (Cash OH ÷ 12)</t>
  </si>
  <si>
    <t xml:space="preserve">§ METHODOLOGY NOTES</t>
  </si>
  <si>
    <t xml:space="preserve">• EBITDA from P&amp;L!R49 is true EBITDA (= EBIT + Depreciation). VERIFIED.</t>
  </si>
  <si>
    <t xml:space="preserve">• Cash Fixed OH excludes Depreciation (non-cash) — fixes prior $13M understatement.</t>
  </si>
  <si>
    <t xml:space="preserve">• Maintenance CapEx set to $0: model treats all $23.4M Y1 equipment as debt-funded.</t>
  </si>
  <si>
    <t xml:space="preserve">• Facility Lease counted ONCE in Fixed Charges (FCCR denominator). Not double-counted in Cash OH.</t>
  </si>
  <si>
    <t xml:space="preserve">SCENARIO A — STANDARD BANK DEFAULTS (No Negotiation)</t>
  </si>
  <si>
    <t xml:space="preserve">SCENARIO B — NEGOTIATED STRUCTURE (Y1 Holiday + Q5 Stepped Thresholds + $500K Equity Cure)</t>
  </si>
  <si>
    <t xml:space="preserve">Threshold</t>
  </si>
  <si>
    <t xml:space="preserve">Y1 Threshold</t>
  </si>
  <si>
    <t xml:space="preserve">Y2 Threshold</t>
  </si>
  <si>
    <t xml:space="preserve">Y3+ Threshold</t>
  </si>
  <si>
    <t xml:space="preserve">§ PRIMARY COVENANTS</t>
  </si>
  <si>
    <t xml:space="preserve">§ PRIMARY COVENANTS — RAMPED THRESHOLDS</t>
  </si>
  <si>
    <t xml:space="preserve">DSCR (EBITDA ÷ Debt Service)</t>
  </si>
  <si>
    <t xml:space="preserve">≥ 1.35×</t>
  </si>
  <si>
    <t xml:space="preserve">DSCR (EBITDA + Cure ÷ Debt Service)</t>
  </si>
  <si>
    <t xml:space="preserve">HOLIDAY</t>
  </si>
  <si>
    <t xml:space="preserve">≥ 1.10×</t>
  </si>
  <si>
    <t xml:space="preserve">FCCR ((EBITDA − Tax − CapEx) ÷ Fixed Charges)</t>
  </si>
  <si>
    <t xml:space="preserve">≥ 1.20×</t>
  </si>
  <si>
    <t xml:space="preserve">FCCR ((EBITDA + Cure − Tax − CapEx) ÷ Fixed Chg)</t>
  </si>
  <si>
    <t xml:space="preserve">≥ 1.00×</t>
  </si>
  <si>
    <t xml:space="preserve">Debt / EBITDA (Leverage Ratio)</t>
  </si>
  <si>
    <t xml:space="preserve">≤ 3.50×</t>
  </si>
  <si>
    <t xml:space="preserve">≤ 5.00×</t>
  </si>
  <si>
    <t xml:space="preserve">Liquidity Months (Cash ÷ Monthly Cash OH)</t>
  </si>
  <si>
    <t xml:space="preserve">≥ 3.0 mo</t>
  </si>
  <si>
    <t xml:space="preserve">≥ Min Cash $3M</t>
  </si>
  <si>
    <t xml:space="preserve">§ COMPLIANCE STATUS</t>
  </si>
  <si>
    <t xml:space="preserve">§ COMPLIANCE STATUS — UNDER NEGOTIATED STRUCTURE</t>
  </si>
  <si>
    <t xml:space="preserve">DSCR Status</t>
  </si>
  <si>
    <t xml:space="preserve">&gt;= 1.35</t>
  </si>
  <si>
    <t xml:space="preserve">Holiday</t>
  </si>
  <si>
    <t xml:space="preserve">&gt;= 1.10</t>
  </si>
  <si>
    <t xml:space="preserve">✓ HOLIDAY</t>
  </si>
  <si>
    <t xml:space="preserve">FCCR Status</t>
  </si>
  <si>
    <t xml:space="preserve">&gt;= 1.2</t>
  </si>
  <si>
    <t xml:space="preserve">&gt;= 1.00</t>
  </si>
  <si>
    <t xml:space="preserve">&gt;= 1.20</t>
  </si>
  <si>
    <t xml:space="preserve">Leverage Status</t>
  </si>
  <si>
    <t xml:space="preserve">&lt;= 3.5</t>
  </si>
  <si>
    <t xml:space="preserve">&lt;= 5.00</t>
  </si>
  <si>
    <t xml:space="preserve">&lt;= 3.50</t>
  </si>
  <si>
    <t xml:space="preserve">Liquidity Status</t>
  </si>
  <si>
    <t xml:space="preserve">&gt;= 3.0</t>
  </si>
  <si>
    <t xml:space="preserve">&gt;= $3M cash</t>
  </si>
  <si>
    <t xml:space="preserve">§ INTERPRETATION &amp; NOTES</t>
  </si>
  <si>
    <t xml:space="preserve">§ NEGOTIATED STRUCTURE — TERM SHEET ASKS</t>
  </si>
  <si>
    <t xml:space="preserve">• DSCR = EBITDA ÷ Total Debt Service. EBITDA is pre-D&amp;A from P&amp;L!R49. Debt Service = Cash Flow!R18 + R55.</t>
  </si>
  <si>
    <t xml:space="preserve">• OPTION 1 — Y1 Covenant Holiday: DSCR / FCCR / Leverage NOT TESTED Q1-Q4 (M1-M12). Min Cash $3M covenant only during holiday.</t>
  </si>
  <si>
    <t xml:space="preserve">• FCCR = (EBITDA − Cash Tax − Maintenance CapEx) ÷ (Debt Service + Operating Lease). Bank-grade definition.</t>
  </si>
  <si>
    <t xml:space="preserve">• OPTION 2 — Y2 Stepped Thresholds (Q5-Q8): DSCR ≥ 1.10× / FCCR ≥ 1.00× / Leverage ≤ 5.0×. Steps to full ratios at Q9 (Y3 start).</t>
  </si>
  <si>
    <t xml:space="preserve">• Debt/EBITDA leverage: shown as N/A when EBITDA ≤ 0 (ratio undefined for negative earnings).</t>
  </si>
  <si>
    <t xml:space="preserve">• OPTION 3 — $500K Equity Cure (Founders Commit): If Y2 ratio misses, founders inject up to $500K within 30 days to bridge. Cure capacity adds to EBITDA in numerator.</t>
  </si>
  <si>
    <t xml:space="preserve">• Liquidity Months = Cash ÷ (Cash Fixed OH ÷ 12). Cash Fixed OH excludes Depreciation (non-cash).</t>
  </si>
  <si>
    <t xml:space="preserve">• Trade-offs lender will likely ask in return: SOFR + 450-550 bps during ramp (vs +300-350 post-Y2 cure), Max CapEx covenant Y1, Excess cash flow sweep Y2.</t>
  </si>
  <si>
    <t xml:space="preserve">• Negative Liquidity Months indicate the model projects NEGATIVE ending cash — fundamental funding gap before any covenant test.</t>
  </si>
  <si>
    <t xml:space="preserve">• Y1 Min Cash $3M check below the $4.5M Y1 EOY balance = $1.5M cushion. Manageable but tight; one bad quarter erodes it.</t>
  </si>
  <si>
    <t xml:space="preserve">• Bank covenants are typically tested quarterly post-close. Y1-Y3 failure signals: model needs equity bridge, slower OH ramp, or revised lender mix.</t>
  </si>
  <si>
    <t xml:space="preserve">• Cure is one-time per fiscal year per ratio. Equity cure converts to subordinated debt or contributed capital per lender preference.</t>
  </si>
  <si>
    <t xml:space="preserve">SOURCES &amp; USES</t>
  </si>
  <si>
    <t xml:space="preserve">PERSONNEL FORECAST</t>
  </si>
  <si>
    <t xml:space="preserve">REVENUE FORECAST</t>
  </si>
  <si>
    <t xml:space="preserve">SPOOL ASSUMPTIONS</t>
  </si>
  <si>
    <t xml:space="preserve">PRO FORMA PROFIT &amp; LOSS</t>
  </si>
  <si>
    <t xml:space="preserve">CASH FLOW</t>
  </si>
  <si>
    <t xml:space="preserve">BALANCE SHEET</t>
  </si>
  <si>
    <t xml:space="preserve">FINANCIAL HIGHLIGHTS</t>
  </si>
  <si>
    <t xml:space="preserve">BEST CASE SCENARIO</t>
  </si>
  <si>
    <t xml:space="preserve">PAST PERFORMANCE</t>
  </si>
  <si>
    <t xml:space="preserve">FINANCIAL ASSUMPTIONS</t>
  </si>
  <si>
    <t xml:space="preserve">ROLLOUT MODEL OUTPUT</t>
  </si>
  <si>
    <t xml:space="preserve">ONE LOCATION ASSUMPTIONS</t>
  </si>
  <si>
    <t xml:space="preserve">Growth Assumptions</t>
  </si>
  <si>
    <t xml:space="preserve">Total Revenue Growth</t>
  </si>
  <si>
    <t xml:space="preserve">Gross Margin %</t>
  </si>
  <si>
    <t xml:space="preserve">Total Expense Growth</t>
  </si>
  <si>
    <t xml:space="preserve">EBITDA*</t>
  </si>
  <si>
    <t xml:space="preserve">Cost of Goods</t>
  </si>
  <si>
    <t xml:space="preserve">Gross Margin</t>
  </si>
  <si>
    <t xml:space="preserve">Personnel Assumptions</t>
  </si>
  <si>
    <t xml:space="preserve">*Earnings before interest, taxes, depreciation &amp; amortization</t>
  </si>
  <si>
    <t xml:space="preserve">Average Salary Growth</t>
  </si>
  <si>
    <t xml:space="preserve">Payroll Growth</t>
  </si>
  <si>
    <t xml:space="preserve">Cash Balance</t>
  </si>
  <si>
    <t xml:space="preserve">Profitability Ratios</t>
  </si>
  <si>
    <t xml:space="preserve">Accumulated NI</t>
  </si>
  <si>
    <t xml:space="preserve">Cash Assumptions</t>
  </si>
  <si>
    <t xml:space="preserve">Months of Cash on Hand</t>
  </si>
  <si>
    <t xml:space="preserve">Bill Payment Term (Days)</t>
  </si>
  <si>
    <t xml:space="preserve">Loan Assumptions</t>
  </si>
  <si>
    <t xml:space="preserve">Debt Ratios</t>
  </si>
  <si>
    <t xml:space="preserve">Loan Term</t>
  </si>
  <si>
    <t xml:space="preserve">Debt Ratio (Total Debt/Total Assets)</t>
  </si>
  <si>
    <t xml:space="preserve">Loan Rate</t>
  </si>
  <si>
    <t xml:space="preserve">Liabilities and Capital</t>
  </si>
  <si>
    <t xml:space="preserve">Interest Coverage Ratio</t>
  </si>
  <si>
    <t xml:space="preserve">Monthly Loan Payment</t>
  </si>
  <si>
    <t xml:space="preserve">Debt Service Coverage Ratio</t>
  </si>
  <si>
    <t xml:space="preserve">Average Monthly Interest</t>
  </si>
  <si>
    <t xml:space="preserve">Total Long-term Assets</t>
  </si>
  <si>
    <t xml:space="preserve">Average Monthly Principle</t>
  </si>
  <si>
    <t xml:space="preserve">Net Cash Flow</t>
  </si>
  <si>
    <t xml:space="preserve">Cash Balance - Ending</t>
  </si>
  <si>
    <t xml:space="preserve">Total Direct Costs</t>
  </si>
  <si>
    <t xml:space="preserve">Total Current Liabilities</t>
  </si>
  <si>
    <t xml:space="preserve">Total Capital and Liabilities</t>
  </si>
  <si>
    <t xml:space="preserve">DFMA  ·  2-PHASE VALUATION SUMMARY  —  Path to $1B Enterprise Value</t>
  </si>
  <si>
    <t xml:space="preserve">Phase 1: Pipe Shop  ·  Phase 2: Skid Assembly  —  DFMA installs pipe/equip/drip pans · Z Modular structural · B&amp;D conduits  ·  M13 standup · no CapEx</t>
  </si>
  <si>
    <t xml:space="preserve">1.  PHASE 1  —  PIPE SHOP  (live from P&amp;L)</t>
  </si>
  <si>
    <t xml:space="preserve">5Y Total</t>
  </si>
  <si>
    <t xml:space="preserve">P&amp;L!R19</t>
  </si>
  <si>
    <t xml:space="preserve">Cost of Revenue</t>
  </si>
  <si>
    <t xml:space="preserve">P&amp;L!R21</t>
  </si>
  <si>
    <t xml:space="preserve">Other Direct Cost (15%)</t>
  </si>
  <si>
    <t xml:space="preserve">P&amp;L!R22</t>
  </si>
  <si>
    <t xml:space="preserve">P&amp;L!R25</t>
  </si>
  <si>
    <t xml:space="preserve">Total OpEx</t>
  </si>
  <si>
    <t xml:space="preserve">P&amp;L!R41</t>
  </si>
  <si>
    <t xml:space="preserve">P&amp;L!R49</t>
  </si>
  <si>
    <t xml:space="preserve">P&amp;L!R46</t>
  </si>
  <si>
    <t xml:space="preserve">Derived</t>
  </si>
  <si>
    <t xml:space="preserve">2.  PHASE 2  —  SKID ASSEMBLY MODEL  (DFMA self-perform + Z Modular + B&amp;D subs · M13 standup · gold cells editable)</t>
  </si>
  <si>
    <t xml:space="preserve">2.  PHASE 2  —  UL PANEL SHOP + MODULAR/ELECTRICAL  (M37 standup · gold cells editable)</t>
  </si>
  <si>
    <t xml:space="preserve">DFMA skid + subbed structural + conduits</t>
  </si>
  <si>
    <t xml:space="preserve">EBITDA %  (gold = editable driver)</t>
  </si>
  <si>
    <t xml:space="preserve">20.4% Y5 blend (self-perform + sub markups)</t>
  </si>
  <si>
    <t xml:space="preserve">Revenue × EBITDA %</t>
  </si>
  <si>
    <t xml:space="preserve">Net Profit  (EBITDA × 0.85 if positive)</t>
  </si>
  <si>
    <t xml:space="preserve">15% corp tax</t>
  </si>
  <si>
    <t xml:space="preserve">3.  COMBINED  —  PHASE 1 + PHASE 2  (consolidated DFMA business)</t>
  </si>
  <si>
    <t xml:space="preserve">Combined Revenue</t>
  </si>
  <si>
    <t xml:space="preserve">P1 + P2</t>
  </si>
  <si>
    <t xml:space="preserve">Combined EBITDA</t>
  </si>
  <si>
    <t xml:space="preserve">Combined Net Profit</t>
  </si>
  <si>
    <t xml:space="preserve">Combined EBITDA %</t>
  </si>
  <si>
    <t xml:space="preserve">Margin blend</t>
  </si>
  <si>
    <t xml:space="preserve">4.  $1B VALUATION BRIDGE  —  Y5 EBITDA × Multiple</t>
  </si>
  <si>
    <t xml:space="preserve">Scenario</t>
  </si>
  <si>
    <t xml:space="preserve">Multiple</t>
  </si>
  <si>
    <t xml:space="preserve">Implied EV</t>
  </si>
  <si>
    <t xml:space="preserve">vs $1B Target</t>
  </si>
  <si>
    <t xml:space="preserve">Comp Justification</t>
  </si>
  <si>
    <t xml:space="preserve">Phase 1 only · Premium</t>
  </si>
  <si>
    <t xml:space="preserve">Top-band specialty data center fab — scarcity premium required</t>
  </si>
  <si>
    <t xml:space="preserve">Phase 1 only · Strategic</t>
  </si>
  <si>
    <t xml:space="preserve">Comfort Systems / EMCOR range — standalone pipe fab</t>
  </si>
  <si>
    <t xml:space="preserve">Combined · Public comp</t>
  </si>
  <si>
    <t xml:space="preserve">Mid-band integrated MEP — EMCOR/MasTec range</t>
  </si>
  <si>
    <t xml:space="preserve">Combined · Strategic buyer</t>
  </si>
  <si>
    <t xml:space="preserve">Quanta / Comfort Systems acquisition — defensible base case</t>
  </si>
  <si>
    <t xml:space="preserve">Combined · DC scarcity</t>
  </si>
  <si>
    <t xml:space="preserve">Sun Belt pure-play data center fab + electrical — premium</t>
  </si>
  <si>
    <t xml:space="preserve">Combined +15% · Strategic</t>
  </si>
  <si>
    <t xml:space="preserve">Operational outperformance + strategic premium</t>
  </si>
  <si>
    <t xml:space="preserve">★ BASE CASE FOR INVESTOR DECK: Combined · Strategic buyer at 12.0× = $1.25B EV (defensible vs comps, conservative on multiple)</t>
  </si>
  <si>
    <t xml:space="preserve">5.  PHASE 2 BUILDOUT  —  DFMA Skid Assembly (self-perform) · Z Modular (structural) · B&amp;D Electric (empty conduits)</t>
  </si>
  <si>
    <t xml:space="preserve">Approach</t>
  </si>
  <si>
    <t xml:space="preserve">Timing</t>
  </si>
  <si>
    <t xml:space="preserve">Incr. CapEx</t>
  </si>
  <si>
    <t xml:space="preserve">Y5 EBITDA %</t>
  </si>
  <si>
    <t xml:space="preserve">Strategic Rationale</t>
  </si>
  <si>
    <t xml:space="preserve">DFMA Skid Assembly</t>
  </si>
  <si>
    <t xml:space="preserve">Self-perform (pipe + equipment + drip pans)</t>
  </si>
  <si>
    <t xml:space="preserve">M13-M48</t>
  </si>
  <si>
    <t xml:space="preserve">DFMA installs all pipe + mounts equipment (CDUs, pumps, valves, isolation) + fabricates drip pans on Z Modular skids · highest-margin self-perform scope · extension of Phase 1 fab capability</t>
  </si>
  <si>
    <t xml:space="preserve">Structural Steel / Racks / Skids</t>
  </si>
  <si>
    <t xml:space="preserve">Z Modular (sub)</t>
  </si>
  <si>
    <t xml:space="preserve">Z Modular builds all structural steel racks and skids · DFMA bills full integrated package, Z Mod as sub · steady markup on subbed scope</t>
  </si>
  <si>
    <t xml:space="preserve">Empty Conduits</t>
  </si>
  <si>
    <t xml:space="preserve">B&amp;D Electric (sub)</t>
  </si>
  <si>
    <t xml:space="preserve">B&amp;D runs all empty conduit infrastructure on skids · wire-pull and panels in separate scope (not in DFMA Phase 2) · light markup on subbed scope</t>
  </si>
  <si>
    <t xml:space="preserve">PHASE 2 TOTAL</t>
  </si>
  <si>
    <t xml:space="preserve">Phase 2 = $150M Y5 rev · DFMA self-performs $100M skid assembly (pipe + equipment + drip pans) · $50M subbed (Z Mod structural + B&amp;D conduits) · 20.4% blended EBITDA · $0 CapEx</t>
  </si>
  <si>
    <t xml:space="preserve">6.  COMPARABLE COMPANY MULTIPLES  —  reference data for Section 4</t>
  </si>
  <si>
    <t xml:space="preserve">Company / Type</t>
  </si>
  <si>
    <t xml:space="preserve">Ticker</t>
  </si>
  <si>
    <t xml:space="preserve">Business</t>
  </si>
  <si>
    <t xml:space="preserve">EV/EBITDA Range</t>
  </si>
  <si>
    <t xml:space="preserve">Quanta Services</t>
  </si>
  <si>
    <t xml:space="preserve">PWR</t>
  </si>
  <si>
    <t xml:space="preserve">Electrical / infrastructure</t>
  </si>
  <si>
    <t xml:space="preserve">14-17×</t>
  </si>
  <si>
    <t xml:space="preserve">Premium electrical pure-play · DC + utility tailwind</t>
  </si>
  <si>
    <t xml:space="preserve">Comfort Systems USA</t>
  </si>
  <si>
    <t xml:space="preserve">FIX</t>
  </si>
  <si>
    <t xml:space="preserve">MEP, modular</t>
  </si>
  <si>
    <t xml:space="preserve">11-14×</t>
  </si>
  <si>
    <t xml:space="preserve">Modular MEP leader · 30%+ EBITDA growth · DC exposure</t>
  </si>
  <si>
    <t xml:space="preserve">EMCOR Group</t>
  </si>
  <si>
    <t xml:space="preserve">EME</t>
  </si>
  <si>
    <t xml:space="preserve">Electrical &amp; mechanical</t>
  </si>
  <si>
    <t xml:space="preserve">10-13×</t>
  </si>
  <si>
    <t xml:space="preserve">Diversified MEP · stable trade margin profile</t>
  </si>
  <si>
    <t xml:space="preserve">MYR Group</t>
  </si>
  <si>
    <t xml:space="preserve">MYRG</t>
  </si>
  <si>
    <t xml:space="preserve">T&amp;D electrical</t>
  </si>
  <si>
    <t xml:space="preserve">9-12×</t>
  </si>
  <si>
    <t xml:space="preserve">Pure electrical · utility-tilted</t>
  </si>
  <si>
    <t xml:space="preserve">MasTec</t>
  </si>
  <si>
    <t xml:space="preserve">MTZ</t>
  </si>
  <si>
    <t xml:space="preserve">Multi-trade infrastructure</t>
  </si>
  <si>
    <t xml:space="preserve">8-11×</t>
  </si>
  <si>
    <t xml:space="preserve">Heavy infrastructure · pipeline &amp; DC</t>
  </si>
  <si>
    <t xml:space="preserve">Limbach</t>
  </si>
  <si>
    <t xml:space="preserve">LMB</t>
  </si>
  <si>
    <t xml:space="preserve">MEP rollup</t>
  </si>
  <si>
    <t xml:space="preserve">13-16×</t>
  </si>
  <si>
    <t xml:space="preserve">Targeted acquirer · niche MEP buyer</t>
  </si>
  <si>
    <t xml:space="preserve">Specialty DC fab (private)</t>
  </si>
  <si>
    <t xml:space="preserve">Pipe + MEP modular</t>
  </si>
  <si>
    <t xml:space="preserve">14-22×</t>
  </si>
  <si>
    <t xml:space="preserve">Recent strategic deals · scarcity premium</t>
  </si>
  <si>
    <t xml:space="preserve">PE rollup (industrial)</t>
  </si>
  <si>
    <t xml:space="preserve">Trade aggregation</t>
  </si>
  <si>
    <t xml:space="preserve">8-12×</t>
  </si>
  <si>
    <t xml:space="preserve">Sponsor-led platform deals</t>
  </si>
  <si>
    <t xml:space="preserve">7.  KEY ASSUMPTIONS &amp; EXIT TIMING</t>
  </si>
  <si>
    <t xml:space="preserve">Phase 1 Y5 run-rate</t>
  </si>
  <si>
    <t xml:space="preserve">M13 (start of Y2) — DFMA integration PMs and modular coordinators · scope: pipe + equipment + drip pans self-performed · subs (B&amp;D, Z Mod) ramp parallel</t>
  </si>
  <si>
    <t xml:space="preserve">Phase 2 scope split</t>
  </si>
  <si>
    <t xml:space="preserve">DFMA self-performs: pipe install + equipment mounting (CDUs, pumps, valves) + drip pans · Z Modular subbed: structural steel racks/skids · B&amp;D Electric subbed: empty conduits only (no wire-pull, no panels in Phase 2 scope)</t>
  </si>
  <si>
    <t xml:space="preserve">Phase 2 structure</t>
  </si>
  <si>
    <t xml:space="preserve">$0 incremental CapEx · DFMA scope rides on Phase 1 capital base · subs scale their own crew · DFMA carries integration PMs + working capital float on receivables</t>
  </si>
  <si>
    <t xml:space="preserve">Phase 2 funding</t>
  </si>
  <si>
    <t xml:space="preserve">20.4% blended (Y5 mature) — DFMA self-perform skid assembly (25% margin on $100M) + Z Modular sub markup (12% on $30M) + B&amp;D sub markup (10% on $20M)</t>
  </si>
  <si>
    <t xml:space="preserve">Phase 2 EBITDA blend</t>
  </si>
  <si>
    <t xml:space="preserve">19.6% blended (Y5 mature) — DFMA captures pipe self-perform margin (~40% GM on pipe portion) + integration markup on subbed electrical/structural scope</t>
  </si>
  <si>
    <t xml:space="preserve">Exit window</t>
  </si>
  <si>
    <t xml:space="preserve">Y5-Y6 strategic exit · Quanta, Comfort Systems, EMCOR, or PE rollup platform</t>
  </si>
  <si>
    <t xml:space="preserve">Valuation multiple</t>
  </si>
  <si>
    <t xml:space="preserve">DFMA execution: equipment-on-skid expertise (extension of pipe fab, not new trade) · sub capacity (B&amp;D + Z Mod must scale) · pipeline conversion</t>
  </si>
  <si>
    <t xml:space="preserve">Key risk</t>
  </si>
  <si>
    <t xml:space="preserve">Sub capacity (B&amp;D + Z Modular must scale with DFMA) · pipeline conversion · margin compression if subs raise pricing without DFMA pass-through</t>
  </si>
  <si>
    <t xml:space="preserve">Key sensitivity</t>
  </si>
  <si>
    <t xml:space="preserve">Sub margins are the swing variable — 2pp blend change on Phase 2 = $3M EBITDA = $36M EV at 12×</t>
  </si>
  <si>
    <t xml:space="preserve">Financial Highlights</t>
  </si>
  <si>
    <t xml:space="preserve">Direct Costs</t>
  </si>
  <si>
    <t xml:space="preserve">Start-up</t>
  </si>
  <si>
    <t xml:space="preserve">Break-Even</t>
  </si>
  <si>
    <t xml:space="preserve">Expenses, Interest &amp; Taxes</t>
  </si>
  <si>
    <t xml:space="preserve">Debt to Assets Ratio</t>
  </si>
  <si>
    <t xml:space="preserve">Current Debt to Assets</t>
  </si>
  <si>
    <t xml:space="preserve">Best Variance</t>
  </si>
  <si>
    <t xml:space="preserve">Worst Variance</t>
  </si>
  <si>
    <t xml:space="preserve">Projected</t>
  </si>
  <si>
    <t xml:space="preserve">Gross Margin/Revenue</t>
  </si>
  <si>
    <t xml:space="preserve">Net Profit/Revenue</t>
  </si>
  <si>
    <t xml:space="preserve">Greater</t>
  </si>
  <si>
    <t xml:space="preserve">Less</t>
  </si>
  <si>
    <t xml:space="preserve">Year Check</t>
  </si>
  <si>
    <t xml:space="preserve">PERSONNEL FORECAST </t>
  </si>
  <si>
    <t xml:space="preserve">Year 1 Known</t>
  </si>
  <si>
    <t xml:space="preserve">Potential</t>
  </si>
  <si>
    <t xml:space="preserve">UNIT ASSUMPTIONS</t>
  </si>
  <si>
    <t xml:space="preserve">CASH FLOW </t>
  </si>
  <si>
    <t xml:space="preserve">Best Case Summary</t>
  </si>
  <si>
    <t xml:space="preserve">PROFIT &amp; LOSS</t>
  </si>
  <si>
    <t xml:space="preserve">WORST CASE SCENARIO</t>
  </si>
  <si>
    <t xml:space="preserve">Worst Case Summary</t>
  </si>
  <si>
    <t xml:space="preserve">Years Invested</t>
  </si>
  <si>
    <t xml:space="preserve">Implied ROI Multiple</t>
  </si>
  <si>
    <t xml:space="preserve">Year 5 EBITDA Multiple</t>
  </si>
  <si>
    <t xml:space="preserve">Discount Rate</t>
  </si>
  <si>
    <t xml:space="preserve">INVESTOR PROPOSITION</t>
  </si>
  <si>
    <t xml:space="preserve">Investment </t>
  </si>
  <si>
    <t xml:space="preserve">INVESTOR SCENARIO</t>
  </si>
  <si>
    <t xml:space="preserve">Investment Amount</t>
  </si>
  <si>
    <t xml:space="preserve">ROI %</t>
  </si>
  <si>
    <t xml:space="preserve">Capital Recovery</t>
  </si>
  <si>
    <t xml:space="preserve">Principal Outstanding</t>
  </si>
  <si>
    <t xml:space="preserve">Equity Percentage</t>
  </si>
  <si>
    <t xml:space="preserve">Investor Share</t>
  </si>
  <si>
    <t xml:space="preserve">Required Rate of Return</t>
  </si>
  <si>
    <t xml:space="preserve">Year 0</t>
  </si>
  <si>
    <t xml:space="preserve">Value of Investment (Year 5)</t>
  </si>
  <si>
    <t xml:space="preserve">Year 5 EBITDA</t>
  </si>
  <si>
    <t xml:space="preserve">EBITDA Multiple</t>
  </si>
  <si>
    <t xml:space="preserve">Projected Company Value (Year 5)</t>
  </si>
  <si>
    <t xml:space="preserve">Company Valuation</t>
  </si>
  <si>
    <t xml:space="preserve">Proposed Investor Share</t>
  </si>
  <si>
    <t xml:space="preserve">Total Investor Payback</t>
  </si>
  <si>
    <t xml:space="preserve">Investor Payback</t>
  </si>
  <si>
    <t xml:space="preserve">Total Net Profit</t>
  </si>
  <si>
    <t xml:space="preserve">3-OWNER STRUCTURE</t>
  </si>
  <si>
    <t xml:space="preserve">Role</t>
  </si>
  <si>
    <t xml:space="preserve">Shares</t>
  </si>
  <si>
    <t xml:space="preserve">Ownership %</t>
  </si>
  <si>
    <t xml:space="preserve">Owner 1 (OI)</t>
  </si>
  <si>
    <t xml:space="preserve">Owner-Investor</t>
  </si>
  <si>
    <t xml:space="preserve">$11M repayment at Y3</t>
  </si>
  <si>
    <t xml:space="preserve">Owner 2</t>
  </si>
  <si>
    <t xml:space="preserve">Operating Partner</t>
  </si>
  <si>
    <t xml:space="preserve">Sweat Equity</t>
  </si>
  <si>
    <t xml:space="preserve">Salary + Dividends</t>
  </si>
  <si>
    <t xml:space="preserve">Owner 3</t>
  </si>
  <si>
    <t xml:space="preserve">OI SEED REPAYMENT (Year 3)</t>
  </si>
  <si>
    <t xml:space="preserve">Interest (10% simple)</t>
  </si>
  <si>
    <t xml:space="preserve">Total Due</t>
  </si>
  <si>
    <t xml:space="preserve">Payment Month</t>
  </si>
  <si>
    <t xml:space="preserve">PROJECTED INVESTOR IRR</t>
  </si>
  <si>
    <t xml:space="preserve">Year 5 Valuation Multiple</t>
  </si>
  <si>
    <t xml:space="preserve">Investor Share of Profits</t>
  </si>
  <si>
    <t xml:space="preserve">(put on cash flow as dividends)</t>
  </si>
  <si>
    <t xml:space="preserve">Investor Share of Valuation</t>
  </si>
  <si>
    <t xml:space="preserve">Investor Cash Flow</t>
  </si>
  <si>
    <t xml:space="preserve">Investor IRR</t>
  </si>
  <si>
    <t xml:space="preserve">Operating Break-Even</t>
  </si>
  <si>
    <t xml:space="preserve">Accumulated Expenses</t>
  </si>
  <si>
    <t xml:space="preserve">Difference</t>
  </si>
  <si>
    <t xml:space="preserve">Break-Even Analysis</t>
  </si>
  <si>
    <t xml:space="preserve">Break-Even Month </t>
  </si>
  <si>
    <t xml:space="preserve">DFMA Fabrication “The pipe fabrication operation carries a higher standalone overhead by design. As additional prefabricated scopes are introduced, revenue density increases and overhead burden compresses .”</t>
  </si>
  <si>
    <t xml:space="preserve">Overhead &amp; Indirect Cost Schedule</t>
  </si>
  <si>
    <t xml:space="preserve">Everything that is NOT a direct (job-billable) cost. Fill monthly $ — annual + % auto-calc.</t>
  </si>
  <si>
    <t xml:space="preserve">DFMA Fabrication</t>
  </si>
  <si>
    <t xml:space="preserve">P&amp;L </t>
  </si>
  <si>
    <t xml:space="preserve">Line Item</t>
  </si>
  <si>
    <t xml:space="preserve">Notes / Basis</t>
  </si>
  <si>
    <t xml:space="preserve">Monthly $</t>
  </si>
  <si>
    <t xml:space="preserve">Annual $</t>
  </si>
  <si>
    <t xml:space="preserve">% Y1 Rev</t>
  </si>
  <si>
    <t xml:space="preserve">% Y5 Rev</t>
  </si>
  <si>
    <t xml:space="preserve">OH rate</t>
  </si>
  <si>
    <t xml:space="preserve">Shop &amp; Facility</t>
  </si>
  <si>
    <t xml:space="preserve">Shop rent / mortgage</t>
  </si>
  <si>
    <t xml:space="preserve">Sq ft × $/yr ÷ 12; main fab bay + yard</t>
  </si>
  <si>
    <t xml:space="preserve">Property tax (real)</t>
  </si>
  <si>
    <t xml:space="preserve">AZ ~0.6% assessed / 12</t>
  </si>
  <si>
    <t xml:space="preserve">Property tax (personal — equipment)</t>
  </si>
  <si>
    <t xml:space="preserve">Filed annually, accrued monthly</t>
  </si>
  <si>
    <t xml:space="preserve">Building insurance</t>
  </si>
  <si>
    <t xml:space="preserve">Carrier annual ÷ 12</t>
  </si>
  <si>
    <t xml:space="preserve">Electricity — shop</t>
  </si>
  <si>
    <t xml:space="preserve">APS/SRP; welding draws heavy</t>
  </si>
  <si>
    <t xml:space="preserve">Natural gas / propane</t>
  </si>
  <si>
    <t xml:space="preserve">Heat, post-weld stress relief, forklifts</t>
  </si>
  <si>
    <t xml:space="preserve">Water &amp; sewer</t>
  </si>
  <si>
    <t xml:space="preserve">Wash bays, hydrostatic test water</t>
  </si>
  <si>
    <t xml:space="preserve">Trash &amp; dumpster service</t>
  </si>
  <si>
    <t xml:space="preserve">Roll-off scrap + general</t>
  </si>
  <si>
    <t xml:space="preserve">Scrap hauling / recycling rebate</t>
  </si>
  <si>
    <t xml:space="preserve">Net cost (or credit) for steel scrap</t>
  </si>
  <si>
    <t xml:space="preserve">Janitorial / shop cleaning</t>
  </si>
  <si>
    <t xml:space="preserve">Office + bathrooms + breakroom</t>
  </si>
  <si>
    <t xml:space="preserve">Pest control</t>
  </si>
  <si>
    <t xml:space="preserve">Quarterly contract ÷ 3</t>
  </si>
  <si>
    <t xml:space="preserve">Landscaping / yard maintenance</t>
  </si>
  <si>
    <t xml:space="preserve">Gravel re-grade, weed control</t>
  </si>
  <si>
    <t xml:space="preserve">Snow / ice not applicable AZ</t>
  </si>
  <si>
    <t xml:space="preserve">Security monitoring + alarm</t>
  </si>
  <si>
    <t xml:space="preserve">ADT/equiv. + camera service</t>
  </si>
  <si>
    <t xml:space="preserve">Fire alarm + sprinkler inspection</t>
  </si>
  <si>
    <t xml:space="preserve">NFPA 25 quarterly + annual cert</t>
  </si>
  <si>
    <t xml:space="preserve">HVAC service contract</t>
  </si>
  <si>
    <t xml:space="preserve">Office + spot coolers in bay</t>
  </si>
  <si>
    <t xml:space="preserve">Compressed air service / dryer rental</t>
  </si>
  <si>
    <t xml:space="preserve">Plant air, desiccant changes</t>
  </si>
  <si>
    <t xml:space="preserve">Crane inspection (annual + quarterly)</t>
  </si>
  <si>
    <t xml:space="preserve">OSHA 1910.179 — overhead bridge cranes</t>
  </si>
  <si>
    <t xml:space="preserve">Forklift inspection + propane</t>
  </si>
  <si>
    <t xml:space="preserve">Daily OSHA checks; service quarterly</t>
  </si>
  <si>
    <t xml:space="preserve">Common-area maintenance (CAM)</t>
  </si>
  <si>
    <t xml:space="preserve">If leased shop</t>
  </si>
  <si>
    <t xml:space="preserve">Equipment depreciation</t>
  </si>
  <si>
    <t xml:space="preserve">MACRS 7-yr on shop equipment</t>
  </si>
  <si>
    <t xml:space="preserve">Equipment financing — interest</t>
  </si>
  <si>
    <t xml:space="preserve">Loan/lease P&amp;I — interest portion</t>
  </si>
  <si>
    <t xml:space="preserve">Equipment lease payments</t>
  </si>
  <si>
    <t xml:space="preserve">Forklift, scissor lift, etc.</t>
  </si>
  <si>
    <t xml:space="preserve">Welder calibration / preventive maint.</t>
  </si>
  <si>
    <t xml:space="preserve">Lincoln/Miller annual</t>
  </si>
  <si>
    <t xml:space="preserve">CNC plasma / saw maintenance</t>
  </si>
  <si>
    <t xml:space="preserve">Consumables not in direct = wear parts only</t>
  </si>
  <si>
    <t xml:space="preserve">Crane / hoist load testing</t>
  </si>
  <si>
    <t xml:space="preserve">Annual proof load + inspection</t>
  </si>
  <si>
    <t xml:space="preserve">Compressor maintenance + filters</t>
  </si>
  <si>
    <t xml:space="preserve">Quarterly oil/filter</t>
  </si>
  <si>
    <t xml:space="preserve">Hand-tool replacement pool</t>
  </si>
  <si>
    <t xml:space="preserve">Grinders, drills, impact — non-issued</t>
  </si>
  <si>
    <t xml:space="preserve">Calibration — torque wrenches, gauges</t>
  </si>
  <si>
    <t xml:space="preserve">ASME B40.100 annual cert</t>
  </si>
  <si>
    <t xml:space="preserve">Calibration — tape measures, levels</t>
  </si>
  <si>
    <t xml:space="preserve">Per QA program</t>
  </si>
  <si>
    <t xml:space="preserve">Welding helmet / lens replacements</t>
  </si>
  <si>
    <t xml:space="preserve">Pool stock</t>
  </si>
  <si>
    <t xml:space="preserve">Indirect Labor</t>
  </si>
  <si>
    <t xml:space="preserve">Shop foreman / superintendent</t>
  </si>
  <si>
    <t xml:space="preserve">Salary not booked to job</t>
  </si>
  <si>
    <t xml:space="preserve">QA/QC inspector(s)</t>
  </si>
  <si>
    <t xml:space="preserve">CWI; not chargeable to direct</t>
  </si>
  <si>
    <t xml:space="preserve">Material handlers / yard crew</t>
  </si>
  <si>
    <t xml:space="preserve">Receiving, staging, loading</t>
  </si>
  <si>
    <t xml:space="preserve">Tool crib / shipping clerk</t>
  </si>
  <si>
    <t xml:space="preserve">Tool sign-out + outbound logistics</t>
  </si>
  <si>
    <t xml:space="preserve">Project managers (non-billable %)</t>
  </si>
  <si>
    <t xml:space="preserve">Carry % of PM salary as OH</t>
  </si>
  <si>
    <t xml:space="preserve">Estimator / pre-construction</t>
  </si>
  <si>
    <t xml:space="preserve">Salaried; pre-award</t>
  </si>
  <si>
    <t xml:space="preserve">Drafting / detailing — non-job</t>
  </si>
  <si>
    <t xml:space="preserve">Standards, libraries, R&amp;D</t>
  </si>
  <si>
    <t xml:space="preserve">Safety officer / EHS</t>
  </si>
  <si>
    <t xml:space="preserve">Allocated portion if shared</t>
  </si>
  <si>
    <t xml:space="preserve">Office admin / receptionist</t>
  </si>
  <si>
    <t xml:space="preserve">Front office</t>
  </si>
  <si>
    <t xml:space="preserve">HR / payroll clerk</t>
  </si>
  <si>
    <t xml:space="preserve">If in-house</t>
  </si>
  <si>
    <t xml:space="preserve">Owner / executive comp</t>
  </si>
  <si>
    <t xml:space="preserve">Carried portion above billable</t>
  </si>
  <si>
    <t xml:space="preserve">Indirect labor — payroll taxes (FICA/FUTA/SUTA)</t>
  </si>
  <si>
    <t xml:space="preserve">~7.65% + ~1% state on indirect wages</t>
  </si>
  <si>
    <t xml:space="preserve">Indirect labor — workers comp</t>
  </si>
  <si>
    <t xml:space="preserve">Class code rate × indirect wages</t>
  </si>
  <si>
    <t xml:space="preserve">Indirect labor — health insurance</t>
  </si>
  <si>
    <t xml:space="preserve">Employer share, indirect heads</t>
  </si>
  <si>
    <t xml:space="preserve">Indirect labor — 401(k) match</t>
  </si>
  <si>
    <t xml:space="preserve">Indirect wages × match %</t>
  </si>
  <si>
    <t xml:space="preserve">Indirect labor — paid time off accrual</t>
  </si>
  <si>
    <t xml:space="preserve">Vacation/sick on indirect heads</t>
  </si>
  <si>
    <t xml:space="preserve">Indirect labor — bonus accrual</t>
  </si>
  <si>
    <t xml:space="preserve">Discretionary / KPI</t>
  </si>
  <si>
    <t xml:space="preserve">Per diem / travel for shop staff</t>
  </si>
  <si>
    <t xml:space="preserve">Out-of-town site visits</t>
  </si>
  <si>
    <t xml:space="preserve">Training &amp; certifications (CWI, AWS, etc.)</t>
  </si>
  <si>
    <t xml:space="preserve">ASME IX, B31.1/B31.3, OSHA 30</t>
  </si>
  <si>
    <t xml:space="preserve">Apprenticeship program contribution</t>
  </si>
  <si>
    <t xml:space="preserve">UA or NCCER program fees</t>
  </si>
  <si>
    <t xml:space="preserve">Drug testing + background checks</t>
  </si>
  <si>
    <t xml:space="preserve">Pre-hire + random</t>
  </si>
  <si>
    <t xml:space="preserve">Shop Consumables</t>
  </si>
  <si>
    <t xml:space="preserve">Welding gas — pooled (Argon/CO2/Ar-CO2)</t>
  </si>
  <si>
    <t xml:space="preserve">Until metered to job</t>
  </si>
  <si>
    <t xml:space="preserve">Cutting gas (oxy/acetylene/propane)</t>
  </si>
  <si>
    <t xml:space="preserve">Pooled</t>
  </si>
  <si>
    <t xml:space="preserve">Grinding wheels / flap discs / cut-off</t>
  </si>
  <si>
    <t xml:space="preserve">Pool consumable</t>
  </si>
  <si>
    <t xml:space="preserve">Wire brushes, files, deburring tools</t>
  </si>
  <si>
    <t xml:space="preserve">Marking — soapstone, paint markers, layout dye</t>
  </si>
  <si>
    <t xml:space="preserve">PPE — gloves, glasses, hearing, FR clothing</t>
  </si>
  <si>
    <t xml:space="preserve">Issued + replacement</t>
  </si>
  <si>
    <t xml:space="preserve">Welding rod oven + electrode storage</t>
  </si>
  <si>
    <t xml:space="preserve">Hydrogen-controlled rod handling</t>
  </si>
  <si>
    <t xml:space="preserve">Purge gas / purge dams</t>
  </si>
  <si>
    <t xml:space="preserve">B31.3 root-pass purge stock</t>
  </si>
  <si>
    <t xml:space="preserve">Pickling paste / passivation chemicals</t>
  </si>
  <si>
    <t xml:space="preserve">Stainless post-weld</t>
  </si>
  <si>
    <t xml:space="preserve">Shop rags, absorbent, spill kits</t>
  </si>
  <si>
    <t xml:space="preserve">Lubricants, cutting fluid, threading oil</t>
  </si>
  <si>
    <t xml:space="preserve">Strapping, banding, stretch wrap</t>
  </si>
  <si>
    <t xml:space="preserve">Outbound packaging — see also Freight</t>
  </si>
  <si>
    <t xml:space="preserve">Pipe end caps / thread protectors</t>
  </si>
  <si>
    <t xml:space="preserve">Pool stock for shipping</t>
  </si>
  <si>
    <t xml:space="preserve">Freight &amp; Logistics</t>
  </si>
  <si>
    <t xml:space="preserve">Inbound freight — steel &amp; pipe</t>
  </si>
  <si>
    <t xml:space="preserve">Mill / distributor delivery</t>
  </si>
  <si>
    <t xml:space="preserve">Inbound freight — fittings / valves</t>
  </si>
  <si>
    <t xml:space="preserve">Outbound freight — flatbed / step-deck</t>
  </si>
  <si>
    <t xml:space="preserve">To jobsite</t>
  </si>
  <si>
    <t xml:space="preserve">Outbound freight — intermodal (130-ton rate)</t>
  </si>
  <si>
    <t xml:space="preserve">Long-haul / multi-state</t>
  </si>
  <si>
    <t xml:space="preserve">Hot-shot / expedited freight</t>
  </si>
  <si>
    <t xml:space="preserve">Recovery / RFI parts</t>
  </si>
  <si>
    <t xml:space="preserve">Crane / rigger to load trucks</t>
  </si>
  <si>
    <t xml:space="preserve">Mobile crane spot rental</t>
  </si>
  <si>
    <t xml:space="preserve">Permit loads (oversize/overweight)</t>
  </si>
  <si>
    <t xml:space="preserve">AZ ADOT + adjacent states</t>
  </si>
  <si>
    <t xml:space="preserve">Pilot car / escort vehicles</t>
  </si>
  <si>
    <t xml:space="preserve">Required for permit loads</t>
  </si>
  <si>
    <t xml:space="preserve">Dunnage — lumber (4x4, 6x6 cribbing)</t>
  </si>
  <si>
    <t xml:space="preserve">Pool consumable, replenished</t>
  </si>
  <si>
    <t xml:space="preserve">Dunnage — steel saddles / racks (returnable)</t>
  </si>
  <si>
    <t xml:space="preserve">Depreciation + repair</t>
  </si>
  <si>
    <t xml:space="preserve">Dunnage — foam / corner protection</t>
  </si>
  <si>
    <t xml:space="preserve">Coated pipe protection</t>
  </si>
  <si>
    <t xml:space="preserve">Tarps / covers / shrink wrap</t>
  </si>
  <si>
    <t xml:space="preserve">Weather protection in transit</t>
  </si>
  <si>
    <t xml:space="preserve">Chain, binders, strap inventory</t>
  </si>
  <si>
    <t xml:space="preserve">Owned tie-down kit</t>
  </si>
  <si>
    <t xml:space="preserve">Truck demurrage / detention</t>
  </si>
  <si>
    <t xml:space="preserve">Driver wait beyond 2 hrs</t>
  </si>
  <si>
    <t xml:space="preserve">Container / drayage fees</t>
  </si>
  <si>
    <t xml:space="preserve">Port-to-shop if importing</t>
  </si>
  <si>
    <t xml:space="preserve">Customs broker / duties</t>
  </si>
  <si>
    <t xml:space="preserve">If importing fittings/valves</t>
  </si>
  <si>
    <t xml:space="preserve">Receiving overage / shortage / damage</t>
  </si>
  <si>
    <t xml:space="preserve">OS&amp;D claim float</t>
  </si>
  <si>
    <t xml:space="preserve">Return freight — wrong material / RGAs</t>
  </si>
  <si>
    <t xml:space="preserve">Yard storage / laydown rental</t>
  </si>
  <si>
    <t xml:space="preserve">Off-site if shop yard full</t>
  </si>
  <si>
    <t xml:space="preserve">QA / QC / NDE</t>
  </si>
  <si>
    <t xml:space="preserve">ASME Section IX WPS / PQR maintenance</t>
  </si>
  <si>
    <t xml:space="preserve">Annual document control</t>
  </si>
  <si>
    <t xml:space="preserve">ASME stamp survey fees (U/S/R)</t>
  </si>
  <si>
    <t xml:space="preserve">Authorized Inspector + NB</t>
  </si>
  <si>
    <t xml:space="preserve">Authorized Inspector (AI) hours</t>
  </si>
  <si>
    <t xml:space="preserve">AIA contract retainer</t>
  </si>
  <si>
    <t xml:space="preserve">Welder qualification testing</t>
  </si>
  <si>
    <t xml:space="preserve">Coupons + lab + log update</t>
  </si>
  <si>
    <t xml:space="preserve">NDE — RT / UT / PT / MT (in-house pool)</t>
  </si>
  <si>
    <t xml:space="preserve">Until job-charged</t>
  </si>
  <si>
    <t xml:space="preserve">NDE — third-party lab callouts</t>
  </si>
  <si>
    <t xml:space="preserve">Subcontracted inspections</t>
  </si>
  <si>
    <t xml:space="preserve">Hydrostatic test pumps + gauges</t>
  </si>
  <si>
    <t xml:space="preserve">Maintenance + cal</t>
  </si>
  <si>
    <t xml:space="preserve">Calibration lab fees</t>
  </si>
  <si>
    <t xml:space="preserve">Annual</t>
  </si>
  <si>
    <t xml:space="preserve">Document control / turnover packages</t>
  </si>
  <si>
    <t xml:space="preserve">MTRs, weld maps, hydro reports</t>
  </si>
  <si>
    <t xml:space="preserve">Software — weld log / traveler system</t>
  </si>
  <si>
    <t xml:space="preserve">ProShop, BluBeam, etc.</t>
  </si>
  <si>
    <t xml:space="preserve">Insurance &amp; Bonds</t>
  </si>
  <si>
    <t xml:space="preserve">General liability (CGL)</t>
  </si>
  <si>
    <t xml:space="preserve">$1M/$2M typical, fab classification</t>
  </si>
  <si>
    <t xml:space="preserve">Excess / umbrella liability</t>
  </si>
  <si>
    <t xml:space="preserve">$5–10M layer</t>
  </si>
  <si>
    <t xml:space="preserve">Workers comp — base + experience mod</t>
  </si>
  <si>
    <t xml:space="preserve">Allocated to OH (indirect heads only)</t>
  </si>
  <si>
    <t xml:space="preserve">Auto / fleet insurance</t>
  </si>
  <si>
    <t xml:space="preserve">Pickups, trucks, trailers</t>
  </si>
  <si>
    <t xml:space="preserve">Inland marine (tools, equipment in transit)</t>
  </si>
  <si>
    <t xml:space="preserve">Builder's risk / installation floater</t>
  </si>
  <si>
    <t xml:space="preserve">Per project; OH if blanket</t>
  </si>
  <si>
    <t xml:space="preserve">Professional liability / E&amp;O</t>
  </si>
  <si>
    <t xml:space="preserve">If providing engineering deliverables</t>
  </si>
  <si>
    <t xml:space="preserve">Cyber liability</t>
  </si>
  <si>
    <t xml:space="preserve">Pollution liability</t>
  </si>
  <si>
    <t xml:space="preserve">If chemical handling on site</t>
  </si>
  <si>
    <t xml:space="preserve">EPLI (employment practices)</t>
  </si>
  <si>
    <t xml:space="preserve">Bid bonds + performance bonds — premium</t>
  </si>
  <si>
    <t xml:space="preserve">~0.5–1.5% of bond face</t>
  </si>
  <si>
    <t xml:space="preserve">Bonding capacity — standby fee</t>
  </si>
  <si>
    <t xml:space="preserve">Surety annual fee</t>
  </si>
  <si>
    <t xml:space="preserve">Software &amp; IT</t>
  </si>
  <si>
    <t xml:space="preserve">Accounting / ERP (Sage, Foundation, Viewpoint)</t>
  </si>
  <si>
    <t xml:space="preserve">Construction-grade ERP</t>
  </si>
  <si>
    <t xml:space="preserve">Estimating software (Trimble, Bluebeam, etc.)</t>
  </si>
  <si>
    <t xml:space="preserve">Pre-construction</t>
  </si>
  <si>
    <t xml:space="preserve">BIM / Revit / Navisworks licenses</t>
  </si>
  <si>
    <t xml:space="preserve">AutoCAD / SolidWorks / Plant 3D</t>
  </si>
  <si>
    <t xml:space="preserve">Pipe spool detailing</t>
  </si>
  <si>
    <t xml:space="preserve">Project management (Procore, P6, etc.)</t>
  </si>
  <si>
    <t xml:space="preserve">Schedule + RFI + submittals</t>
  </si>
  <si>
    <t xml:space="preserve">BluBeam Revu licenses</t>
  </si>
  <si>
    <t xml:space="preserve">Drawings / markup</t>
  </si>
  <si>
    <t xml:space="preserve">Microsoft 365 + Teams</t>
  </si>
  <si>
    <t xml:space="preserve">Per seat</t>
  </si>
  <si>
    <t xml:space="preserve">Cloud storage / backup (OneDrive, Box, S3)</t>
  </si>
  <si>
    <t xml:space="preserve">Cybersecurity / endpoint / MFA</t>
  </si>
  <si>
    <t xml:space="preserve">CrowdStrike, Duo, etc.</t>
  </si>
  <si>
    <t xml:space="preserve">Internet (shop) + redundancy</t>
  </si>
  <si>
    <t xml:space="preserve">Fiber + cellular failover</t>
  </si>
  <si>
    <t xml:space="preserve">Phones — VOIP + cellular plan</t>
  </si>
  <si>
    <t xml:space="preserve">Office + field</t>
  </si>
  <si>
    <t xml:space="preserve">Hardware refresh — laptops, monitors, tablets</t>
  </si>
  <si>
    <t xml:space="preserve">3-yr replacement cycle</t>
  </si>
  <si>
    <t xml:space="preserve">Network gear / Wi-Fi / shop access points</t>
  </si>
  <si>
    <t xml:space="preserve">Capex + maint</t>
  </si>
  <si>
    <t xml:space="preserve">Server / NAS for drawings, MTRs</t>
  </si>
  <si>
    <t xml:space="preserve">On-prem or cloud</t>
  </si>
  <si>
    <t xml:space="preserve">Time-clock / labor tracking system</t>
  </si>
  <si>
    <t xml:space="preserve">Mobile clock-in for field</t>
  </si>
  <si>
    <t xml:space="preserve">Safety &amp; Compliance</t>
  </si>
  <si>
    <t xml:space="preserve">OSHA training (10 / 30 / refresher)</t>
  </si>
  <si>
    <t xml:space="preserve">First-aid + CPR + AED program</t>
  </si>
  <si>
    <t xml:space="preserve">Fit testing (respirators, FR)</t>
  </si>
  <si>
    <t xml:space="preserve">Hearing conservation program</t>
  </si>
  <si>
    <t xml:space="preserve">Audiograms</t>
  </si>
  <si>
    <t xml:space="preserve">Hazcom / SDS management software</t>
  </si>
  <si>
    <t xml:space="preserve">Lockout-tagout devices + program</t>
  </si>
  <si>
    <t xml:space="preserve">Fall protection — harness + lanyard inspection/replacement</t>
  </si>
  <si>
    <t xml:space="preserve">Confined-space rescue retainer</t>
  </si>
  <si>
    <t xml:space="preserve">Field site work</t>
  </si>
  <si>
    <t xml:space="preserve">ISN / Avetta / Veriforce subscription</t>
  </si>
  <si>
    <t xml:space="preserve">Hyperscaler pre-qual portals</t>
  </si>
  <si>
    <t xml:space="preserve">Drug-free workplace program admin</t>
  </si>
  <si>
    <t xml:space="preserve">Environmental — stormwater / SPCC plan</t>
  </si>
  <si>
    <t xml:space="preserve">ADEQ filings</t>
  </si>
  <si>
    <t xml:space="preserve">Hazardous waste disposal (used oil, abrasive, paint)</t>
  </si>
  <si>
    <t xml:space="preserve">Manifested pickup</t>
  </si>
  <si>
    <t xml:space="preserve">Air permits / fume extraction maintenance</t>
  </si>
  <si>
    <t xml:space="preserve">Crane operator certifications (NCCCO)</t>
  </si>
  <si>
    <t xml:space="preserve">Renewals</t>
  </si>
  <si>
    <t xml:space="preserve">Vehicles &amp; Fleet</t>
  </si>
  <si>
    <t xml:space="preserve">Owner / supt trucks — lease or depreciation</t>
  </si>
  <si>
    <t xml:space="preserve">Not job-billed</t>
  </si>
  <si>
    <t xml:space="preserve">Fuel — fleet pool</t>
  </si>
  <si>
    <t xml:space="preserve">Allocated by GPS / cards</t>
  </si>
  <si>
    <t xml:space="preserve">Fleet GPS / telematics subscription</t>
  </si>
  <si>
    <t xml:space="preserve">Vehicle maintenance + tires</t>
  </si>
  <si>
    <t xml:space="preserve">Trailer registration + maintenance</t>
  </si>
  <si>
    <t xml:space="preserve">Goosenecks, lowboys, equip trailers</t>
  </si>
  <si>
    <t xml:space="preserve">DOT compliance + IFTA filings</t>
  </si>
  <si>
    <t xml:space="preserve">If interstate</t>
  </si>
  <si>
    <t xml:space="preserve">Driver MVR + drug-test program</t>
  </si>
  <si>
    <t xml:space="preserve">DOT-regulated drivers</t>
  </si>
  <si>
    <t xml:space="preserve">Wash / detail</t>
  </si>
  <si>
    <t xml:space="preserve">G&amp;A — Office</t>
  </si>
  <si>
    <t xml:space="preserve">Office rent / mortgage (if separate)</t>
  </si>
  <si>
    <t xml:space="preserve">If office is split from shop</t>
  </si>
  <si>
    <t xml:space="preserve">Office utilities (allocated)</t>
  </si>
  <si>
    <t xml:space="preserve">Office supplies / printing / postage</t>
  </si>
  <si>
    <t xml:space="preserve">Furniture + equipment depreciation</t>
  </si>
  <si>
    <t xml:space="preserve">Coffee / breakroom / water service</t>
  </si>
  <si>
    <t xml:space="preserve">Subscriptions — IBIS, McGraw-Hill, ENR, ASME</t>
  </si>
  <si>
    <t xml:space="preserve">Industry intel</t>
  </si>
  <si>
    <t xml:space="preserve">Memberships — MCAA, AGC, ASA, NAWB</t>
  </si>
  <si>
    <t xml:space="preserve">Trade orgs</t>
  </si>
  <si>
    <t xml:space="preserve">Legal — general counsel retainer</t>
  </si>
  <si>
    <t xml:space="preserve">Legal — contract review (subs/MSAs)</t>
  </si>
  <si>
    <t xml:space="preserve">Project legal</t>
  </si>
  <si>
    <t xml:space="preserve">Accounting — outside CPA / tax prep</t>
  </si>
  <si>
    <t xml:space="preserve">Audit / review fees (annual)</t>
  </si>
  <si>
    <t xml:space="preserve">If required by surety / lender</t>
  </si>
  <si>
    <t xml:space="preserve">Bank fees + merchant fees</t>
  </si>
  <si>
    <t xml:space="preserve">Interest expense — line of credit / WC</t>
  </si>
  <si>
    <t xml:space="preserve">Working capital interest</t>
  </si>
  <si>
    <t xml:space="preserve">Factoring / AR financing fees</t>
  </si>
  <si>
    <t xml:space="preserve">If used</t>
  </si>
  <si>
    <t xml:space="preserve">Bad debt allowance</t>
  </si>
  <si>
    <t xml:space="preserve">% of revenue accrual</t>
  </si>
  <si>
    <t xml:space="preserve">Bonuses — owner / officer</t>
  </si>
  <si>
    <t xml:space="preserve">Owner draws / distributions (info only)</t>
  </si>
  <si>
    <t xml:space="preserve">Below the OH line — informational</t>
  </si>
  <si>
    <t xml:space="preserve">Business Development</t>
  </si>
  <si>
    <t xml:space="preserve">Pre-bid / take-off labor (lost bids)</t>
  </si>
  <si>
    <t xml:space="preserve">Cost of bids you don't win</t>
  </si>
  <si>
    <t xml:space="preserve">Bid plan rooms / drawing reproduction</t>
  </si>
  <si>
    <t xml:space="preserve">Travel — owner / BD (jobsite walks)</t>
  </si>
  <si>
    <t xml:space="preserve">Hyperscaler campus visits</t>
  </si>
  <si>
    <t xml:space="preserve">Trade shows + sponsorships (DICE, 7x24)</t>
  </si>
  <si>
    <t xml:space="preserve">Hyperscale DC events</t>
  </si>
  <si>
    <t xml:space="preserve">Marketing — website, brochure, photography</t>
  </si>
  <si>
    <t xml:space="preserve">Capability statement / SOQ updates</t>
  </si>
  <si>
    <t xml:space="preserve">Client entertainment / meals</t>
  </si>
  <si>
    <t xml:space="preserve">Tax-deductible 50%</t>
  </si>
  <si>
    <t xml:space="preserve">Brokered intros / consultant fees</t>
  </si>
  <si>
    <t xml:space="preserve">Owner-rep, BD consultants</t>
  </si>
  <si>
    <t xml:space="preserve">PR / case studies</t>
  </si>
  <si>
    <t xml:space="preserve">Project Indirects</t>
  </si>
  <si>
    <t xml:space="preserve">Mobilization / demobilization (if not job-billed)</t>
  </si>
  <si>
    <t xml:space="preserve">Trailers, hookups, signage</t>
  </si>
  <si>
    <t xml:space="preserve">Site office trailer rental</t>
  </si>
  <si>
    <t xml:space="preserve">Portable toilets + hand-wash stations</t>
  </si>
  <si>
    <t xml:space="preserve">Site dumpster + waste service</t>
  </si>
  <si>
    <t xml:space="preserve">Temp power / generators</t>
  </si>
  <si>
    <t xml:space="preserve">Until permanent</t>
  </si>
  <si>
    <t xml:space="preserve">Temp water / fuel</t>
  </si>
  <si>
    <t xml:space="preserve">Site fencing + barricades</t>
  </si>
  <si>
    <t xml:space="preserve">Site security / cameras</t>
  </si>
  <si>
    <t xml:space="preserve">Site signage + ID badging</t>
  </si>
  <si>
    <t xml:space="preserve">Hyperscaler-specific badge runs</t>
  </si>
  <si>
    <t xml:space="preserve">Lay-down area rental</t>
  </si>
  <si>
    <t xml:space="preserve">Punch-list / warranty allowance</t>
  </si>
  <si>
    <t xml:space="preserve">1–2% of contract typical</t>
  </si>
  <si>
    <t xml:space="preserve">As-built drafting (post-construction)</t>
  </si>
  <si>
    <t xml:space="preserve">Closeout / O&amp;M manuals</t>
  </si>
  <si>
    <t xml:space="preserve">Hyperscaler turnover binder</t>
  </si>
  <si>
    <t xml:space="preserve">Taxes (non-income)</t>
  </si>
  <si>
    <t xml:space="preserve">AZ TPT / sales tax compliance fee</t>
  </si>
  <si>
    <t xml:space="preserve">Filing software / CPA</t>
  </si>
  <si>
    <t xml:space="preserve">Use tax accrual (out-of-state purchases)</t>
  </si>
  <si>
    <t xml:space="preserve">Self-assessed</t>
  </si>
  <si>
    <t xml:space="preserve">Business license — city + state</t>
  </si>
  <si>
    <t xml:space="preserve">Annual ÷ 12</t>
  </si>
  <si>
    <t xml:space="preserve">Contractor license bond + ROC fees</t>
  </si>
  <si>
    <t xml:space="preserve">AZ ROC renewal</t>
  </si>
  <si>
    <t xml:space="preserve">Out-of-state contractor registrations</t>
  </si>
  <si>
    <t xml:space="preserve">NV, NM, TX nexus</t>
  </si>
  <si>
    <t xml:space="preserve">GRAND TOTAL — OH</t>
  </si>
  <si>
    <t xml:space="preserve">PERSONNEL FORECAST - YEAR 2</t>
  </si>
  <si>
    <t xml:space="preserve">PERSONNEL FORECAST - YEAR 3</t>
  </si>
  <si>
    <t xml:space="preserve">PERSONNEL FORECAST - YEAR 4</t>
  </si>
  <si>
    <t xml:space="preserve">PERSONNEL FORECAST - YEAR 5</t>
  </si>
  <si>
    <t xml:space="preserve">REVENUE FORECAST - YEAR 2</t>
  </si>
  <si>
    <t xml:space="preserve">REVENUE FORECAST - YEAR 3</t>
  </si>
  <si>
    <t xml:space="preserve">REVENUE FORECAST - YEAR 4</t>
  </si>
  <si>
    <t xml:space="preserve">REVENUE FORECAST - YEAR 5</t>
  </si>
  <si>
    <t xml:space="preserve">UNIT ASSUMPTIONS  - YEAR 2 </t>
  </si>
  <si>
    <t xml:space="preserve">UNIT ASSUMPTIONS  - YEAR 3</t>
  </si>
  <si>
    <t xml:space="preserve">UNIT ASSUMPTIONS  - YEAR 4</t>
  </si>
  <si>
    <t xml:space="preserve">UNIT ASSUMPTIONS  - YEAR 5</t>
  </si>
  <si>
    <t xml:space="preserve">PRO FORMA PROFIT &amp; LOSS - YEAR 2</t>
  </si>
  <si>
    <t xml:space="preserve">PRO FORMA PROFIT &amp; LOSS - YEAR 3</t>
  </si>
  <si>
    <t xml:space="preserve">PRO FORMA PROFIT &amp; LOSS - YEAR 4</t>
  </si>
  <si>
    <t xml:space="preserve">PRO FORMA PROFIT &amp; LOSS - YEAR 5</t>
  </si>
  <si>
    <t xml:space="preserve">~</t>
  </si>
  <si>
    <t xml:space="preserve">CASH FLOW - YEAR 2</t>
  </si>
  <si>
    <t xml:space="preserve">CASH FLOW - YEAR 3</t>
  </si>
  <si>
    <t xml:space="preserve">CASH FLOW - YEAR 4</t>
  </si>
  <si>
    <t xml:space="preserve">CASH FLOW - YEAR 5</t>
  </si>
  <si>
    <t xml:space="preserve">BALANCE SHEET- YEAR 2</t>
  </si>
  <si>
    <t xml:space="preserve">BALANCE SHEET- YEAR 3</t>
  </si>
  <si>
    <t xml:space="preserve">BALANCE SHEET- YEAR 4</t>
  </si>
  <si>
    <t xml:space="preserve">BALANCE SHEET- YEAR 5</t>
  </si>
  <si>
    <t xml:space="preserve">Balance Check</t>
  </si>
</sst>
</file>

<file path=xl/styles.xml><?xml version="1.0" encoding="utf-8"?>
<styleSheet xmlns="http://schemas.openxmlformats.org/spreadsheetml/2006/main">
  <numFmts count="26">
    <numFmt numFmtId="164" formatCode="General"/>
    <numFmt numFmtId="165" formatCode="_(* #,##0.00_);_(* \(#,##0.00\);_(* \-??_);_(@_)"/>
    <numFmt numFmtId="166" formatCode="_(\$* #,##0.00_);_(\$* \(#,##0.00\);_(\$* \-??_);_(@_)"/>
    <numFmt numFmtId="167" formatCode="0%"/>
    <numFmt numFmtId="168" formatCode="\$#,##0"/>
    <numFmt numFmtId="169" formatCode="0.0%"/>
    <numFmt numFmtId="170" formatCode="0.00"/>
    <numFmt numFmtId="171" formatCode="0.000"/>
    <numFmt numFmtId="172" formatCode="\$#,##0.00"/>
    <numFmt numFmtId="173" formatCode="0.0"/>
    <numFmt numFmtId="174" formatCode="0"/>
    <numFmt numFmtId="175" formatCode="#,##0"/>
    <numFmt numFmtId="176" formatCode="#,##0_);[RED]\(#,##0\)"/>
    <numFmt numFmtId="177" formatCode="\$#,##0_);[RED]&quot;($&quot;#,##0\)"/>
    <numFmt numFmtId="178" formatCode="m/d/yyyy"/>
    <numFmt numFmtId="179" formatCode="0.00%"/>
    <numFmt numFmtId="180" formatCode="#,##0.0"/>
    <numFmt numFmtId="181" formatCode="#,##0.00"/>
    <numFmt numFmtId="182" formatCode="#,##0;\(#,##0\)"/>
    <numFmt numFmtId="183" formatCode="0.0&quot; mo&quot;"/>
    <numFmt numFmtId="184" formatCode="#,##0;[RED]#,##0"/>
    <numFmt numFmtId="185" formatCode="0.00\×"/>
    <numFmt numFmtId="186" formatCode="0.00\x"/>
    <numFmt numFmtId="187" formatCode="\$#,##0.0,,\M"/>
    <numFmt numFmtId="188" formatCode="0.0\×"/>
    <numFmt numFmtId="189" formatCode="@"/>
  </numFmts>
  <fonts count="192">
    <font>
      <sz val="10"/>
      <name val="Arial"/>
      <family val="0"/>
      <charset val="1"/>
    </font>
    <font>
      <sz val="10"/>
      <name val="Arial"/>
      <family val="0"/>
    </font>
    <font>
      <sz val="10"/>
      <name val="Arial"/>
      <family val="0"/>
    </font>
    <font>
      <sz val="10"/>
      <name val="Arial"/>
      <family val="0"/>
    </font>
    <font>
      <sz val="11"/>
      <color rgb="FF000000"/>
      <name val="Calibri"/>
      <family val="2"/>
      <charset val="1"/>
    </font>
    <font>
      <sz val="11"/>
      <color rgb="FFFFFFFF"/>
      <name val="Calibri"/>
      <family val="2"/>
      <charset val="1"/>
    </font>
    <font>
      <sz val="11"/>
      <color rgb="FFF20884"/>
      <name val="Calibri"/>
      <family val="2"/>
      <charset val="1"/>
    </font>
    <font>
      <b val="true"/>
      <sz val="11"/>
      <color rgb="FFFF9900"/>
      <name val="Calibri"/>
      <family val="2"/>
      <charset val="1"/>
    </font>
    <font>
      <b val="true"/>
      <sz val="11"/>
      <color rgb="FFFFFFFF"/>
      <name val="Calibri"/>
      <family val="2"/>
      <charset val="1"/>
    </font>
    <font>
      <sz val="10"/>
      <name val="Arial"/>
      <family val="2"/>
      <charset val="1"/>
    </font>
    <font>
      <sz val="11"/>
      <color theme="1"/>
      <name val="Calibri"/>
      <family val="2"/>
      <charset val="1"/>
    </font>
    <font>
      <i val="true"/>
      <sz val="11"/>
      <color rgb="FF808080"/>
      <name val="Calibri"/>
      <family val="2"/>
      <charset val="1"/>
    </font>
    <font>
      <sz val="11"/>
      <color rgb="FF006411"/>
      <name val="Calibri"/>
      <family val="2"/>
      <charset val="1"/>
    </font>
    <font>
      <b val="true"/>
      <sz val="15"/>
      <color rgb="FF333399"/>
      <name val="Calibri"/>
      <family val="2"/>
      <charset val="1"/>
    </font>
    <font>
      <b val="true"/>
      <sz val="13"/>
      <color rgb="FF333399"/>
      <name val="Calibri"/>
      <family val="2"/>
      <charset val="1"/>
    </font>
    <font>
      <b val="true"/>
      <sz val="11"/>
      <color rgb="FF333399"/>
      <name val="Calibri"/>
      <family val="2"/>
      <charset val="1"/>
    </font>
    <font>
      <u val="single"/>
      <sz val="11"/>
      <color theme="10"/>
      <name val="Calibri"/>
      <family val="2"/>
      <charset val="1"/>
    </font>
    <font>
      <sz val="11"/>
      <color rgb="FF333399"/>
      <name val="Calibri"/>
      <family val="2"/>
      <charset val="1"/>
    </font>
    <font>
      <sz val="11"/>
      <color rgb="FFFF9900"/>
      <name val="Calibri"/>
      <family val="2"/>
      <charset val="1"/>
    </font>
    <font>
      <sz val="11"/>
      <color rgb="FF993300"/>
      <name val="Calibri"/>
      <family val="2"/>
      <charset val="1"/>
    </font>
    <font>
      <sz val="10"/>
      <name val="Verdana"/>
      <family val="2"/>
      <charset val="1"/>
    </font>
    <font>
      <b val="true"/>
      <sz val="11"/>
      <color rgb="FF333333"/>
      <name val="Calibri"/>
      <family val="2"/>
      <charset val="1"/>
    </font>
    <font>
      <b val="true"/>
      <sz val="18"/>
      <color rgb="FF333399"/>
      <name val="Cambria"/>
      <family val="2"/>
      <charset val="1"/>
    </font>
    <font>
      <b val="true"/>
      <sz val="11"/>
      <color rgb="FF000000"/>
      <name val="Calibri"/>
      <family val="2"/>
      <charset val="1"/>
    </font>
    <font>
      <sz val="11"/>
      <color rgb="FFDD0806"/>
      <name val="Calibri"/>
      <family val="2"/>
      <charset val="1"/>
    </font>
    <font>
      <b val="true"/>
      <sz val="14"/>
      <color rgb="FFFFFFFF"/>
      <name val="Calibri"/>
      <family val="2"/>
      <charset val="1"/>
    </font>
    <font>
      <b val="true"/>
      <sz val="10"/>
      <name val="Calibri"/>
      <family val="2"/>
      <charset val="1"/>
    </font>
    <font>
      <b val="true"/>
      <sz val="10"/>
      <color rgb="FF1F77B4"/>
      <name val="Calibri"/>
      <family val="2"/>
      <charset val="1"/>
    </font>
    <font>
      <b val="true"/>
      <sz val="10"/>
      <color rgb="FFFFFFFF"/>
      <name val="Calibri"/>
      <family val="2"/>
      <charset val="1"/>
    </font>
    <font>
      <sz val="10"/>
      <name val="Calibri"/>
      <family val="2"/>
      <charset val="1"/>
    </font>
    <font>
      <i val="true"/>
      <sz val="10"/>
      <color rgb="FF666666"/>
      <name val="Calibri"/>
      <family val="2"/>
      <charset val="1"/>
    </font>
    <font>
      <b val="true"/>
      <sz val="16"/>
      <color rgb="FFFFFFFF"/>
      <name val="Arial"/>
      <family val="0"/>
      <charset val="1"/>
    </font>
    <font>
      <b val="true"/>
      <sz val="10"/>
      <color rgb="FFFFFFFF"/>
      <name val="Arial"/>
      <family val="0"/>
      <charset val="1"/>
    </font>
    <font>
      <b val="true"/>
      <sz val="14"/>
      <name val="Arial"/>
      <family val="2"/>
      <charset val="1"/>
    </font>
    <font>
      <b val="true"/>
      <sz val="10"/>
      <name val="Arial"/>
      <family val="2"/>
      <charset val="1"/>
    </font>
    <font>
      <i val="true"/>
      <sz val="10"/>
      <name val="Arial"/>
      <family val="2"/>
      <charset val="1"/>
    </font>
    <font>
      <b val="true"/>
      <sz val="10"/>
      <color rgb="FFFFFFFF"/>
      <name val="Arial"/>
      <family val="2"/>
      <charset val="1"/>
    </font>
    <font>
      <b val="true"/>
      <sz val="10"/>
      <color rgb="FF000000"/>
      <name val="Arial"/>
      <family val="2"/>
      <charset val="1"/>
    </font>
    <font>
      <sz val="10"/>
      <name val="Consolas"/>
      <family val="3"/>
      <charset val="1"/>
    </font>
    <font>
      <b val="true"/>
      <sz val="10"/>
      <color rgb="FFFFFFFF"/>
      <name val="Consolas"/>
      <family val="3"/>
      <charset val="1"/>
    </font>
    <font>
      <b val="true"/>
      <sz val="10"/>
      <name val="Consolas"/>
      <family val="3"/>
      <charset val="1"/>
    </font>
    <font>
      <b val="true"/>
      <sz val="10"/>
      <name val="Arial"/>
      <family val="0"/>
      <charset val="1"/>
    </font>
    <font>
      <b val="true"/>
      <sz val="14"/>
      <color rgb="FFFFFFFF"/>
      <name val="Arial"/>
      <family val="0"/>
      <charset val="1"/>
    </font>
    <font>
      <i val="true"/>
      <sz val="9"/>
      <color rgb="FF555555"/>
      <name val="Calibri"/>
      <family val="2"/>
      <charset val="1"/>
    </font>
    <font>
      <i val="true"/>
      <sz val="10"/>
      <name val="Calibri"/>
      <family val="2"/>
      <charset val="1"/>
    </font>
    <font>
      <b val="true"/>
      <sz val="10"/>
      <color rgb="FFE8750A"/>
      <name val="Calibri"/>
      <family val="2"/>
      <charset val="1"/>
    </font>
    <font>
      <i val="true"/>
      <sz val="9"/>
      <color rgb="FFE8750A"/>
      <name val="Calibri"/>
      <family val="2"/>
      <charset val="1"/>
    </font>
    <font>
      <i val="true"/>
      <sz val="10"/>
      <color rgb="FF8B9AB0"/>
      <name val="Calibri"/>
      <family val="2"/>
      <charset val="1"/>
    </font>
    <font>
      <b val="true"/>
      <sz val="11"/>
      <color rgb="FFFFC553"/>
      <name val="Calibri"/>
      <family val="2"/>
      <charset val="1"/>
    </font>
    <font>
      <b val="true"/>
      <sz val="10"/>
      <color rgb="FF20808D"/>
      <name val="Calibri"/>
      <family val="2"/>
      <charset val="1"/>
    </font>
    <font>
      <sz val="9.5"/>
      <name val="Calibri"/>
      <family val="2"/>
      <charset val="1"/>
    </font>
    <font>
      <b val="true"/>
      <sz val="10"/>
      <color rgb="FFFFC553"/>
      <name val="Calibri"/>
      <family val="2"/>
      <charset val="1"/>
    </font>
    <font>
      <sz val="10"/>
      <color rgb="FFFFFFFF"/>
      <name val="Calibri"/>
      <family val="2"/>
      <charset val="1"/>
    </font>
    <font>
      <sz val="10"/>
      <color rgb="FF8B9AB0"/>
      <name val="Calibri"/>
      <family val="2"/>
      <charset val="1"/>
    </font>
    <font>
      <sz val="10"/>
      <color rgb="FFFFC553"/>
      <name val="Calibri"/>
      <family val="2"/>
      <charset val="1"/>
    </font>
    <font>
      <b val="true"/>
      <sz val="11"/>
      <name val="Calibri"/>
      <family val="2"/>
      <charset val="1"/>
    </font>
    <font>
      <sz val="11"/>
      <name val="Calibri"/>
      <family val="2"/>
      <charset val="1"/>
    </font>
    <font>
      <b val="true"/>
      <sz val="12"/>
      <color rgb="FFE8750A"/>
      <name val="Calibri"/>
      <family val="2"/>
      <charset val="1"/>
    </font>
    <font>
      <b val="true"/>
      <sz val="11"/>
      <color rgb="FF0000FF"/>
      <name val="Calibri"/>
      <family val="2"/>
      <charset val="1"/>
    </font>
    <font>
      <i val="true"/>
      <sz val="9"/>
      <color rgb="FF666666"/>
      <name val="Calibri"/>
      <family val="2"/>
      <charset val="1"/>
    </font>
    <font>
      <b val="true"/>
      <sz val="11"/>
      <color rgb="FFE8750A"/>
      <name val="Calibri"/>
      <family val="2"/>
      <charset val="1"/>
    </font>
    <font>
      <b val="true"/>
      <sz val="12"/>
      <name val="Calibri"/>
      <family val="2"/>
      <charset val="1"/>
    </font>
    <font>
      <b val="true"/>
      <sz val="10"/>
      <color rgb="FFA12C7B"/>
      <name val="Calibri"/>
      <family val="2"/>
      <charset val="1"/>
    </font>
    <font>
      <b val="true"/>
      <sz val="11"/>
      <color rgb="FF20808D"/>
      <name val="Calibri"/>
      <family val="2"/>
      <charset val="1"/>
    </font>
    <font>
      <b val="true"/>
      <sz val="12"/>
      <color rgb="FFFFC553"/>
      <name val="Calibri"/>
      <family val="2"/>
      <charset val="1"/>
    </font>
    <font>
      <b val="true"/>
      <sz val="14"/>
      <color rgb="FFFFC553"/>
      <name val="Calibri"/>
      <family val="2"/>
      <charset val="1"/>
    </font>
    <font>
      <b val="true"/>
      <sz val="12"/>
      <color rgb="FFA12C7B"/>
      <name val="Calibri"/>
      <family val="2"/>
      <charset val="1"/>
    </font>
    <font>
      <b val="true"/>
      <sz val="12"/>
      <color rgb="FF20808D"/>
      <name val="Calibri"/>
      <family val="2"/>
      <charset val="1"/>
    </font>
    <font>
      <b val="true"/>
      <sz val="11"/>
      <color rgb="FFA12C7B"/>
      <name val="Calibri"/>
      <family val="2"/>
      <charset val="1"/>
    </font>
    <font>
      <i val="true"/>
      <sz val="10"/>
      <color rgb="FF20808D"/>
      <name val="Calibri"/>
      <family val="2"/>
      <charset val="1"/>
    </font>
    <font>
      <b val="true"/>
      <sz val="18"/>
      <color rgb="FFE8750A"/>
      <name val="Calibri"/>
      <family val="2"/>
      <charset val="1"/>
    </font>
    <font>
      <i val="true"/>
      <sz val="11"/>
      <color rgb="FFFFC553"/>
      <name val="Calibri"/>
      <family val="2"/>
      <charset val="1"/>
    </font>
    <font>
      <b val="true"/>
      <sz val="13"/>
      <color rgb="FFFFFFFF"/>
      <name val="Calibri"/>
      <family val="2"/>
      <charset val="1"/>
    </font>
    <font>
      <b val="true"/>
      <sz val="10"/>
      <color rgb="FFE8E8E8"/>
      <name val="Calibri"/>
      <family val="2"/>
      <charset val="1"/>
    </font>
    <font>
      <sz val="10"/>
      <color rgb="FFE8E8E8"/>
      <name val="Calibri"/>
      <family val="2"/>
      <charset val="1"/>
    </font>
    <font>
      <b val="true"/>
      <sz val="11"/>
      <color rgb="FFE8E8E8"/>
      <name val="Calibri"/>
      <family val="2"/>
      <charset val="1"/>
    </font>
    <font>
      <sz val="11"/>
      <color rgb="FFE8E8E8"/>
      <name val="Calibri"/>
      <family val="2"/>
      <charset val="1"/>
    </font>
    <font>
      <b val="true"/>
      <sz val="10"/>
      <color rgb="FFFF0000"/>
      <name val="Calibri"/>
      <family val="2"/>
      <charset val="1"/>
    </font>
    <font>
      <b val="true"/>
      <u val="single"/>
      <sz val="10"/>
      <name val="Calibri"/>
      <family val="2"/>
      <charset val="1"/>
    </font>
    <font>
      <b val="true"/>
      <sz val="18"/>
      <color rgb="FF000000"/>
      <name val="Calibri"/>
      <family val="2"/>
    </font>
    <font>
      <sz val="10"/>
      <color rgb="FF000000"/>
      <name val="Calibri"/>
      <family val="2"/>
    </font>
    <font>
      <b val="true"/>
      <sz val="14"/>
      <name val="Calibri"/>
      <family val="2"/>
      <charset val="1"/>
    </font>
    <font>
      <sz val="10"/>
      <color rgb="FF000000"/>
      <name val="Arial"/>
      <family val="2"/>
      <charset val="1"/>
    </font>
    <font>
      <sz val="9"/>
      <color rgb="FF000080"/>
      <name val="Tahoma"/>
      <family val="2"/>
      <charset val="1"/>
    </font>
    <font>
      <sz val="14"/>
      <name val="Calibri"/>
      <family val="2"/>
      <charset val="1"/>
    </font>
    <font>
      <b val="true"/>
      <sz val="10"/>
      <color rgb="FFFFFFFF"/>
      <name val="Cambria"/>
      <family val="1"/>
      <charset val="1"/>
    </font>
    <font>
      <b val="true"/>
      <sz val="10"/>
      <color theme="0"/>
      <name val="Cambria"/>
      <family val="1"/>
      <charset val="1"/>
    </font>
    <font>
      <sz val="10"/>
      <color theme="1"/>
      <name val="Cambria"/>
      <family val="1"/>
      <charset val="1"/>
    </font>
    <font>
      <b val="true"/>
      <sz val="10"/>
      <color theme="1"/>
      <name val="Cambria"/>
      <family val="1"/>
      <charset val="1"/>
    </font>
    <font>
      <sz val="10"/>
      <name val="Cambria"/>
      <family val="1"/>
      <charset val="1"/>
    </font>
    <font>
      <b val="true"/>
      <sz val="10"/>
      <name val="Cambria"/>
      <family val="1"/>
      <charset val="1"/>
    </font>
    <font>
      <i val="true"/>
      <sz val="10"/>
      <color rgb="FF595959"/>
      <name val="Calibri"/>
      <family val="2"/>
      <charset val="1"/>
    </font>
    <font>
      <sz val="10"/>
      <color rgb="FF999999"/>
      <name val="Calibri"/>
      <family val="2"/>
      <charset val="1"/>
    </font>
    <font>
      <i val="true"/>
      <sz val="11"/>
      <color rgb="FF595959"/>
      <name val="Calibri"/>
      <family val="2"/>
      <charset val="1"/>
    </font>
    <font>
      <i val="true"/>
      <sz val="10"/>
      <color rgb="FFFFC553"/>
      <name val="Calibri"/>
      <family val="2"/>
      <charset val="1"/>
    </font>
    <font>
      <sz val="14"/>
      <color rgb="FFFF0000"/>
      <name val="Calibri"/>
      <family val="2"/>
      <charset val="1"/>
    </font>
    <font>
      <b val="true"/>
      <sz val="14"/>
      <color theme="0"/>
      <name val="Calibri"/>
      <family val="2"/>
      <charset val="1"/>
    </font>
    <font>
      <sz val="14"/>
      <color theme="1"/>
      <name val="Calibri"/>
      <family val="2"/>
      <charset val="1"/>
    </font>
    <font>
      <i val="true"/>
      <sz val="14"/>
      <name val="Calibri"/>
      <family val="2"/>
      <charset val="1"/>
    </font>
    <font>
      <b val="true"/>
      <i val="true"/>
      <sz val="14"/>
      <name val="Calibri"/>
      <family val="2"/>
      <charset val="1"/>
    </font>
    <font>
      <b val="true"/>
      <sz val="14"/>
      <color rgb="FFFF0000"/>
      <name val="Calibri"/>
      <family val="2"/>
      <charset val="1"/>
    </font>
    <font>
      <sz val="14"/>
      <color theme="0"/>
      <name val="Calibri"/>
      <family val="2"/>
      <charset val="1"/>
    </font>
    <font>
      <b val="true"/>
      <sz val="10"/>
      <color theme="0"/>
      <name val="Calibri"/>
      <family val="2"/>
      <charset val="1"/>
    </font>
    <font>
      <sz val="10"/>
      <color rgb="FFFF0000"/>
      <name val="Calibri"/>
      <family val="2"/>
      <charset val="1"/>
    </font>
    <font>
      <sz val="10"/>
      <color rgb="FF000000"/>
      <name val="Calibri"/>
      <family val="2"/>
      <charset val="1"/>
    </font>
    <font>
      <sz val="8"/>
      <name val="Calibri"/>
      <family val="2"/>
      <charset val="1"/>
    </font>
    <font>
      <b val="true"/>
      <sz val="8"/>
      <name val="Calibri"/>
      <family val="2"/>
      <charset val="1"/>
    </font>
    <font>
      <sz val="8"/>
      <name val="Arial"/>
      <family val="2"/>
      <charset val="1"/>
    </font>
    <font>
      <sz val="8"/>
      <color theme="0"/>
      <name val="Calibri"/>
      <family val="2"/>
      <charset val="1"/>
    </font>
    <font>
      <b val="true"/>
      <sz val="8"/>
      <color rgb="FF000000"/>
      <name val="Calibri"/>
      <family val="2"/>
      <charset val="1"/>
    </font>
    <font>
      <b val="true"/>
      <sz val="8"/>
      <color theme="0"/>
      <name val="Calibri"/>
      <family val="2"/>
      <charset val="1"/>
    </font>
    <font>
      <b val="true"/>
      <i val="true"/>
      <sz val="8"/>
      <name val="Calibri"/>
      <family val="2"/>
      <charset val="1"/>
    </font>
    <font>
      <b val="true"/>
      <sz val="8"/>
      <color rgb="FFFF0000"/>
      <name val="Calibri"/>
      <family val="2"/>
      <charset val="1"/>
    </font>
    <font>
      <sz val="8"/>
      <color rgb="FF000000"/>
      <name val="Calibri"/>
      <family val="2"/>
      <charset val="1"/>
    </font>
    <font>
      <b val="true"/>
      <u val="single"/>
      <sz val="8"/>
      <name val="Calibri"/>
      <family val="2"/>
      <charset val="1"/>
    </font>
    <font>
      <i val="true"/>
      <sz val="8"/>
      <name val="Calibri"/>
      <family val="2"/>
      <charset val="1"/>
    </font>
    <font>
      <i val="true"/>
      <sz val="8"/>
      <color rgb="FF808080"/>
      <name val="Calibri"/>
      <family val="2"/>
      <charset val="1"/>
    </font>
    <font>
      <b val="true"/>
      <i val="true"/>
      <sz val="8"/>
      <color rgb="FF808080"/>
      <name val="Calibri"/>
      <family val="2"/>
      <charset val="1"/>
    </font>
    <font>
      <sz val="8"/>
      <color rgb="FF808080"/>
      <name val="Calibri"/>
      <family val="2"/>
      <charset val="1"/>
    </font>
    <font>
      <b val="true"/>
      <sz val="8"/>
      <color rgb="FFFFFFFF"/>
      <name val="Calibri"/>
      <family val="2"/>
      <charset val="1"/>
    </font>
    <font>
      <b val="true"/>
      <i val="true"/>
      <sz val="8"/>
      <color theme="0"/>
      <name val="Calibri"/>
      <family val="2"/>
      <charset val="1"/>
    </font>
    <font>
      <sz val="9"/>
      <name val="Calibri"/>
      <family val="2"/>
      <charset val="1"/>
    </font>
    <font>
      <b val="true"/>
      <sz val="9"/>
      <name val="Calibri"/>
      <family val="2"/>
      <charset val="1"/>
    </font>
    <font>
      <b val="true"/>
      <sz val="14"/>
      <color rgb="FFFFFFFF"/>
      <name val="Cambria"/>
      <family val="1"/>
      <charset val="1"/>
    </font>
    <font>
      <b val="true"/>
      <sz val="11"/>
      <color rgb="FFFFFFFF"/>
      <name val="Cambria"/>
      <family val="1"/>
      <charset val="1"/>
    </font>
    <font>
      <b val="true"/>
      <i val="true"/>
      <sz val="10"/>
      <color rgb="FF555555"/>
      <name val="Cambria"/>
      <family val="1"/>
      <charset val="1"/>
    </font>
    <font>
      <b val="true"/>
      <sz val="10"/>
      <color rgb="FF856404"/>
      <name val="Cambria"/>
      <family val="1"/>
      <charset val="1"/>
    </font>
    <font>
      <i val="true"/>
      <sz val="9"/>
      <color rgb="FF555555"/>
      <name val="Cambria"/>
      <family val="1"/>
      <charset val="1"/>
    </font>
    <font>
      <i val="true"/>
      <sz val="9"/>
      <color rgb="FF333333"/>
      <name val="Cambria"/>
      <family val="1"/>
      <charset val="1"/>
    </font>
    <font>
      <sz val="12"/>
      <name val="Arial"/>
      <family val="2"/>
      <charset val="1"/>
    </font>
    <font>
      <sz val="9"/>
      <name val="Arial"/>
      <family val="2"/>
      <charset val="1"/>
    </font>
    <font>
      <b val="true"/>
      <sz val="9"/>
      <name val="Arial"/>
      <family val="2"/>
      <charset val="1"/>
    </font>
    <font>
      <b val="true"/>
      <i val="true"/>
      <sz val="12"/>
      <color rgb="FFFFFFFF"/>
      <name val="Arial"/>
      <family val="2"/>
      <charset val="1"/>
    </font>
    <font>
      <b val="true"/>
      <i val="true"/>
      <sz val="10"/>
      <name val="Arial"/>
      <family val="2"/>
      <charset val="1"/>
    </font>
    <font>
      <b val="true"/>
      <sz val="8"/>
      <name val="Arial"/>
      <family val="2"/>
      <charset val="1"/>
    </font>
    <font>
      <b val="true"/>
      <sz val="12"/>
      <color rgb="FFFFFFFF"/>
      <name val="Arial"/>
      <family val="2"/>
      <charset val="1"/>
    </font>
    <font>
      <b val="true"/>
      <sz val="7"/>
      <name val="Arial"/>
      <family val="2"/>
      <charset val="1"/>
    </font>
    <font>
      <b val="true"/>
      <i val="true"/>
      <sz val="12"/>
      <color theme="0"/>
      <name val="Arial"/>
      <family val="2"/>
      <charset val="1"/>
    </font>
    <font>
      <sz val="7"/>
      <name val="Arial"/>
      <family val="2"/>
      <charset val="1"/>
    </font>
    <font>
      <u val="single"/>
      <sz val="8"/>
      <name val="Arial"/>
      <family val="2"/>
      <charset val="1"/>
    </font>
    <font>
      <b val="true"/>
      <u val="single"/>
      <sz val="8"/>
      <name val="Arial"/>
      <family val="2"/>
      <charset val="1"/>
    </font>
    <font>
      <b val="true"/>
      <u val="single"/>
      <sz val="12"/>
      <color rgb="FFFFFFFF"/>
      <name val="Arial"/>
      <family val="2"/>
      <charset val="1"/>
    </font>
    <font>
      <sz val="8"/>
      <color rgb="FFFF0000"/>
      <name val="Arial"/>
      <family val="2"/>
      <charset val="1"/>
    </font>
    <font>
      <b val="true"/>
      <sz val="8"/>
      <color rgb="FFFF0000"/>
      <name val="Arial"/>
      <family val="2"/>
      <charset val="1"/>
    </font>
    <font>
      <sz val="7"/>
      <color rgb="FFFF0000"/>
      <name val="Arial"/>
      <family val="2"/>
      <charset val="1"/>
    </font>
    <font>
      <i val="true"/>
      <sz val="8"/>
      <name val="Arial"/>
      <family val="2"/>
      <charset val="1"/>
    </font>
    <font>
      <b val="true"/>
      <sz val="12"/>
      <name val="Arial"/>
      <family val="2"/>
      <charset val="1"/>
    </font>
    <font>
      <b val="true"/>
      <sz val="18"/>
      <color rgb="FFFFFFFF"/>
      <name val="Calibri"/>
      <family val="0"/>
      <charset val="1"/>
    </font>
    <font>
      <i val="true"/>
      <sz val="11"/>
      <color rgb="FF555555"/>
      <name val="Calibri"/>
      <family val="0"/>
      <charset val="1"/>
    </font>
    <font>
      <b val="true"/>
      <sz val="13"/>
      <color rgb="FFFFFFFF"/>
      <name val="Calibri"/>
      <family val="0"/>
      <charset val="1"/>
    </font>
    <font>
      <b val="true"/>
      <sz val="10"/>
      <color rgb="FFFFFFFF"/>
      <name val="Calibri"/>
      <family val="0"/>
      <charset val="1"/>
    </font>
    <font>
      <sz val="10"/>
      <name val="Calibri"/>
      <family val="0"/>
      <charset val="1"/>
    </font>
    <font>
      <b val="true"/>
      <sz val="11"/>
      <name val="Calibri"/>
      <family val="0"/>
      <charset val="1"/>
    </font>
    <font>
      <b val="true"/>
      <sz val="11"/>
      <color rgb="FF01696F"/>
      <name val="Calibri"/>
      <family val="0"/>
      <charset val="1"/>
    </font>
    <font>
      <sz val="8"/>
      <color rgb="FF0066CC"/>
      <name val="Arial"/>
      <family val="2"/>
      <charset val="1"/>
    </font>
    <font>
      <sz val="8.8"/>
      <color rgb="FF000000"/>
      <name val="Calibri"/>
      <family val="2"/>
    </font>
    <font>
      <b val="true"/>
      <sz val="3.5"/>
      <color rgb="FF000000"/>
      <name val="Arial"/>
      <family val="2"/>
    </font>
    <font>
      <b val="true"/>
      <sz val="3.25"/>
      <color rgb="FF000000"/>
      <name val="Arial"/>
      <family val="2"/>
    </font>
    <font>
      <b val="true"/>
      <sz val="2.5"/>
      <color rgb="FF000000"/>
      <name val="Arial"/>
      <family val="2"/>
    </font>
    <font>
      <b val="true"/>
      <i val="true"/>
      <sz val="10"/>
      <color rgb="FFFFFFFF"/>
      <name val="Arial"/>
      <family val="2"/>
      <charset val="1"/>
    </font>
    <font>
      <b val="true"/>
      <i val="true"/>
      <sz val="10"/>
      <color rgb="FF333333"/>
      <name val="Arial"/>
      <family val="2"/>
      <charset val="1"/>
    </font>
    <font>
      <i val="true"/>
      <sz val="10"/>
      <color rgb="FF333333"/>
      <name val="Arial"/>
      <family val="2"/>
      <charset val="1"/>
    </font>
    <font>
      <b val="true"/>
      <i val="true"/>
      <sz val="11"/>
      <color rgb="FFFFFFFF"/>
      <name val="Arial"/>
      <family val="2"/>
      <charset val="1"/>
    </font>
    <font>
      <u val="single"/>
      <sz val="7"/>
      <name val="Arial"/>
      <family val="2"/>
      <charset val="1"/>
    </font>
    <font>
      <i val="true"/>
      <sz val="7"/>
      <name val="Arial"/>
      <family val="2"/>
      <charset val="1"/>
    </font>
    <font>
      <b val="true"/>
      <sz val="18"/>
      <color rgb="FF000000"/>
      <name val="Arial"/>
      <family val="2"/>
    </font>
    <font>
      <sz val="10"/>
      <color rgb="FF000000"/>
      <name val="Arial"/>
      <family val="2"/>
    </font>
    <font>
      <sz val="8.8"/>
      <color rgb="FF000000"/>
      <name val="Arial"/>
      <family val="2"/>
    </font>
    <font>
      <sz val="10.5"/>
      <color rgb="FF000000"/>
      <name val="Arial"/>
      <family val="2"/>
    </font>
    <font>
      <sz val="7"/>
      <color rgb="FF006411"/>
      <name val="Arial"/>
      <family val="2"/>
      <charset val="1"/>
    </font>
    <font>
      <sz val="7"/>
      <color rgb="FF0000D4"/>
      <name val="Arial"/>
      <family val="2"/>
      <charset val="1"/>
    </font>
    <font>
      <sz val="7"/>
      <color rgb="FF0000FF"/>
      <name val="Arial"/>
      <family val="2"/>
      <charset val="1"/>
    </font>
    <font>
      <b val="true"/>
      <sz val="7"/>
      <color rgb="FFFFFFFF"/>
      <name val="Arial"/>
      <family val="2"/>
      <charset val="1"/>
    </font>
    <font>
      <sz val="12"/>
      <color theme="3"/>
      <name val="Calibri"/>
      <family val="2"/>
      <charset val="1"/>
    </font>
    <font>
      <b val="true"/>
      <sz val="12"/>
      <color theme="3" tint="-0.25"/>
      <name val="Calibri"/>
      <family val="2"/>
      <charset val="1"/>
    </font>
    <font>
      <sz val="11"/>
      <color theme="3"/>
      <name val="Calibri"/>
      <family val="2"/>
      <charset val="1"/>
    </font>
    <font>
      <b val="true"/>
      <sz val="22"/>
      <color theme="3"/>
      <name val="Calibri"/>
      <family val="2"/>
      <charset val="1"/>
    </font>
    <font>
      <sz val="10"/>
      <color theme="3"/>
      <name val="Calibri"/>
      <family val="2"/>
      <charset val="1"/>
    </font>
    <font>
      <b val="true"/>
      <sz val="10"/>
      <color theme="0" tint="-0.05"/>
      <name val="Calibri"/>
      <family val="2"/>
      <charset val="1"/>
    </font>
    <font>
      <b val="true"/>
      <sz val="11"/>
      <color theme="3" tint="-0.25"/>
      <name val="Calibri"/>
      <family val="2"/>
      <charset val="1"/>
    </font>
    <font>
      <b val="true"/>
      <sz val="11"/>
      <color theme="0" tint="-0.05"/>
      <name val="Calibri"/>
      <family val="2"/>
      <charset val="1"/>
    </font>
    <font>
      <b val="true"/>
      <sz val="9.5"/>
      <color theme="3" tint="-0.25"/>
      <name val="Calibri"/>
      <family val="2"/>
      <charset val="1"/>
    </font>
    <font>
      <b val="true"/>
      <i val="true"/>
      <sz val="9"/>
      <color theme="3" tint="-0.25"/>
      <name val="Calibri"/>
      <family val="2"/>
      <charset val="1"/>
    </font>
    <font>
      <b val="true"/>
      <sz val="12"/>
      <color rgb="FFFFFFFF"/>
      <name val="Calibri"/>
      <family val="2"/>
      <charset val="1"/>
    </font>
    <font>
      <sz val="7"/>
      <color theme="0"/>
      <name val="Arial"/>
      <family val="2"/>
      <charset val="1"/>
    </font>
    <font>
      <b val="true"/>
      <sz val="7"/>
      <color theme="0"/>
      <name val="Arial"/>
      <family val="2"/>
      <charset val="1"/>
    </font>
    <font>
      <sz val="20"/>
      <name val="Arial"/>
      <family val="2"/>
      <charset val="1"/>
    </font>
    <font>
      <b val="true"/>
      <i val="true"/>
      <sz val="20"/>
      <color rgb="FF99CC00"/>
      <name val="Arial"/>
      <family val="2"/>
      <charset val="1"/>
    </font>
    <font>
      <b val="true"/>
      <sz val="20"/>
      <name val="Arial"/>
      <family val="2"/>
      <charset val="1"/>
    </font>
    <font>
      <b val="true"/>
      <sz val="7"/>
      <color rgb="FF000000"/>
      <name val="Arial"/>
      <family val="2"/>
      <charset val="1"/>
    </font>
    <font>
      <sz val="7"/>
      <color rgb="FF000000"/>
      <name val="Arial"/>
      <family val="2"/>
      <charset val="1"/>
    </font>
    <font>
      <b val="true"/>
      <sz val="7"/>
      <name val="Calibri"/>
      <family val="2"/>
      <charset val="1"/>
    </font>
  </fonts>
  <fills count="56">
    <fill>
      <patternFill patternType="none"/>
    </fill>
    <fill>
      <patternFill patternType="gray125"/>
    </fill>
    <fill>
      <patternFill patternType="solid">
        <fgColor rgb="FFFFFFFF"/>
        <bgColor rgb="FFFFFBE3"/>
      </patternFill>
    </fill>
    <fill>
      <patternFill patternType="solid">
        <fgColor rgb="FFFFC588"/>
        <bgColor rgb="FFFFC553"/>
      </patternFill>
    </fill>
    <fill>
      <patternFill patternType="solid">
        <fgColor rgb="FFCCCCEA"/>
        <bgColor rgb="FFD9D9D9"/>
      </patternFill>
    </fill>
    <fill>
      <patternFill patternType="solid">
        <fgColor rgb="FFCCFFFF"/>
        <bgColor rgb="FFD4F4DD"/>
      </patternFill>
    </fill>
    <fill>
      <patternFill patternType="solid">
        <fgColor rgb="FFC0C0C1"/>
        <bgColor rgb="FFBEC5B4"/>
      </patternFill>
    </fill>
    <fill>
      <patternFill patternType="solid">
        <fgColor rgb="FF99CCFF"/>
        <bgColor rgb="FFCCCCEA"/>
      </patternFill>
    </fill>
    <fill>
      <patternFill patternType="darkGray">
        <fgColor rgb="FF5983C6"/>
        <bgColor rgb="FF5D789D"/>
      </patternFill>
    </fill>
    <fill>
      <patternFill patternType="darkGray">
        <fgColor rgb="FFFC6E2A"/>
        <bgColor rgb="FFE8720A"/>
      </patternFill>
    </fill>
    <fill>
      <patternFill patternType="solid">
        <fgColor rgb="FF8C8C8F"/>
        <bgColor rgb="FF5D789D"/>
      </patternFill>
    </fill>
    <fill>
      <patternFill patternType="solid">
        <fgColor rgb="FF5D789D"/>
        <bgColor rgb="FF5983C6"/>
      </patternFill>
    </fill>
    <fill>
      <patternFill patternType="solid">
        <fgColor rgb="FFCD99FF"/>
        <bgColor rgb="FFC0C0C1"/>
      </patternFill>
    </fill>
    <fill>
      <patternFill patternType="solid">
        <fgColor rgb="FFF2F2FA"/>
        <bgColor rgb="FFF2F2F8"/>
      </patternFill>
    </fill>
    <fill>
      <patternFill patternType="solid">
        <fgColor rgb="FFFFF9DD"/>
        <bgColor rgb="FFFFFBE3"/>
      </patternFill>
    </fill>
    <fill>
      <patternFill patternType="solid">
        <fgColor rgb="FFFFFF99"/>
        <bgColor rgb="FFFFF3CC"/>
      </patternFill>
    </fill>
    <fill>
      <patternFill patternType="solid">
        <fgColor rgb="FFEA760A"/>
        <bgColor rgb="FFE8720A"/>
      </patternFill>
    </fill>
    <fill>
      <patternFill patternType="solid">
        <fgColor rgb="FF0C7D96"/>
        <bgColor rgb="FF028979"/>
      </patternFill>
    </fill>
    <fill>
      <patternFill patternType="solid">
        <fgColor rgb="FFFFFBE3"/>
        <bgColor rgb="FFFFF9DD"/>
      </patternFill>
    </fill>
    <fill>
      <patternFill patternType="solid">
        <fgColor rgb="FF0D1215"/>
        <bgColor rgb="FF0D1117"/>
      </patternFill>
    </fill>
    <fill>
      <patternFill patternType="solid">
        <fgColor rgb="FF183760"/>
        <bgColor rgb="FF183B57"/>
      </patternFill>
    </fill>
    <fill>
      <patternFill patternType="solid">
        <fgColor rgb="FF91D051"/>
        <bgColor rgb="FF99CC00"/>
      </patternFill>
    </fill>
    <fill>
      <patternFill patternType="solid">
        <fgColor rgb="FFFFC400"/>
        <bgColor rgb="FFFFC553"/>
      </patternFill>
    </fill>
    <fill>
      <patternFill patternType="solid">
        <fgColor rgb="FFDA080B"/>
        <bgColor rgb="FFFF0000"/>
      </patternFill>
    </fill>
    <fill>
      <patternFill patternType="solid">
        <fgColor rgb="FFFFC553"/>
        <bgColor rgb="FFFFC588"/>
      </patternFill>
    </fill>
    <fill>
      <patternFill patternType="darkGray">
        <fgColor rgb="FFFFFFFF"/>
        <bgColor rgb="FFFFFBE3"/>
      </patternFill>
    </fill>
    <fill>
      <patternFill patternType="solid">
        <fgColor rgb="FF172028"/>
        <bgColor rgb="FF1A2028"/>
      </patternFill>
    </fill>
    <fill>
      <patternFill patternType="solid">
        <fgColor rgb="FF0A2137"/>
        <bgColor rgb="FF172028"/>
      </patternFill>
    </fill>
    <fill>
      <patternFill patternType="solid">
        <fgColor rgb="FF333333"/>
        <bgColor rgb="FF183B57"/>
      </patternFill>
    </fill>
    <fill>
      <patternFill patternType="solid">
        <fgColor rgb="FFFFF2CD"/>
        <bgColor rgb="FFFFF3CC"/>
      </patternFill>
    </fill>
    <fill>
      <patternFill patternType="solid">
        <fgColor rgb="FF0D1117"/>
        <bgColor rgb="FF0D1215"/>
      </patternFill>
    </fill>
    <fill>
      <patternFill patternType="darkGray">
        <fgColor rgb="FF0C7D96"/>
        <bgColor rgb="FF028979"/>
      </patternFill>
    </fill>
    <fill>
      <patternFill patternType="solid">
        <fgColor rgb="FF1A2027"/>
        <bgColor rgb="FF1A2028"/>
      </patternFill>
    </fill>
    <fill>
      <patternFill patternType="solid">
        <fgColor rgb="FF1A2028"/>
        <bgColor rgb="FF1A2027"/>
      </patternFill>
    </fill>
    <fill>
      <patternFill patternType="solid">
        <fgColor rgb="FFFCF305"/>
        <bgColor rgb="FFFFFF00"/>
      </patternFill>
    </fill>
    <fill>
      <patternFill patternType="darkGray">
        <fgColor rgb="FFDA080B"/>
        <bgColor rgb="FFFF0000"/>
      </patternFill>
    </fill>
    <fill>
      <patternFill patternType="solid">
        <fgColor rgb="FF0070C4"/>
        <bgColor rgb="FF0C7D96"/>
      </patternFill>
    </fill>
    <fill>
      <patternFill patternType="darkGray">
        <fgColor rgb="FF5E5F42"/>
        <bgColor rgb="FF5D789D"/>
      </patternFill>
    </fill>
    <fill>
      <patternFill patternType="solid">
        <fgColor theme="9" tint="-0.25"/>
        <bgColor rgb="FFEA760A"/>
      </patternFill>
    </fill>
    <fill>
      <patternFill patternType="darkGray">
        <fgColor rgb="FF214E89"/>
        <bgColor rgb="FF323398"/>
      </patternFill>
    </fill>
    <fill>
      <patternFill patternType="solid">
        <fgColor rgb="FFFFF3CC"/>
        <bgColor rgb="FFFFF2CD"/>
      </patternFill>
    </fill>
    <fill>
      <patternFill patternType="solid">
        <fgColor theme="0" tint="-0.05"/>
        <bgColor rgb="FFF2F2F8"/>
      </patternFill>
    </fill>
    <fill>
      <patternFill patternType="solid">
        <fgColor rgb="FFFF0000"/>
        <bgColor rgb="FFDA080B"/>
      </patternFill>
    </fill>
    <fill>
      <patternFill patternType="solid">
        <fgColor rgb="FFFFFF00"/>
        <bgColor rgb="FFFCF305"/>
      </patternFill>
    </fill>
    <fill>
      <patternFill patternType="solid">
        <fgColor rgb="FF99CC00"/>
        <bgColor rgb="FF91D051"/>
      </patternFill>
    </fill>
    <fill>
      <patternFill patternType="solid">
        <fgColor theme="0" tint="-0.15"/>
        <bgColor rgb="FFDEE4F1"/>
      </patternFill>
    </fill>
    <fill>
      <patternFill patternType="solid">
        <fgColor theme="3" tint="0.3994"/>
        <bgColor rgb="FF5D789D"/>
      </patternFill>
    </fill>
    <fill>
      <patternFill patternType="solid">
        <fgColor rgb="FF214E89"/>
        <bgColor rgb="FF183B57"/>
      </patternFill>
    </fill>
    <fill>
      <patternFill patternType="mediumGray">
        <fgColor rgb="FF028979"/>
        <bgColor rgb="FF006707"/>
      </patternFill>
    </fill>
    <fill>
      <patternFill patternType="darkGray">
        <fgColor rgb="FFF2F2F8"/>
        <bgColor rgb="FFF2F2F2"/>
      </patternFill>
    </fill>
    <fill>
      <patternFill patternType="solid">
        <fgColor theme="1"/>
        <bgColor rgb="FF0D1117"/>
      </patternFill>
    </fill>
    <fill>
      <patternFill patternType="solid">
        <fgColor rgb="FF183760"/>
        <bgColor rgb="FF183B57"/>
      </patternFill>
    </fill>
    <fill>
      <patternFill patternType="solid">
        <fgColor rgb="FFEAEAE8"/>
        <bgColor rgb="FFF2F2F2"/>
      </patternFill>
    </fill>
    <fill>
      <patternFill patternType="solid">
        <fgColor rgb="FFF2F2F8"/>
        <bgColor rgb="FFF2F2FA"/>
      </patternFill>
    </fill>
    <fill>
      <patternFill patternType="solid">
        <fgColor rgb="FFDEE4F1"/>
        <bgColor rgb="FFEAEAE8"/>
      </patternFill>
    </fill>
    <fill>
      <patternFill patternType="darkGray">
        <fgColor theme="3" tint="-0.25"/>
        <bgColor rgb="FF183B57"/>
      </patternFill>
    </fill>
  </fills>
  <borders count="119">
    <border diagonalUp="false" diagonalDown="false">
      <left/>
      <right/>
      <top/>
      <bottom/>
      <diagonal/>
    </border>
    <border diagonalUp="false" diagonalDown="false">
      <left style="thin">
        <color rgb="FF006707"/>
      </left>
      <right style="thin">
        <color rgb="FF006707"/>
      </right>
      <top style="thin">
        <color rgb="FF006707"/>
      </top>
      <bottom style="thin">
        <color rgb="FF006707"/>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right/>
      <top/>
      <bottom style="thick">
        <color rgb="FF5983C6"/>
      </bottom>
      <diagonal/>
    </border>
    <border diagonalUp="false" diagonalDown="false">
      <left/>
      <right/>
      <top/>
      <bottom style="thick">
        <color rgb="FFC0C0C1"/>
      </bottom>
      <diagonal/>
    </border>
    <border diagonalUp="false" diagonalDown="false">
      <left/>
      <right/>
      <top/>
      <bottom style="medium">
        <color rgb="FF5983C6"/>
      </bottom>
      <diagonal/>
    </border>
    <border diagonalUp="false" diagonalDown="false">
      <left/>
      <right/>
      <top/>
      <bottom style="double">
        <color rgb="FFFF9900"/>
      </bottom>
      <diagonal/>
    </border>
    <border diagonalUp="false" diagonalDown="false">
      <left style="thin">
        <color rgb="FFC0C0C1"/>
      </left>
      <right style="thin">
        <color rgb="FFC0C0C1"/>
      </right>
      <top style="thin">
        <color rgb="FFC0C0C1"/>
      </top>
      <bottom style="thin">
        <color rgb="FFC0C0C1"/>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style="thin">
        <color rgb="FF5983C6"/>
      </top>
      <bottom style="double">
        <color rgb="FF5983C6"/>
      </bottom>
      <diagonal/>
    </border>
    <border diagonalUp="false" diagonalDown="false">
      <left style="thin">
        <color rgb="FF323398"/>
      </left>
      <right style="thin">
        <color rgb="FF323398"/>
      </right>
      <top style="thin">
        <color rgb="FF323398"/>
      </top>
      <bottom style="thin">
        <color rgb="FF323398"/>
      </bottom>
      <diagonal/>
    </border>
    <border diagonalUp="false" diagonalDown="false">
      <left/>
      <right/>
      <top/>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right style="thin"/>
      <top style="thin"/>
      <bottom/>
      <diagonal/>
    </border>
    <border diagonalUp="false" diagonalDown="false">
      <left/>
      <right/>
      <top style="medium"/>
      <bottom/>
      <diagonal/>
    </border>
    <border diagonalUp="false" diagonalDown="false">
      <left/>
      <right style="medium"/>
      <top style="medium"/>
      <bottom/>
      <diagonal/>
    </border>
    <border diagonalUp="false" diagonalDown="false">
      <left/>
      <right style="thin"/>
      <top/>
      <bottom/>
      <diagonal/>
    </border>
    <border diagonalUp="false" diagonalDown="false">
      <left/>
      <right style="medium"/>
      <top/>
      <bottom/>
      <diagonal/>
    </border>
    <border diagonalUp="false" diagonalDown="false">
      <left/>
      <right style="thin"/>
      <top/>
      <bottom style="thin"/>
      <diagonal/>
    </border>
    <border diagonalUp="false" diagonalDown="false">
      <left/>
      <right style="medium"/>
      <top/>
      <bottom style="medium"/>
      <diagonal/>
    </border>
    <border diagonalUp="false" diagonalDown="false">
      <left style="medium"/>
      <right/>
      <top/>
      <bottom style="medium"/>
      <diagonal/>
    </border>
    <border diagonalUp="false" diagonalDown="false">
      <left style="medium"/>
      <right/>
      <top style="medium"/>
      <bottom/>
      <diagonal/>
    </border>
    <border diagonalUp="false" diagonalDown="false">
      <left style="medium"/>
      <right/>
      <top/>
      <bottom/>
      <diagonal/>
    </border>
    <border diagonalUp="false" diagonalDown="false">
      <left/>
      <right/>
      <top style="thin"/>
      <bottom style="double"/>
      <diagonal/>
    </border>
    <border diagonalUp="false" diagonalDown="false">
      <left/>
      <right/>
      <top style="thin"/>
      <bottom/>
      <diagonal/>
    </border>
    <border diagonalUp="false" diagonalDown="false">
      <left style="medium"/>
      <right style="medium"/>
      <top style="medium"/>
      <bottom style="medium"/>
      <diagonal/>
    </border>
    <border diagonalUp="false" diagonalDown="false">
      <left style="medium"/>
      <right style="thin">
        <color rgb="FFBEC5B4"/>
      </right>
      <top style="medium"/>
      <bottom/>
      <diagonal/>
    </border>
    <border diagonalUp="false" diagonalDown="false">
      <left style="thin">
        <color rgb="FFBEC5B4"/>
      </left>
      <right style="thin">
        <color rgb="FFBEC5B4"/>
      </right>
      <top style="medium"/>
      <bottom/>
      <diagonal/>
    </border>
    <border diagonalUp="false" diagonalDown="false">
      <left style="medium"/>
      <right style="medium"/>
      <top/>
      <bottom style="thin">
        <color rgb="FFBEC5B4"/>
      </bottom>
      <diagonal/>
    </border>
    <border diagonalUp="false" diagonalDown="false">
      <left/>
      <right style="medium"/>
      <top/>
      <bottom style="thin">
        <color rgb="FFBEC5B4"/>
      </bottom>
      <diagonal/>
    </border>
    <border diagonalUp="false" diagonalDown="false">
      <left style="medium"/>
      <right style="medium"/>
      <top/>
      <bottom/>
      <diagonal/>
    </border>
    <border diagonalUp="false" diagonalDown="false">
      <left style="medium"/>
      <right style="medium"/>
      <top style="medium"/>
      <bottom/>
      <diagonal/>
    </border>
    <border diagonalUp="false" diagonalDown="false">
      <left style="medium"/>
      <right style="medium"/>
      <top style="thin">
        <color rgb="FFBEC5B4"/>
      </top>
      <bottom style="thin">
        <color rgb="FFBEC5B4"/>
      </bottom>
      <diagonal/>
    </border>
    <border diagonalUp="false" diagonalDown="false">
      <left/>
      <right style="medium"/>
      <top style="thin">
        <color rgb="FFBEC5B4"/>
      </top>
      <bottom style="thin">
        <color rgb="FFBEC5B4"/>
      </bottom>
      <diagonal/>
    </border>
    <border diagonalUp="false" diagonalDown="false">
      <left style="medium"/>
      <right style="medium"/>
      <top style="thin">
        <color rgb="FFBEC5B4"/>
      </top>
      <bottom style="medium"/>
      <diagonal/>
    </border>
    <border diagonalUp="false" diagonalDown="false">
      <left/>
      <right style="medium"/>
      <top style="thin">
        <color rgb="FFBEC5B4"/>
      </top>
      <bottom style="medium"/>
      <diagonal/>
    </border>
    <border diagonalUp="false" diagonalDown="false">
      <left style="medium"/>
      <right style="medium"/>
      <top/>
      <bottom style="medium"/>
      <diagonal/>
    </border>
    <border diagonalUp="false" diagonalDown="false">
      <left style="medium"/>
      <right style="medium"/>
      <top style="medium"/>
      <bottom style="thin">
        <color rgb="FFBEC5B4"/>
      </bottom>
      <diagonal/>
    </border>
    <border diagonalUp="false" diagonalDown="false">
      <left style="thin">
        <color rgb="FFBEC5B4"/>
      </left>
      <right style="thin">
        <color rgb="FFBEC5B4"/>
      </right>
      <top style="thin">
        <color rgb="FFBEC5B4"/>
      </top>
      <bottom style="thin">
        <color rgb="FFBEC5B4"/>
      </bottom>
      <diagonal/>
    </border>
    <border diagonalUp="false" diagonalDown="false">
      <left style="medium"/>
      <right/>
      <top style="medium"/>
      <bottom style="medium"/>
      <diagonal/>
    </border>
    <border diagonalUp="false" diagonalDown="false">
      <left style="thin"/>
      <right style="thin"/>
      <top style="thin"/>
      <bottom/>
      <diagonal/>
    </border>
    <border diagonalUp="false" diagonalDown="false">
      <left style="medium"/>
      <right style="thin"/>
      <top style="medium"/>
      <bottom style="medium"/>
      <diagonal/>
    </border>
    <border diagonalUp="false" diagonalDown="false">
      <left style="thin"/>
      <right/>
      <top/>
      <bottom style="thin"/>
      <diagonal/>
    </border>
    <border diagonalUp="false" diagonalDown="false">
      <left style="thin"/>
      <right/>
      <top style="thin"/>
      <bottom style="thin"/>
      <diagonal/>
    </border>
    <border diagonalUp="false" diagonalDown="false">
      <left style="thin"/>
      <right/>
      <top style="thin"/>
      <botto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style="thin"/>
      <top style="medium"/>
      <bottom style="thin"/>
      <diagonal/>
    </border>
    <border diagonalUp="false" diagonalDown="false">
      <left style="medium"/>
      <right style="thin"/>
      <top style="thin"/>
      <bottom style="thin"/>
      <diagonal/>
    </border>
    <border diagonalUp="false" diagonalDown="false">
      <left/>
      <right style="thin"/>
      <top style="thin"/>
      <bottom style="thin"/>
      <diagonal/>
    </border>
    <border diagonalUp="false" diagonalDown="false">
      <left style="thin"/>
      <right style="medium"/>
      <top style="medium"/>
      <bottom style="medium"/>
      <diagonal/>
    </border>
    <border diagonalUp="false" diagonalDown="false">
      <left style="medium"/>
      <right style="thin"/>
      <top style="thin"/>
      <bottom/>
      <diagonal/>
    </border>
    <border diagonalUp="false" diagonalDown="false">
      <left style="thin"/>
      <right/>
      <top/>
      <bottom/>
      <diagonal/>
    </border>
    <border diagonalUp="false" diagonalDown="false">
      <left/>
      <right/>
      <top/>
      <bottom style="thin"/>
      <diagonal/>
    </border>
    <border diagonalUp="false" diagonalDown="false">
      <left style="medium"/>
      <right style="medium"/>
      <top style="thin">
        <color rgb="FFC0C0C1"/>
      </top>
      <bottom style="thin">
        <color rgb="FFC0C0C1"/>
      </bottom>
      <diagonal/>
    </border>
    <border diagonalUp="false" diagonalDown="false">
      <left/>
      <right style="thin">
        <color rgb="FFC0C0C1"/>
      </right>
      <top style="thin">
        <color rgb="FFC0C0C1"/>
      </top>
      <bottom style="thin">
        <color rgb="FFC0C0C1"/>
      </bottom>
      <diagonal/>
    </border>
    <border diagonalUp="false" diagonalDown="false">
      <left style="medium"/>
      <right style="thin"/>
      <top style="medium"/>
      <bottom style="thin"/>
      <diagonal/>
    </border>
    <border diagonalUp="false" diagonalDown="false">
      <left style="thin"/>
      <right style="medium"/>
      <top style="medium"/>
      <bottom style="thin"/>
      <diagonal/>
    </border>
    <border diagonalUp="false" diagonalDown="false">
      <left/>
      <right style="thin"/>
      <top style="medium"/>
      <bottom style="thin"/>
      <diagonal/>
    </border>
    <border diagonalUp="false" diagonalDown="false">
      <left style="thin"/>
      <right style="medium"/>
      <top/>
      <bottom style="thin"/>
      <diagonal/>
    </border>
    <border diagonalUp="false" diagonalDown="false">
      <left style="medium"/>
      <right style="medium"/>
      <top style="medium"/>
      <bottom style="thin"/>
      <diagonal/>
    </border>
    <border diagonalUp="false" diagonalDown="false">
      <left style="thin"/>
      <right style="medium"/>
      <top style="thin"/>
      <bottom style="thin"/>
      <diagonal/>
    </border>
    <border diagonalUp="false" diagonalDown="false">
      <left style="medium"/>
      <right style="medium"/>
      <top style="thin"/>
      <bottom style="thin"/>
      <diagonal/>
    </border>
    <border diagonalUp="false" diagonalDown="false">
      <left style="medium"/>
      <right style="thin"/>
      <top style="thin"/>
      <bottom style="medium"/>
      <diagonal/>
    </border>
    <border diagonalUp="false" diagonalDown="false">
      <left style="thin"/>
      <right style="thin"/>
      <top style="thin"/>
      <bottom style="medium"/>
      <diagonal/>
    </border>
    <border diagonalUp="false" diagonalDown="false">
      <left style="thin"/>
      <right style="medium"/>
      <top style="thin"/>
      <bottom style="medium"/>
      <diagonal/>
    </border>
    <border diagonalUp="false" diagonalDown="false">
      <left/>
      <right style="thin"/>
      <top style="thin"/>
      <bottom style="medium"/>
      <diagonal/>
    </border>
    <border diagonalUp="false" diagonalDown="false">
      <left style="medium"/>
      <right style="medium"/>
      <top style="thin"/>
      <bottom style="medium"/>
      <diagonal/>
    </border>
    <border diagonalUp="false" diagonalDown="false">
      <left style="medium"/>
      <right style="thin"/>
      <top/>
      <bottom style="thin"/>
      <diagonal/>
    </border>
    <border diagonalUp="false" diagonalDown="false">
      <left style="thin">
        <color rgb="FFCCCCEA"/>
      </left>
      <right style="thin">
        <color rgb="FFCCCCEA"/>
      </right>
      <top style="thin">
        <color rgb="FFCCCCEA"/>
      </top>
      <bottom style="thin">
        <color rgb="FFCCCCEA"/>
      </bottom>
      <diagonal/>
    </border>
    <border diagonalUp="false" diagonalDown="false">
      <left/>
      <right style="medium"/>
      <top style="medium"/>
      <bottom style="thin"/>
      <diagonal/>
    </border>
    <border diagonalUp="false" diagonalDown="false">
      <left/>
      <right/>
      <top style="medium"/>
      <bottom style="thin"/>
      <diagonal/>
    </border>
    <border diagonalUp="false" diagonalDown="false">
      <left/>
      <right/>
      <top style="medium"/>
      <bottom style="thin">
        <color rgb="FFC0C0C1"/>
      </bottom>
      <diagonal/>
    </border>
    <border diagonalUp="false" diagonalDown="false">
      <left/>
      <right style="medium"/>
      <top style="medium"/>
      <bottom style="thin">
        <color rgb="FFC0C0C1"/>
      </bottom>
      <diagonal/>
    </border>
    <border diagonalUp="false" diagonalDown="false">
      <left/>
      <right/>
      <top/>
      <bottom style="thin">
        <color rgb="FFC0C0C1"/>
      </bottom>
      <diagonal/>
    </border>
    <border diagonalUp="false" diagonalDown="false">
      <left/>
      <right style="medium"/>
      <top/>
      <bottom style="thin">
        <color rgb="FFC0C0C1"/>
      </bottom>
      <diagonal/>
    </border>
    <border diagonalUp="false" diagonalDown="false">
      <left style="medium"/>
      <right style="medium"/>
      <top style="medium"/>
      <bottom style="thin">
        <color rgb="FFC0C0C1"/>
      </bottom>
      <diagonal/>
    </border>
    <border diagonalUp="false" diagonalDown="false">
      <left style="medium"/>
      <right/>
      <top style="medium"/>
      <bottom style="thin">
        <color rgb="FFC0C0C1"/>
      </bottom>
      <diagonal/>
    </border>
    <border diagonalUp="false" diagonalDown="false">
      <left/>
      <right/>
      <top style="thin">
        <color rgb="FFC0C0C1"/>
      </top>
      <bottom style="thin">
        <color rgb="FFC0C0C1"/>
      </bottom>
      <diagonal/>
    </border>
    <border diagonalUp="false" diagonalDown="false">
      <left/>
      <right style="medium"/>
      <top style="thin">
        <color rgb="FFC0C0C1"/>
      </top>
      <bottom style="thin">
        <color rgb="FFC0C0C1"/>
      </bottom>
      <diagonal/>
    </border>
    <border diagonalUp="false" diagonalDown="false">
      <left style="medium"/>
      <right/>
      <top style="thin">
        <color rgb="FFC0C0C1"/>
      </top>
      <bottom style="thin">
        <color rgb="FFC0C0C1"/>
      </bottom>
      <diagonal/>
    </border>
    <border diagonalUp="false" diagonalDown="false">
      <left style="medium"/>
      <right style="medium"/>
      <top/>
      <bottom style="thin">
        <color rgb="FFC0C0C1"/>
      </bottom>
      <diagonal/>
    </border>
    <border diagonalUp="false" diagonalDown="false">
      <left style="medium"/>
      <right/>
      <top/>
      <bottom style="thin">
        <color rgb="FFC0C0C1"/>
      </bottom>
      <diagonal/>
    </border>
    <border diagonalUp="false" diagonalDown="false">
      <left style="medium"/>
      <right/>
      <top style="thin">
        <color rgb="FFC0C0C1"/>
      </top>
      <bottom/>
      <diagonal/>
    </border>
    <border diagonalUp="false" diagonalDown="false">
      <left/>
      <right/>
      <top style="thin">
        <color rgb="FFC0C0C1"/>
      </top>
      <bottom/>
      <diagonal/>
    </border>
    <border diagonalUp="false" diagonalDown="false">
      <left/>
      <right style="medium"/>
      <top style="thin">
        <color rgb="FFC0C0C1"/>
      </top>
      <bottom/>
      <diagonal/>
    </border>
    <border diagonalUp="false" diagonalDown="false">
      <left style="medium"/>
      <right/>
      <top style="thin">
        <color rgb="FFC0C0C1"/>
      </top>
      <bottom style="medium"/>
      <diagonal/>
    </border>
    <border diagonalUp="false" diagonalDown="false">
      <left style="medium"/>
      <right style="medium"/>
      <top style="thin">
        <color rgb="FFC0C0C1"/>
      </top>
      <bottom style="medium"/>
      <diagonal/>
    </border>
    <border diagonalUp="false" diagonalDown="false">
      <left/>
      <right/>
      <top style="thin">
        <color rgb="FFC0C0C1"/>
      </top>
      <bottom style="medium"/>
      <diagonal/>
    </border>
    <border diagonalUp="false" diagonalDown="false">
      <left/>
      <right style="medium"/>
      <top style="thin">
        <color rgb="FFC0C0C1"/>
      </top>
      <bottom style="medium"/>
      <diagonal/>
    </border>
    <border diagonalUp="false" diagonalDown="false">
      <left/>
      <right style="medium"/>
      <top style="thin">
        <color rgb="FFC0C0C1"/>
      </top>
      <bottom style="thin"/>
      <diagonal/>
    </border>
    <border diagonalUp="false" diagonalDown="false">
      <left style="medium"/>
      <right style="medium"/>
      <top style="thin">
        <color rgb="FFC0C0C1"/>
      </top>
      <bottom/>
      <diagonal/>
    </border>
    <border diagonalUp="false" diagonalDown="false">
      <left style="medium"/>
      <right style="medium"/>
      <top style="thin">
        <color rgb="FF8C8C8F"/>
      </top>
      <bottom style="medium"/>
      <diagonal/>
    </border>
    <border diagonalUp="false" diagonalDown="false">
      <left style="medium"/>
      <right/>
      <top style="thin">
        <color rgb="FF8C8C8F"/>
      </top>
      <bottom style="medium"/>
      <diagonal/>
    </border>
    <border diagonalUp="false" diagonalDown="false">
      <left/>
      <right/>
      <top style="thin">
        <color rgb="FF8C8C8F"/>
      </top>
      <bottom style="medium"/>
      <diagonal/>
    </border>
    <border diagonalUp="false" diagonalDown="false">
      <left/>
      <right style="medium"/>
      <top style="thin">
        <color rgb="FF8C8C8F"/>
      </top>
      <bottom style="medium"/>
      <diagonal/>
    </border>
    <border diagonalUp="false" diagonalDown="false">
      <left style="thin">
        <color rgb="FFBEC5B4"/>
      </left>
      <right/>
      <top style="thin">
        <color rgb="FFBEC5B4"/>
      </top>
      <bottom style="thin">
        <color rgb="FFBEC5B4"/>
      </bottom>
      <diagonal/>
    </border>
    <border diagonalUp="false" diagonalDown="false">
      <left style="medium"/>
      <right style="thin">
        <color rgb="FFC0C0C1"/>
      </right>
      <top style="medium"/>
      <bottom style="thin">
        <color rgb="FFC0C0C1"/>
      </bottom>
      <diagonal/>
    </border>
    <border diagonalUp="false" diagonalDown="false">
      <left/>
      <right style="thin">
        <color rgb="FFC0C0C1"/>
      </right>
      <top style="medium"/>
      <bottom style="thin">
        <color rgb="FFC0C0C1"/>
      </bottom>
      <diagonal/>
    </border>
    <border diagonalUp="false" diagonalDown="false">
      <left style="thin">
        <color rgb="FFC0C0C1"/>
      </left>
      <right style="thin">
        <color rgb="FFC0C0C1"/>
      </right>
      <top style="medium"/>
      <bottom style="thin">
        <color rgb="FFC0C0C1"/>
      </bottom>
      <diagonal/>
    </border>
    <border diagonalUp="false" diagonalDown="false">
      <left style="medium"/>
      <right style="thin">
        <color rgb="FFC0C0C1"/>
      </right>
      <top/>
      <bottom style="thin">
        <color rgb="FFC0C0C1"/>
      </bottom>
      <diagonal/>
    </border>
    <border diagonalUp="false" diagonalDown="false">
      <left/>
      <right style="thin">
        <color rgb="FFC0C0C1"/>
      </right>
      <top/>
      <bottom/>
      <diagonal/>
    </border>
    <border diagonalUp="false" diagonalDown="false">
      <left style="medium"/>
      <right style="thin">
        <color rgb="FFC0C0C1"/>
      </right>
      <top style="thin">
        <color rgb="FFC0C0C1"/>
      </top>
      <bottom style="thin">
        <color rgb="FFC0C0C1"/>
      </bottom>
      <diagonal/>
    </border>
    <border diagonalUp="false" diagonalDown="false">
      <left/>
      <right style="thin">
        <color rgb="FFC0C0C1"/>
      </right>
      <top/>
      <bottom style="thin">
        <color rgb="FFC0C0C1"/>
      </bottom>
      <diagonal/>
    </border>
    <border diagonalUp="false" diagonalDown="false">
      <left style="medium"/>
      <right style="thin">
        <color rgb="FFC0C0C1"/>
      </right>
      <top/>
      <bottom style="medium"/>
      <diagonal/>
    </border>
    <border diagonalUp="false" diagonalDown="false">
      <left/>
      <right style="thin">
        <color rgb="FFC0C0C1"/>
      </right>
      <top style="thin">
        <color rgb="FFC0C0C1"/>
      </top>
      <bottom style="medium"/>
      <diagonal/>
    </border>
    <border diagonalUp="false" diagonalDown="false">
      <left style="thin">
        <color rgb="FFC0C0C1"/>
      </left>
      <right/>
      <top/>
      <bottom style="medium"/>
      <diagonal/>
    </border>
    <border diagonalUp="false" diagonalDown="false">
      <left/>
      <right style="thin">
        <color rgb="FFC0C0C1"/>
      </right>
      <top style="thin">
        <color rgb="FFC0C0C1"/>
      </top>
      <bottom/>
      <diagonal/>
    </border>
    <border diagonalUp="false" diagonalDown="false">
      <left style="thin">
        <color rgb="FFC0C0C1"/>
      </left>
      <right/>
      <top style="thin">
        <color rgb="FFC0C0C1"/>
      </top>
      <bottom style="thin">
        <color rgb="FFC0C0C1"/>
      </bottom>
      <diagonal/>
    </border>
    <border diagonalUp="false" diagonalDown="false">
      <left style="thin">
        <color rgb="FFC0C0C1"/>
      </left>
      <right/>
      <top/>
      <bottom/>
      <diagonal/>
    </border>
    <border diagonalUp="false" diagonalDown="false">
      <left style="medium"/>
      <right/>
      <top style="medium"/>
      <bottom style="thin">
        <color rgb="FF8C8C8F"/>
      </bottom>
      <diagonal/>
    </border>
    <border diagonalUp="false" diagonalDown="false">
      <left/>
      <right/>
      <top style="medium"/>
      <bottom style="thin">
        <color rgb="FF8C8C8F"/>
      </bottom>
      <diagonal/>
    </border>
    <border diagonalUp="false" diagonalDown="false">
      <left/>
      <right style="medium"/>
      <top style="medium"/>
      <bottom style="thin">
        <color rgb="FF8C8C8F"/>
      </bottom>
      <diagonal/>
    </border>
    <border diagonalUp="false" diagonalDown="false">
      <left style="medium"/>
      <right/>
      <top style="thin">
        <color rgb="FF8C8C8F"/>
      </top>
      <bottom style="thin">
        <color rgb="FF8C8C8F"/>
      </bottom>
      <diagonal/>
    </border>
    <border diagonalUp="false" diagonalDown="false">
      <left/>
      <right/>
      <top style="thin">
        <color rgb="FF8C8C8F"/>
      </top>
      <bottom style="thin">
        <color rgb="FF8C8C8F"/>
      </bottom>
      <diagonal/>
    </border>
    <border diagonalUp="false" diagonalDown="false">
      <left/>
      <right style="medium"/>
      <top style="thin">
        <color rgb="FF8C8C8F"/>
      </top>
      <bottom style="thin">
        <color rgb="FF8C8C8F"/>
      </bottom>
      <diagonal/>
    </border>
    <border diagonalUp="false" diagonalDown="false">
      <left style="thin">
        <color rgb="FF006707"/>
      </left>
      <right/>
      <top style="thin">
        <color rgb="FF006707"/>
      </top>
      <bottom style="thin">
        <color rgb="FF006707"/>
      </bottom>
      <diagonal/>
    </border>
    <border diagonalUp="false" diagonalDown="false">
      <left/>
      <right/>
      <top/>
      <bottom style="double"/>
      <diagonal/>
    </border>
  </borders>
  <cellStyleXfs count="8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true" applyAlignment="true" applyProtection="true">
      <alignment horizontal="general" vertical="bottom" textRotation="0" wrapText="false" indent="0" shrinkToFit="false"/>
      <protection locked="true" hidden="false"/>
    </xf>
    <xf numFmtId="164" fontId="4" fillId="3" borderId="0" applyFont="true" applyBorder="true" applyAlignment="true" applyProtection="true">
      <alignment horizontal="general" vertical="bottom" textRotation="0" wrapText="false" indent="0" shrinkToFit="false"/>
      <protection locked="true" hidden="false"/>
    </xf>
    <xf numFmtId="164" fontId="4" fillId="4" borderId="0" applyFont="true" applyBorder="true" applyAlignment="true" applyProtection="true">
      <alignment horizontal="general" vertical="bottom" textRotation="0" wrapText="false" indent="0" shrinkToFit="false"/>
      <protection locked="true" hidden="false"/>
    </xf>
    <xf numFmtId="164" fontId="4" fillId="2" borderId="0" applyFont="true" applyBorder="true" applyAlignment="true" applyProtection="true">
      <alignment horizontal="general" vertical="bottom" textRotation="0" wrapText="false" indent="0" shrinkToFit="false"/>
      <protection locked="true" hidden="false"/>
    </xf>
    <xf numFmtId="164" fontId="4" fillId="5" borderId="0" applyFont="true" applyBorder="true" applyAlignment="true" applyProtection="true">
      <alignment horizontal="general" vertical="bottom" textRotation="0" wrapText="false" indent="0" shrinkToFit="false"/>
      <protection locked="true" hidden="false"/>
    </xf>
    <xf numFmtId="164" fontId="4" fillId="3" borderId="0" applyFont="true" applyBorder="true" applyAlignment="true" applyProtection="true">
      <alignment horizontal="general" vertical="bottom" textRotation="0" wrapText="false" indent="0" shrinkToFit="false"/>
      <protection locked="true" hidden="false"/>
    </xf>
    <xf numFmtId="164" fontId="4" fillId="6" borderId="0" applyFont="true" applyBorder="true" applyAlignment="true" applyProtection="true">
      <alignment horizontal="general" vertical="bottom" textRotation="0" wrapText="false" indent="0" shrinkToFit="false"/>
      <protection locked="true" hidden="false"/>
    </xf>
    <xf numFmtId="164" fontId="4" fillId="3" borderId="0" applyFont="true" applyBorder="true" applyAlignment="true" applyProtection="true">
      <alignment horizontal="general" vertical="bottom" textRotation="0" wrapText="false" indent="0" shrinkToFit="false"/>
      <protection locked="true" hidden="false"/>
    </xf>
    <xf numFmtId="164" fontId="4" fillId="4" borderId="0" applyFont="true" applyBorder="true" applyAlignment="true" applyProtection="true">
      <alignment horizontal="general" vertical="bottom" textRotation="0" wrapText="false" indent="0" shrinkToFit="false"/>
      <protection locked="true" hidden="false"/>
    </xf>
    <xf numFmtId="164" fontId="4" fillId="6" borderId="0" applyFont="true" applyBorder="true" applyAlignment="true" applyProtection="true">
      <alignment horizontal="general" vertical="bottom" textRotation="0" wrapText="false" indent="0" shrinkToFit="false"/>
      <protection locked="true" hidden="false"/>
    </xf>
    <xf numFmtId="164" fontId="4" fillId="7" borderId="0" applyFont="true" applyBorder="true" applyAlignment="true" applyProtection="true">
      <alignment horizontal="general" vertical="bottom" textRotation="0" wrapText="false" indent="0" shrinkToFit="false"/>
      <protection locked="true" hidden="false"/>
    </xf>
    <xf numFmtId="164" fontId="4" fillId="3" borderId="0" applyFont="true" applyBorder="true" applyAlignment="true" applyProtection="true">
      <alignment horizontal="general" vertical="bottom" textRotation="0" wrapText="false" indent="0" shrinkToFit="false"/>
      <protection locked="true" hidden="false"/>
    </xf>
    <xf numFmtId="164" fontId="5" fillId="8" borderId="0" applyFont="true" applyBorder="true" applyAlignment="true" applyProtection="true">
      <alignment horizontal="general" vertical="bottom" textRotation="0" wrapText="false" indent="0" shrinkToFit="false"/>
      <protection locked="true" hidden="false"/>
    </xf>
    <xf numFmtId="164" fontId="5" fillId="9" borderId="0" applyFont="true" applyBorder="true" applyAlignment="true" applyProtection="true">
      <alignment horizontal="general" vertical="bottom" textRotation="0" wrapText="false" indent="0" shrinkToFit="false"/>
      <protection locked="true" hidden="false"/>
    </xf>
    <xf numFmtId="164" fontId="5" fillId="4" borderId="0" applyFont="true" applyBorder="true" applyAlignment="true" applyProtection="true">
      <alignment horizontal="general" vertical="bottom" textRotation="0" wrapText="false" indent="0" shrinkToFit="false"/>
      <protection locked="true" hidden="false"/>
    </xf>
    <xf numFmtId="164" fontId="5" fillId="6" borderId="0" applyFont="true" applyBorder="true" applyAlignment="true" applyProtection="true">
      <alignment horizontal="general" vertical="bottom" textRotation="0" wrapText="false" indent="0" shrinkToFit="false"/>
      <protection locked="true" hidden="false"/>
    </xf>
    <xf numFmtId="164" fontId="5" fillId="8" borderId="0" applyFont="true" applyBorder="true" applyAlignment="true" applyProtection="true">
      <alignment horizontal="general" vertical="bottom" textRotation="0" wrapText="false" indent="0" shrinkToFit="false"/>
      <protection locked="true" hidden="false"/>
    </xf>
    <xf numFmtId="164" fontId="5" fillId="3" borderId="0" applyFont="true" applyBorder="true" applyAlignment="true" applyProtection="true">
      <alignment horizontal="general" vertical="bottom" textRotation="0" wrapText="false" indent="0" shrinkToFit="false"/>
      <protection locked="true" hidden="false"/>
    </xf>
    <xf numFmtId="164" fontId="5" fillId="8" borderId="0" applyFont="true" applyBorder="true" applyAlignment="true" applyProtection="true">
      <alignment horizontal="general" vertical="bottom" textRotation="0" wrapText="false" indent="0" shrinkToFit="false"/>
      <protection locked="true" hidden="false"/>
    </xf>
    <xf numFmtId="164" fontId="5" fillId="10" borderId="0" applyFont="true" applyBorder="true" applyAlignment="true" applyProtection="true">
      <alignment horizontal="general" vertical="bottom" textRotation="0" wrapText="false" indent="0" shrinkToFit="false"/>
      <protection locked="true" hidden="false"/>
    </xf>
    <xf numFmtId="164" fontId="5" fillId="4" borderId="0" applyFont="true" applyBorder="true" applyAlignment="true" applyProtection="true">
      <alignment horizontal="general" vertical="bottom" textRotation="0" wrapText="false" indent="0" shrinkToFit="false"/>
      <protection locked="true" hidden="false"/>
    </xf>
    <xf numFmtId="164" fontId="5" fillId="11" borderId="0" applyFont="true" applyBorder="true" applyAlignment="true" applyProtection="true">
      <alignment horizontal="general" vertical="bottom" textRotation="0" wrapText="false" indent="0" shrinkToFit="false"/>
      <protection locked="true" hidden="false"/>
    </xf>
    <xf numFmtId="164" fontId="5" fillId="8" borderId="0" applyFont="true" applyBorder="true" applyAlignment="true" applyProtection="true">
      <alignment horizontal="general" vertical="bottom" textRotation="0" wrapText="false" indent="0" shrinkToFit="false"/>
      <protection locked="true" hidden="false"/>
    </xf>
    <xf numFmtId="164" fontId="5" fillId="9" borderId="0" applyFont="true" applyBorder="true" applyAlignment="true" applyProtection="true">
      <alignment horizontal="general" vertical="bottom" textRotation="0" wrapText="false" indent="0" shrinkToFit="false"/>
      <protection locked="true" hidden="false"/>
    </xf>
    <xf numFmtId="164" fontId="6" fillId="12" borderId="0" applyFont="true" applyBorder="true" applyAlignment="true" applyProtection="true">
      <alignment horizontal="general" vertical="bottom" textRotation="0" wrapText="false" indent="0" shrinkToFit="false"/>
      <protection locked="true" hidden="false"/>
    </xf>
    <xf numFmtId="164" fontId="7" fillId="2" borderId="1" applyFont="true" applyBorder="true" applyAlignment="true" applyProtection="true">
      <alignment horizontal="general" vertical="bottom" textRotation="0" wrapText="false" indent="0" shrinkToFit="false"/>
      <protection locked="true" hidden="false"/>
    </xf>
    <xf numFmtId="164" fontId="8" fillId="10" borderId="2" applyFont="true" applyBorder="true" applyAlignment="true" applyProtection="true">
      <alignment horizontal="general" vertical="bottom" textRotation="0" wrapText="false" indent="0" shrinkToFit="false"/>
      <protection locked="true" hidden="false"/>
    </xf>
    <xf numFmtId="165" fontId="9" fillId="0" borderId="0" applyFont="true" applyBorder="true" applyAlignment="true" applyProtection="true">
      <alignment horizontal="general" vertical="bottom" textRotation="0" wrapText="false" indent="0" shrinkToFit="false"/>
      <protection locked="true" hidden="false"/>
    </xf>
    <xf numFmtId="165" fontId="9" fillId="0" borderId="0" applyFont="true" applyBorder="true" applyAlignment="true" applyProtection="true">
      <alignment horizontal="general" vertical="bottom" textRotation="0" wrapText="false" indent="0" shrinkToFit="false"/>
      <protection locked="true" hidden="false"/>
    </xf>
    <xf numFmtId="165" fontId="10" fillId="0" borderId="0" applyFont="true" applyBorder="true" applyAlignment="true" applyProtection="true">
      <alignment horizontal="general" vertical="bottom" textRotation="0" wrapText="false" indent="0" shrinkToFit="false"/>
      <protection locked="true" hidden="false"/>
    </xf>
    <xf numFmtId="166" fontId="9" fillId="0" borderId="0" applyFont="true" applyBorder="true" applyAlignment="true" applyProtection="true">
      <alignment horizontal="general" vertical="bottom" textRotation="0" wrapText="false" indent="0" shrinkToFit="false"/>
      <protection locked="true" hidden="false"/>
    </xf>
    <xf numFmtId="166" fontId="9" fillId="0" borderId="0" applyFont="true" applyBorder="true" applyAlignment="true" applyProtection="true">
      <alignment horizontal="general" vertical="bottom" textRotation="0" wrapText="false" indent="0" shrinkToFit="false"/>
      <protection locked="true" hidden="false"/>
    </xf>
    <xf numFmtId="166" fontId="10" fillId="0" borderId="0" applyFont="true" applyBorder="true" applyAlignment="true" applyProtection="true">
      <alignment horizontal="general" vertical="bottom" textRotation="0" wrapText="false" indent="0" shrinkToFit="false"/>
      <protection locked="true" hidden="false"/>
    </xf>
    <xf numFmtId="166" fontId="10" fillId="0" borderId="0" applyFont="true" applyBorder="true" applyAlignment="true" applyProtection="true">
      <alignment horizontal="general" vertical="bottom" textRotation="0" wrapText="false" indent="0" shrinkToFit="false"/>
      <protection locked="true" hidden="false"/>
    </xf>
    <xf numFmtId="166" fontId="10" fillId="0" borderId="0" applyFont="true" applyBorder="true" applyAlignment="true" applyProtection="true">
      <alignment horizontal="general" vertical="bottom" textRotation="0" wrapText="false" indent="0" shrinkToFit="false"/>
      <protection locked="true" hidden="false"/>
    </xf>
    <xf numFmtId="166" fontId="9" fillId="0" borderId="0" applyFont="true" applyBorder="true" applyAlignment="true" applyProtection="true">
      <alignment horizontal="general" vertical="bottom" textRotation="0" wrapText="false" indent="0" shrinkToFit="false"/>
      <protection locked="true" hidden="false"/>
    </xf>
    <xf numFmtId="164" fontId="11" fillId="0" borderId="0" applyFont="true" applyBorder="true" applyAlignment="true" applyProtection="true">
      <alignment horizontal="general" vertical="bottom" textRotation="0" wrapText="false" indent="0" shrinkToFit="false"/>
      <protection locked="true" hidden="false"/>
    </xf>
    <xf numFmtId="164" fontId="12" fillId="13" borderId="0" applyFont="true" applyBorder="true" applyAlignment="true" applyProtection="true">
      <alignment horizontal="general" vertical="bottom" textRotation="0" wrapText="false" indent="0" shrinkToFit="false"/>
      <protection locked="true" hidden="false"/>
    </xf>
    <xf numFmtId="164" fontId="13" fillId="0" borderId="3" applyFont="true" applyBorder="true" applyAlignment="true" applyProtection="true">
      <alignment horizontal="general" vertical="bottom" textRotation="0" wrapText="false" indent="0" shrinkToFit="false"/>
      <protection locked="true" hidden="false"/>
    </xf>
    <xf numFmtId="164" fontId="14" fillId="0" borderId="4" applyFont="true" applyBorder="true" applyAlignment="true" applyProtection="true">
      <alignment horizontal="general" vertical="bottom" textRotation="0" wrapText="false" indent="0" shrinkToFit="false"/>
      <protection locked="true" hidden="false"/>
    </xf>
    <xf numFmtId="164" fontId="15" fillId="0" borderId="5" applyFont="true" applyBorder="true" applyAlignment="true" applyProtection="true">
      <alignment horizontal="general" vertical="bottom" textRotation="0" wrapText="false" indent="0" shrinkToFit="false"/>
      <protection locked="true" hidden="false"/>
    </xf>
    <xf numFmtId="164" fontId="15" fillId="0" borderId="0" applyFont="true" applyBorder="true" applyAlignment="true" applyProtection="true">
      <alignment horizontal="general" vertical="bottom" textRotation="0" wrapText="false" indent="0" shrinkToFit="false"/>
      <protection locked="true" hidden="false"/>
    </xf>
    <xf numFmtId="164" fontId="16" fillId="0" borderId="0" applyFont="true" applyBorder="true" applyAlignment="true" applyProtection="true">
      <alignment horizontal="general" vertical="bottom" textRotation="0" wrapText="false" indent="0" shrinkToFit="false"/>
      <protection locked="true" hidden="false"/>
    </xf>
    <xf numFmtId="164" fontId="17" fillId="3" borderId="1" applyFont="true" applyBorder="true" applyAlignment="true" applyProtection="true">
      <alignment horizontal="general" vertical="bottom" textRotation="0" wrapText="false" indent="0" shrinkToFit="false"/>
      <protection locked="true" hidden="false"/>
    </xf>
    <xf numFmtId="164" fontId="18" fillId="0" borderId="6" applyFont="true" applyBorder="true" applyAlignment="true" applyProtection="true">
      <alignment horizontal="general" vertical="bottom" textRotation="0" wrapText="false" indent="0" shrinkToFit="false"/>
      <protection locked="true" hidden="false"/>
    </xf>
    <xf numFmtId="164" fontId="19" fillId="14"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10" fillId="0" borderId="0" applyFont="true" applyBorder="true" applyAlignment="true" applyProtection="true">
      <alignment horizontal="general" vertical="bottom" textRotation="0" wrapText="false" indent="0" shrinkToFit="false"/>
      <protection locked="true" hidden="false"/>
    </xf>
    <xf numFmtId="164" fontId="10" fillId="0" borderId="0" applyFont="true" applyBorder="true" applyAlignment="true" applyProtection="true">
      <alignment horizontal="general" vertical="bottom" textRotation="0" wrapText="false" indent="0" shrinkToFit="false"/>
      <protection locked="true" hidden="false"/>
    </xf>
    <xf numFmtId="164" fontId="10" fillId="0" borderId="0" applyFont="true" applyBorder="true" applyAlignment="true" applyProtection="true">
      <alignment horizontal="general" vertical="bottom" textRotation="0" wrapText="false" indent="0" shrinkToFit="false"/>
      <protection locked="true" hidden="false"/>
    </xf>
    <xf numFmtId="164" fontId="10" fillId="0" borderId="0" applyFont="true" applyBorder="true" applyAlignment="true" applyProtection="true">
      <alignment horizontal="general" vertical="bottom" textRotation="0" wrapText="false" indent="0" shrinkToFit="false"/>
      <protection locked="true" hidden="false"/>
    </xf>
    <xf numFmtId="164" fontId="20" fillId="15" borderId="7" applyFont="true" applyBorder="true" applyAlignment="true" applyProtection="true">
      <alignment horizontal="general" vertical="bottom" textRotation="0" wrapText="false" indent="0" shrinkToFit="false"/>
      <protection locked="true" hidden="false"/>
    </xf>
    <xf numFmtId="164" fontId="21" fillId="2" borderId="8" applyFont="true" applyBorder="true" applyAlignment="true" applyProtection="true">
      <alignment horizontal="general" vertical="bottom" textRotation="0" wrapText="false" indent="0" shrinkToFit="false"/>
      <protection locked="true" hidden="false"/>
    </xf>
    <xf numFmtId="167" fontId="9" fillId="0" borderId="0" applyFont="true" applyBorder="true" applyAlignment="true" applyProtection="true">
      <alignment horizontal="general" vertical="bottom" textRotation="0" wrapText="false" indent="0" shrinkToFit="false"/>
      <protection locked="true" hidden="false"/>
    </xf>
    <xf numFmtId="167" fontId="9" fillId="0" borderId="0" applyFont="true" applyBorder="true" applyAlignment="true" applyProtection="true">
      <alignment horizontal="general" vertical="bottom" textRotation="0" wrapText="false" indent="0" shrinkToFit="false"/>
      <protection locked="true" hidden="false"/>
    </xf>
    <xf numFmtId="167" fontId="10" fillId="0" borderId="0" applyFont="true" applyBorder="true" applyAlignment="true" applyProtection="true">
      <alignment horizontal="general" vertical="bottom" textRotation="0" wrapText="false" indent="0" shrinkToFit="false"/>
      <protection locked="true" hidden="false"/>
    </xf>
    <xf numFmtId="167" fontId="9" fillId="0" borderId="0" applyFont="true" applyBorder="true" applyAlignment="true" applyProtection="true">
      <alignment horizontal="general" vertical="bottom" textRotation="0" wrapText="false" indent="0" shrinkToFit="false"/>
      <protection locked="true" hidden="false"/>
    </xf>
    <xf numFmtId="164" fontId="22" fillId="0" borderId="0" applyFont="true" applyBorder="true" applyAlignment="true" applyProtection="true">
      <alignment horizontal="general" vertical="bottom" textRotation="0" wrapText="false" indent="0" shrinkToFit="false"/>
      <protection locked="true" hidden="false"/>
    </xf>
    <xf numFmtId="164" fontId="23" fillId="0" borderId="9"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cellStyleXfs>
  <cellXfs count="223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25" fillId="16" borderId="0" xfId="0" applyFont="true" applyBorder="true" applyAlignment="true" applyProtection="false">
      <alignment horizontal="left" vertical="center" textRotation="0" wrapText="true" indent="0" shrinkToFit="false"/>
      <protection locked="true" hidden="false"/>
    </xf>
    <xf numFmtId="164" fontId="8" fillId="17" borderId="0" xfId="0" applyFont="true" applyBorder="true" applyAlignment="true" applyProtection="false">
      <alignment horizontal="left" vertical="center" textRotation="0" wrapText="true" indent="0" shrinkToFit="false"/>
      <protection locked="true" hidden="false"/>
    </xf>
    <xf numFmtId="164" fontId="26" fillId="0" borderId="0" xfId="0" applyFont="true" applyBorder="false" applyAlignment="true" applyProtection="false">
      <alignment horizontal="general" vertical="bottom" textRotation="0" wrapText="false" indent="0" shrinkToFit="false"/>
      <protection locked="true" hidden="false"/>
    </xf>
    <xf numFmtId="168" fontId="27" fillId="18" borderId="7" xfId="0" applyFont="true" applyBorder="true" applyAlignment="true" applyProtection="false">
      <alignment horizontal="center" vertical="center" textRotation="0" wrapText="true" indent="0" shrinkToFit="false"/>
      <protection locked="true" hidden="false"/>
    </xf>
    <xf numFmtId="169" fontId="27" fillId="18" borderId="7" xfId="0" applyFont="true" applyBorder="true" applyAlignment="true" applyProtection="false">
      <alignment horizontal="center" vertical="center" textRotation="0" wrapText="true" indent="0" shrinkToFit="false"/>
      <protection locked="true" hidden="false"/>
    </xf>
    <xf numFmtId="170" fontId="27" fillId="18" borderId="7" xfId="0" applyFont="true" applyBorder="true" applyAlignment="true" applyProtection="false">
      <alignment horizontal="center" vertical="center" textRotation="0" wrapText="true" indent="0" shrinkToFit="false"/>
      <protection locked="true" hidden="false"/>
    </xf>
    <xf numFmtId="169" fontId="26" fillId="0" borderId="7" xfId="0" applyFont="true" applyBorder="true" applyAlignment="true" applyProtection="false">
      <alignment horizontal="center" vertical="center" textRotation="0" wrapText="true" indent="0" shrinkToFit="false"/>
      <protection locked="true" hidden="false"/>
    </xf>
    <xf numFmtId="164" fontId="28" fillId="19" borderId="7" xfId="0" applyFont="true" applyBorder="true" applyAlignment="true" applyProtection="false">
      <alignment horizontal="center" vertical="center" textRotation="0" wrapText="true" indent="0" shrinkToFit="false"/>
      <protection locked="true" hidden="false"/>
    </xf>
    <xf numFmtId="164" fontId="26" fillId="0" borderId="7" xfId="0" applyFont="true" applyBorder="true" applyAlignment="true" applyProtection="false">
      <alignment horizontal="center" vertical="center" textRotation="0" wrapText="true" indent="0" shrinkToFit="false"/>
      <protection locked="true" hidden="false"/>
    </xf>
    <xf numFmtId="164" fontId="29" fillId="0" borderId="7" xfId="0" applyFont="true" applyBorder="true" applyAlignment="true" applyProtection="false">
      <alignment horizontal="center" vertical="center" textRotation="0" wrapText="true" indent="0" shrinkToFit="false"/>
      <protection locked="true" hidden="false"/>
    </xf>
    <xf numFmtId="170" fontId="29" fillId="0" borderId="7" xfId="0" applyFont="true" applyBorder="true" applyAlignment="true" applyProtection="false">
      <alignment horizontal="center" vertical="center" textRotation="0" wrapText="true" indent="0" shrinkToFit="false"/>
      <protection locked="true" hidden="false"/>
    </xf>
    <xf numFmtId="171" fontId="29" fillId="0" borderId="7" xfId="0" applyFont="true" applyBorder="true" applyAlignment="true" applyProtection="false">
      <alignment horizontal="center" vertical="center" textRotation="0" wrapText="true" indent="0" shrinkToFit="false"/>
      <protection locked="true" hidden="false"/>
    </xf>
    <xf numFmtId="172" fontId="29" fillId="0" borderId="7" xfId="0" applyFont="true" applyBorder="true" applyAlignment="true" applyProtection="false">
      <alignment horizontal="center" vertical="center" textRotation="0" wrapText="true" indent="0" shrinkToFit="false"/>
      <protection locked="true" hidden="false"/>
    </xf>
    <xf numFmtId="164" fontId="29" fillId="0" borderId="0" xfId="0" applyFont="true" applyBorder="false" applyAlignment="true" applyProtection="false">
      <alignment horizontal="general" vertical="bottom" textRotation="0" wrapText="false" indent="0" shrinkToFit="false"/>
      <protection locked="true" hidden="false"/>
    </xf>
    <xf numFmtId="164" fontId="8" fillId="17" borderId="0" xfId="0" applyFont="true" applyBorder="true" applyAlignment="true" applyProtection="false">
      <alignment horizontal="left" vertical="center" textRotation="0" wrapText="false" indent="0" shrinkToFit="false"/>
      <protection locked="true" hidden="false"/>
    </xf>
    <xf numFmtId="164" fontId="30" fillId="0" borderId="0" xfId="0" applyFont="true" applyBorder="true" applyAlignment="true" applyProtection="false">
      <alignment horizontal="left" vertical="bottom" textRotation="0" wrapText="true" indent="0" shrinkToFit="false"/>
      <protection locked="true" hidden="false"/>
    </xf>
    <xf numFmtId="164" fontId="29" fillId="0" borderId="0" xfId="0" applyFont="true" applyBorder="false" applyAlignment="true" applyProtection="false">
      <alignment horizontal="center" vertical="center" textRotation="0" wrapText="true" indent="0" shrinkToFit="false"/>
      <protection locked="true" hidden="false"/>
    </xf>
    <xf numFmtId="172" fontId="29" fillId="0" borderId="0" xfId="0" applyFont="true" applyBorder="false" applyAlignment="true" applyProtection="false">
      <alignment horizontal="center" vertical="center" textRotation="0" wrapText="true" indent="0" shrinkToFit="false"/>
      <protection locked="true" hidden="false"/>
    </xf>
    <xf numFmtId="164" fontId="29" fillId="0" borderId="0" xfId="0" applyFont="true" applyBorder="false" applyAlignment="true" applyProtection="false">
      <alignment horizontal="left" vertical="center" textRotation="0" wrapText="true" indent="0" shrinkToFit="false"/>
      <protection locked="true" hidden="false"/>
    </xf>
    <xf numFmtId="164" fontId="25" fillId="16" borderId="0" xfId="0" applyFont="true" applyBorder="true" applyAlignment="true" applyProtection="false">
      <alignment horizontal="left" vertical="center" textRotation="0" wrapText="false" indent="0" shrinkToFit="false"/>
      <protection locked="true" hidden="false"/>
    </xf>
    <xf numFmtId="164" fontId="29" fillId="0" borderId="0" xfId="0" applyFont="true" applyBorder="false" applyAlignment="true" applyProtection="false">
      <alignment horizontal="left" vertical="bottom" textRotation="0" wrapText="false" indent="0" shrinkToFit="false"/>
      <protection locked="true" hidden="false"/>
    </xf>
    <xf numFmtId="168" fontId="27" fillId="18" borderId="0" xfId="0" applyFont="true" applyBorder="false" applyAlignment="true" applyProtection="false">
      <alignment horizontal="right" vertical="bottom" textRotation="0" wrapText="false" indent="0" shrinkToFit="false"/>
      <protection locked="true" hidden="false"/>
    </xf>
    <xf numFmtId="169" fontId="27" fillId="18" borderId="0" xfId="0" applyFont="true" applyBorder="false" applyAlignment="true" applyProtection="false">
      <alignment horizontal="right" vertical="bottom" textRotation="0" wrapText="false" indent="0" shrinkToFit="false"/>
      <protection locked="true" hidden="false"/>
    </xf>
    <xf numFmtId="173" fontId="27" fillId="18" borderId="0" xfId="0" applyFont="true" applyBorder="false" applyAlignment="true" applyProtection="false">
      <alignment horizontal="right" vertical="bottom" textRotation="0" wrapText="false" indent="0" shrinkToFit="false"/>
      <protection locked="true" hidden="false"/>
    </xf>
    <xf numFmtId="170" fontId="27" fillId="18" borderId="0" xfId="0" applyFont="true" applyBorder="false" applyAlignment="true" applyProtection="false">
      <alignment horizontal="right" vertical="bottom" textRotation="0" wrapText="false" indent="0" shrinkToFit="false"/>
      <protection locked="true" hidden="false"/>
    </xf>
    <xf numFmtId="164" fontId="26" fillId="0" borderId="0" xfId="0" applyFont="true" applyBorder="false" applyAlignment="true" applyProtection="false">
      <alignment horizontal="left" vertical="bottom" textRotation="0" wrapText="false" indent="0" shrinkToFit="false"/>
      <protection locked="true" hidden="false"/>
    </xf>
    <xf numFmtId="169" fontId="26" fillId="0" borderId="0" xfId="0" applyFont="true" applyBorder="false" applyAlignment="true" applyProtection="false">
      <alignment horizontal="right" vertical="bottom" textRotation="0" wrapText="false" indent="0" shrinkToFit="false"/>
      <protection locked="true" hidden="false"/>
    </xf>
    <xf numFmtId="164" fontId="28" fillId="19" borderId="0" xfId="0" applyFont="true" applyBorder="false" applyAlignment="true" applyProtection="false">
      <alignment horizontal="center" vertical="center" textRotation="0" wrapText="false" indent="0" shrinkToFit="false"/>
      <protection locked="true" hidden="false"/>
    </xf>
    <xf numFmtId="170" fontId="29" fillId="0" borderId="0" xfId="0" applyFont="true" applyBorder="false" applyAlignment="true" applyProtection="false">
      <alignment horizontal="right" vertical="bottom" textRotation="0" wrapText="false" indent="0" shrinkToFit="false"/>
      <protection locked="true" hidden="false"/>
    </xf>
    <xf numFmtId="164" fontId="29" fillId="0" borderId="0" xfId="0" applyFont="true" applyBorder="false" applyAlignment="true" applyProtection="false">
      <alignment horizontal="center" vertical="bottom" textRotation="0" wrapText="false" indent="0" shrinkToFit="false"/>
      <protection locked="true" hidden="false"/>
    </xf>
    <xf numFmtId="174" fontId="29" fillId="0" borderId="0" xfId="0" applyFont="true" applyBorder="false" applyAlignment="true" applyProtection="false">
      <alignment horizontal="center" vertical="bottom" textRotation="0" wrapText="false" indent="0" shrinkToFit="false"/>
      <protection locked="true" hidden="false"/>
    </xf>
    <xf numFmtId="171" fontId="29" fillId="0" borderId="0" xfId="0" applyFont="true" applyBorder="false" applyAlignment="true" applyProtection="false">
      <alignment horizontal="right" vertical="bottom" textRotation="0" wrapText="false" indent="0" shrinkToFit="false"/>
      <protection locked="true" hidden="false"/>
    </xf>
    <xf numFmtId="172" fontId="29" fillId="0" borderId="0" xfId="0" applyFont="true" applyBorder="false" applyAlignment="true" applyProtection="false">
      <alignment horizontal="right" vertical="bottom" textRotation="0" wrapText="false" indent="0" shrinkToFit="false"/>
      <protection locked="true" hidden="false"/>
    </xf>
    <xf numFmtId="164" fontId="31" fillId="20" borderId="0" xfId="0" applyFont="true" applyBorder="false" applyAlignment="true" applyProtection="false">
      <alignment horizontal="general" vertical="bottom" textRotation="0" wrapText="false" indent="0" shrinkToFit="false"/>
      <protection locked="true" hidden="false"/>
    </xf>
    <xf numFmtId="164" fontId="32" fillId="21" borderId="0" xfId="0" applyFont="true" applyBorder="false" applyAlignment="true" applyProtection="false">
      <alignment horizontal="general" vertical="bottom" textRotation="0" wrapText="false" indent="0" shrinkToFit="false"/>
      <protection locked="true" hidden="false"/>
    </xf>
    <xf numFmtId="164" fontId="33" fillId="0" borderId="0" xfId="0" applyFont="true" applyBorder="false" applyAlignment="true" applyProtection="false">
      <alignment horizontal="general" vertical="bottom" textRotation="0" wrapText="false" indent="0" shrinkToFit="false"/>
      <protection locked="true" hidden="false"/>
    </xf>
    <xf numFmtId="164" fontId="34" fillId="0" borderId="0" xfId="0" applyFont="true" applyBorder="false" applyAlignment="true" applyProtection="false">
      <alignment horizontal="general" vertical="bottom" textRotation="0" wrapText="false" indent="0" shrinkToFit="false"/>
      <protection locked="true" hidden="false"/>
    </xf>
    <xf numFmtId="164" fontId="35" fillId="0" borderId="0" xfId="0" applyFont="true" applyBorder="false" applyAlignment="true" applyProtection="false">
      <alignment horizontal="general" vertical="bottom" textRotation="0" wrapText="false" indent="0" shrinkToFit="false"/>
      <protection locked="true" hidden="false"/>
    </xf>
    <xf numFmtId="175" fontId="0" fillId="0" borderId="0" xfId="0" applyFont="false" applyBorder="false" applyAlignment="true" applyProtection="false">
      <alignment horizontal="general" vertical="bottom" textRotation="0" wrapText="false" indent="0" shrinkToFit="false"/>
      <protection locked="true" hidden="false"/>
    </xf>
    <xf numFmtId="164" fontId="36" fillId="11" borderId="0" xfId="0" applyFont="true" applyBorder="false" applyAlignment="true" applyProtection="false">
      <alignment horizontal="general" vertical="bottom" textRotation="0" wrapText="false" indent="0" shrinkToFit="false"/>
      <protection locked="true" hidden="false"/>
    </xf>
    <xf numFmtId="164" fontId="36" fillId="21" borderId="0" xfId="0" applyFont="true" applyBorder="false" applyAlignment="true" applyProtection="false">
      <alignment horizontal="general" vertical="bottom" textRotation="0" wrapText="false" indent="0" shrinkToFit="false"/>
      <protection locked="true" hidden="false"/>
    </xf>
    <xf numFmtId="164" fontId="36" fillId="16" borderId="0" xfId="0" applyFont="true" applyBorder="false" applyAlignment="true" applyProtection="false">
      <alignment horizontal="general" vertical="bottom" textRotation="0" wrapText="false" indent="0" shrinkToFit="false"/>
      <protection locked="true" hidden="false"/>
    </xf>
    <xf numFmtId="168" fontId="0" fillId="0" borderId="0" xfId="0" applyFont="true" applyBorder="false" applyAlignment="true" applyProtection="false">
      <alignment horizontal="general" vertical="bottom" textRotation="0" wrapText="false" indent="0" shrinkToFit="false"/>
      <protection locked="true" hidden="false"/>
    </xf>
    <xf numFmtId="176" fontId="0" fillId="0" borderId="0" xfId="0" applyFont="false" applyBorder="false" applyAlignment="true" applyProtection="false">
      <alignment horizontal="general" vertical="bottom" textRotation="0" wrapText="false" indent="0" shrinkToFit="false"/>
      <protection locked="true" hidden="false"/>
    </xf>
    <xf numFmtId="177" fontId="0" fillId="0" borderId="0" xfId="0" applyFont="false" applyBorder="false" applyAlignment="true" applyProtection="false">
      <alignment horizontal="general" vertical="bottom" textRotation="0" wrapText="false" indent="0" shrinkToFit="false"/>
      <protection locked="true" hidden="false"/>
    </xf>
    <xf numFmtId="164" fontId="37" fillId="22" borderId="0" xfId="0" applyFont="true" applyBorder="false" applyAlignment="true" applyProtection="false">
      <alignment horizontal="general" vertical="bottom" textRotation="0" wrapText="false" indent="0" shrinkToFit="false"/>
      <protection locked="true" hidden="false"/>
    </xf>
    <xf numFmtId="164" fontId="36" fillId="20" borderId="0" xfId="0" applyFont="true" applyBorder="false" applyAlignment="true" applyProtection="false">
      <alignment horizontal="general" vertical="bottom" textRotation="0" wrapText="false" indent="0" shrinkToFit="false"/>
      <protection locked="true" hidden="false"/>
    </xf>
    <xf numFmtId="164" fontId="38" fillId="0" borderId="0" xfId="0" applyFont="true" applyBorder="false" applyAlignment="true" applyProtection="false">
      <alignment horizontal="general" vertical="bottom" textRotation="0" wrapText="false" indent="0" shrinkToFit="false"/>
      <protection locked="true" hidden="false"/>
    </xf>
    <xf numFmtId="164" fontId="39" fillId="8" borderId="0" xfId="0" applyFont="true" applyBorder="false" applyAlignment="true" applyProtection="false">
      <alignment horizontal="general" vertical="bottom" textRotation="0" wrapText="false" indent="0" shrinkToFit="false"/>
      <protection locked="true" hidden="false"/>
    </xf>
    <xf numFmtId="164" fontId="32" fillId="8" borderId="0" xfId="0" applyFont="true" applyBorder="false" applyAlignment="true" applyProtection="false">
      <alignment horizontal="general" vertical="bottom" textRotation="0" wrapText="false" indent="0" shrinkToFit="false"/>
      <protection locked="true" hidden="false"/>
    </xf>
    <xf numFmtId="164" fontId="40" fillId="0" borderId="0" xfId="0" applyFont="true" applyBorder="false" applyAlignment="true" applyProtection="false">
      <alignment horizontal="general" vertical="bottom" textRotation="0" wrapText="false" indent="0" shrinkToFit="false"/>
      <protection locked="true" hidden="false"/>
    </xf>
    <xf numFmtId="178" fontId="0" fillId="0" borderId="0" xfId="0" applyFont="false" applyBorder="false" applyAlignment="true" applyProtection="false">
      <alignment horizontal="general" vertical="bottom" textRotation="0" wrapText="false" indent="0" shrinkToFit="false"/>
      <protection locked="true" hidden="false"/>
    </xf>
    <xf numFmtId="164" fontId="32" fillId="23" borderId="0" xfId="0" applyFont="true" applyBorder="false" applyAlignment="true" applyProtection="false">
      <alignment horizontal="general" vertical="bottom" textRotation="0" wrapText="false" indent="0" shrinkToFit="false"/>
      <protection locked="true" hidden="false"/>
    </xf>
    <xf numFmtId="164" fontId="41" fillId="22" borderId="0" xfId="0" applyFont="true" applyBorder="false" applyAlignment="true" applyProtection="false">
      <alignment horizontal="general" vertical="bottom" textRotation="0" wrapText="false" indent="0" shrinkToFit="false"/>
      <protection locked="true" hidden="false"/>
    </xf>
    <xf numFmtId="164" fontId="42" fillId="21" borderId="0" xfId="0" applyFont="true" applyBorder="false" applyAlignment="true" applyProtection="false">
      <alignment horizontal="general" vertical="bottom" textRotation="0" wrapText="false" indent="0" shrinkToFit="false"/>
      <protection locked="true" hidden="false"/>
    </xf>
    <xf numFmtId="179" fontId="0" fillId="0" borderId="0" xfId="0" applyFont="false" applyBorder="false" applyAlignment="true" applyProtection="false">
      <alignment horizontal="general" vertical="bottom" textRotation="0" wrapText="false" indent="0" shrinkToFit="false"/>
      <protection locked="true" hidden="false"/>
    </xf>
    <xf numFmtId="164" fontId="25" fillId="16" borderId="0" xfId="0" applyFont="true" applyBorder="true" applyAlignment="true" applyProtection="false">
      <alignment horizontal="left" vertical="center" textRotation="0" wrapText="false" indent="1" shrinkToFit="false"/>
      <protection locked="true" hidden="false"/>
    </xf>
    <xf numFmtId="164" fontId="43" fillId="0" borderId="0" xfId="0" applyFont="true" applyBorder="true" applyAlignment="true" applyProtection="false">
      <alignment horizontal="left" vertical="bottom" textRotation="0" wrapText="true" indent="1" shrinkToFit="false"/>
      <protection locked="true" hidden="false"/>
    </xf>
    <xf numFmtId="164" fontId="8" fillId="16" borderId="0" xfId="0" applyFont="true" applyBorder="true" applyAlignment="true" applyProtection="false">
      <alignment horizontal="center" vertical="center" textRotation="0" wrapText="false" indent="0" shrinkToFit="false"/>
      <protection locked="true" hidden="false"/>
    </xf>
    <xf numFmtId="164" fontId="28" fillId="19" borderId="0" xfId="0" applyFont="true" applyBorder="false" applyAlignment="true" applyProtection="false">
      <alignment horizontal="center" vertical="bottom" textRotation="0" wrapText="true" indent="0" shrinkToFit="false"/>
      <protection locked="true" hidden="false"/>
    </xf>
    <xf numFmtId="164" fontId="26" fillId="0" borderId="0" xfId="0" applyFont="true" applyBorder="false" applyAlignment="true" applyProtection="false">
      <alignment horizontal="left" vertical="center" textRotation="0" wrapText="false" indent="1" shrinkToFit="false"/>
      <protection locked="true" hidden="false"/>
    </xf>
    <xf numFmtId="175" fontId="29" fillId="0" borderId="0" xfId="0" applyFont="true" applyBorder="false" applyAlignment="true" applyProtection="false">
      <alignment horizontal="right" vertical="bottom" textRotation="0" wrapText="false" indent="0" shrinkToFit="false"/>
      <protection locked="true" hidden="false"/>
    </xf>
    <xf numFmtId="169" fontId="29" fillId="0" borderId="0" xfId="0" applyFont="true" applyBorder="false" applyAlignment="true" applyProtection="false">
      <alignment horizontal="right" vertical="bottom" textRotation="0" wrapText="false" indent="0" shrinkToFit="false"/>
      <protection locked="true" hidden="false"/>
    </xf>
    <xf numFmtId="180" fontId="29" fillId="0" borderId="0" xfId="0" applyFont="true" applyBorder="false" applyAlignment="true" applyProtection="false">
      <alignment horizontal="right" vertical="bottom" textRotation="0" wrapText="false" indent="0" shrinkToFit="false"/>
      <protection locked="true" hidden="false"/>
    </xf>
    <xf numFmtId="168" fontId="29" fillId="0" borderId="0" xfId="0" applyFont="true" applyBorder="false" applyAlignment="true" applyProtection="false">
      <alignment horizontal="right" vertical="bottom" textRotation="0" wrapText="false" indent="0" shrinkToFit="false"/>
      <protection locked="true" hidden="false"/>
    </xf>
    <xf numFmtId="164" fontId="26" fillId="24" borderId="0" xfId="0" applyFont="true" applyBorder="false" applyAlignment="true" applyProtection="false">
      <alignment horizontal="left" vertical="center" textRotation="0" wrapText="false" indent="1" shrinkToFit="false"/>
      <protection locked="true" hidden="false"/>
    </xf>
    <xf numFmtId="175" fontId="26" fillId="0" borderId="0" xfId="0" applyFont="true" applyBorder="false" applyAlignment="true" applyProtection="false">
      <alignment horizontal="right" vertical="bottom" textRotation="0" wrapText="false" indent="0" shrinkToFit="false"/>
      <protection locked="true" hidden="false"/>
    </xf>
    <xf numFmtId="164" fontId="8" fillId="17" borderId="0" xfId="0" applyFont="true" applyBorder="true" applyAlignment="true" applyProtection="false">
      <alignment horizontal="center" vertical="center" textRotation="0" wrapText="false" indent="0" shrinkToFit="false"/>
      <protection locked="true" hidden="false"/>
    </xf>
    <xf numFmtId="172" fontId="27" fillId="18" borderId="0" xfId="0" applyFont="true" applyBorder="false" applyAlignment="true" applyProtection="false">
      <alignment horizontal="right" vertical="bottom" textRotation="0" wrapText="false" indent="0" shrinkToFit="false"/>
      <protection locked="true" hidden="false"/>
    </xf>
    <xf numFmtId="164" fontId="44" fillId="0" borderId="0" xfId="0" applyFont="true" applyBorder="true" applyAlignment="true" applyProtection="false">
      <alignment horizontal="left" vertical="center" textRotation="0" wrapText="false" indent="1" shrinkToFit="false"/>
      <protection locked="true" hidden="false"/>
    </xf>
    <xf numFmtId="168" fontId="45" fillId="0" borderId="0" xfId="0" applyFont="true" applyBorder="false" applyAlignment="true" applyProtection="false">
      <alignment horizontal="right" vertical="bottom" textRotation="0" wrapText="false" indent="0" shrinkToFit="false"/>
      <protection locked="true" hidden="false"/>
    </xf>
    <xf numFmtId="164" fontId="28" fillId="19" borderId="0" xfId="0" applyFont="true" applyBorder="false" applyAlignment="true" applyProtection="false">
      <alignment horizontal="center" vertical="bottom" textRotation="0" wrapText="false" indent="0" shrinkToFit="false"/>
      <protection locked="true" hidden="false"/>
    </xf>
    <xf numFmtId="164" fontId="44" fillId="0" borderId="0" xfId="0" applyFont="true" applyBorder="false" applyAlignment="true" applyProtection="false">
      <alignment horizontal="left" vertical="center" textRotation="0" wrapText="false" indent="1" shrinkToFit="false"/>
      <protection locked="true" hidden="false"/>
    </xf>
    <xf numFmtId="169" fontId="29" fillId="25" borderId="0" xfId="0" applyFont="true" applyBorder="false" applyAlignment="true" applyProtection="false">
      <alignment horizontal="right" vertical="bottom" textRotation="0" wrapText="false" indent="0" shrinkToFit="false"/>
      <protection locked="true" hidden="false"/>
    </xf>
    <xf numFmtId="164" fontId="30" fillId="0" borderId="0" xfId="0" applyFont="true" applyBorder="false" applyAlignment="true" applyProtection="false">
      <alignment horizontal="general" vertical="bottom" textRotation="0" wrapText="false" indent="0" shrinkToFit="false"/>
      <protection locked="true" hidden="false"/>
    </xf>
    <xf numFmtId="169" fontId="29" fillId="0" borderId="0" xfId="0" applyFont="true" applyBorder="false" applyAlignment="true" applyProtection="false">
      <alignment horizontal="general" vertical="bottom" textRotation="0" wrapText="false" indent="0" shrinkToFit="false"/>
      <protection locked="true" hidden="false"/>
    </xf>
    <xf numFmtId="169" fontId="0" fillId="0" borderId="0" xfId="0" applyFont="false" applyBorder="false" applyAlignment="true" applyProtection="false">
      <alignment horizontal="general" vertical="bottom" textRotation="0" wrapText="false" indent="0" shrinkToFit="false"/>
      <protection locked="true" hidden="false"/>
    </xf>
    <xf numFmtId="164" fontId="46" fillId="0" borderId="0" xfId="0" applyFont="true" applyBorder="false" applyAlignment="true" applyProtection="false">
      <alignment horizontal="general" vertical="bottom" textRotation="0" wrapText="false" indent="0" shrinkToFit="false"/>
      <protection locked="true" hidden="false"/>
    </xf>
    <xf numFmtId="164" fontId="29" fillId="0" borderId="0" xfId="0" applyFont="true" applyBorder="false" applyAlignment="true" applyProtection="false">
      <alignment horizontal="left" vertical="center" textRotation="0" wrapText="false" indent="1" shrinkToFit="false"/>
      <protection locked="true" hidden="false"/>
    </xf>
    <xf numFmtId="174" fontId="27" fillId="18" borderId="0" xfId="0" applyFont="true" applyBorder="false" applyAlignment="true" applyProtection="false">
      <alignment horizontal="right" vertical="bottom" textRotation="0" wrapText="false" indent="0" shrinkToFit="false"/>
      <protection locked="true" hidden="false"/>
    </xf>
    <xf numFmtId="181" fontId="27" fillId="18" borderId="0" xfId="0" applyFont="true" applyBorder="false" applyAlignment="true" applyProtection="false">
      <alignment horizontal="right" vertical="bottom" textRotation="0" wrapText="false" indent="0" shrinkToFit="false"/>
      <protection locked="true" hidden="false"/>
    </xf>
    <xf numFmtId="164" fontId="47" fillId="26" borderId="0" xfId="0" applyFont="true" applyBorder="false" applyAlignment="true" applyProtection="false">
      <alignment horizontal="left" vertical="center" textRotation="0" wrapText="false" indent="1" shrinkToFit="false"/>
      <protection locked="true" hidden="false"/>
    </xf>
    <xf numFmtId="175" fontId="26" fillId="24" borderId="0" xfId="0" applyFont="true" applyBorder="false" applyAlignment="true" applyProtection="false">
      <alignment horizontal="right" vertical="bottom" textRotation="0" wrapText="false" indent="0" shrinkToFit="false"/>
      <protection locked="true" hidden="false"/>
    </xf>
    <xf numFmtId="164" fontId="8" fillId="16" borderId="0" xfId="0" applyFont="true" applyBorder="false" applyAlignment="true" applyProtection="false">
      <alignment horizontal="left" vertical="center" textRotation="0" wrapText="false" indent="1" shrinkToFit="false"/>
      <protection locked="true" hidden="false"/>
    </xf>
    <xf numFmtId="168" fontId="8" fillId="16" borderId="0" xfId="0" applyFont="true" applyBorder="false" applyAlignment="true" applyProtection="false">
      <alignment horizontal="right" vertical="bottom" textRotation="0" wrapText="false" indent="0" shrinkToFit="false"/>
      <protection locked="true" hidden="false"/>
    </xf>
    <xf numFmtId="164" fontId="48" fillId="19" borderId="0" xfId="0" applyFont="true" applyBorder="true" applyAlignment="true" applyProtection="false">
      <alignment horizontal="center" vertical="center" textRotation="0" wrapText="false" indent="0" shrinkToFit="false"/>
      <protection locked="true" hidden="false"/>
    </xf>
    <xf numFmtId="164" fontId="49" fillId="0" borderId="0" xfId="0" applyFont="true" applyBorder="false" applyAlignment="true" applyProtection="false">
      <alignment horizontal="center" vertical="top" textRotation="0" wrapText="false" indent="0" shrinkToFit="false"/>
      <protection locked="true" hidden="false"/>
    </xf>
    <xf numFmtId="164" fontId="50" fillId="0" borderId="0" xfId="0" applyFont="true" applyBorder="true" applyAlignment="true" applyProtection="false">
      <alignment horizontal="left" vertical="top" textRotation="0" wrapText="true" indent="0" shrinkToFit="false"/>
      <protection locked="true" hidden="false"/>
    </xf>
    <xf numFmtId="164" fontId="45" fillId="19" borderId="0" xfId="0" applyFont="true" applyBorder="true" applyAlignment="true" applyProtection="false">
      <alignment horizontal="left" vertical="center" textRotation="0" wrapText="false" indent="0" shrinkToFit="false"/>
      <protection locked="true" hidden="false"/>
    </xf>
    <xf numFmtId="164" fontId="51" fillId="27" borderId="0" xfId="0" applyFont="true" applyBorder="false" applyAlignment="true" applyProtection="false">
      <alignment horizontal="center" vertical="center" textRotation="0" wrapText="false" indent="0" shrinkToFit="false"/>
      <protection locked="true" hidden="false"/>
    </xf>
    <xf numFmtId="164" fontId="52" fillId="26" borderId="0" xfId="0" applyFont="true" applyBorder="false" applyAlignment="true" applyProtection="false">
      <alignment horizontal="left" vertical="center" textRotation="0" wrapText="false" indent="0" shrinkToFit="false"/>
      <protection locked="true" hidden="false"/>
    </xf>
    <xf numFmtId="175" fontId="49" fillId="26" borderId="0" xfId="0" applyFont="true" applyBorder="false" applyAlignment="true" applyProtection="false">
      <alignment horizontal="center" vertical="center" textRotation="0" wrapText="false" indent="0" shrinkToFit="false"/>
      <protection locked="true" hidden="false"/>
    </xf>
    <xf numFmtId="164" fontId="47" fillId="26" borderId="0" xfId="0" applyFont="true" applyBorder="false" applyAlignment="true" applyProtection="false">
      <alignment horizontal="left" vertical="center" textRotation="0" wrapText="false" indent="0" shrinkToFit="false"/>
      <protection locked="true" hidden="false"/>
    </xf>
    <xf numFmtId="164" fontId="51" fillId="27" borderId="0" xfId="0" applyFont="true" applyBorder="true" applyAlignment="true" applyProtection="false">
      <alignment horizontal="left" vertical="center" textRotation="0" wrapText="false" indent="0" shrinkToFit="false"/>
      <protection locked="true" hidden="false"/>
    </xf>
    <xf numFmtId="175" fontId="52" fillId="26" borderId="0" xfId="0" applyFont="true" applyBorder="false" applyAlignment="true" applyProtection="false">
      <alignment horizontal="center" vertical="center" textRotation="0" wrapText="false" indent="0" shrinkToFit="false"/>
      <protection locked="true" hidden="false"/>
    </xf>
    <xf numFmtId="164" fontId="51" fillId="27" borderId="0" xfId="0" applyFont="true" applyBorder="false" applyAlignment="true" applyProtection="false">
      <alignment horizontal="left" vertical="center" textRotation="0" wrapText="false" indent="0" shrinkToFit="false"/>
      <protection locked="true" hidden="false"/>
    </xf>
    <xf numFmtId="175" fontId="51" fillId="27" borderId="0" xfId="0" applyFont="true" applyBorder="false" applyAlignment="true" applyProtection="false">
      <alignment horizontal="center" vertical="center" textRotation="0" wrapText="false" indent="0" shrinkToFit="false"/>
      <protection locked="true" hidden="false"/>
    </xf>
    <xf numFmtId="164" fontId="47" fillId="27" borderId="0" xfId="0" applyFont="true" applyBorder="false" applyAlignment="true" applyProtection="false">
      <alignment horizontal="left" vertical="center" textRotation="0" wrapText="false" indent="0" shrinkToFit="false"/>
      <protection locked="true" hidden="false"/>
    </xf>
    <xf numFmtId="164" fontId="28" fillId="26" borderId="0" xfId="0" applyFont="true" applyBorder="false" applyAlignment="true" applyProtection="false">
      <alignment horizontal="left" vertical="center" textRotation="0" wrapText="false" indent="0" shrinkToFit="false"/>
      <protection locked="true" hidden="false"/>
    </xf>
    <xf numFmtId="181" fontId="45" fillId="26" borderId="0" xfId="0" applyFont="true" applyBorder="false" applyAlignment="true" applyProtection="false">
      <alignment horizontal="center" vertical="center" textRotation="0" wrapText="false" indent="0" shrinkToFit="false"/>
      <protection locked="true" hidden="false"/>
    </xf>
    <xf numFmtId="164" fontId="53" fillId="26" borderId="0" xfId="0" applyFont="true" applyBorder="false" applyAlignment="true" applyProtection="false">
      <alignment horizontal="left" vertical="center" textRotation="0" wrapText="false" indent="0" shrinkToFit="false"/>
      <protection locked="true" hidden="false"/>
    </xf>
    <xf numFmtId="175" fontId="53" fillId="26" borderId="0" xfId="0" applyFont="true" applyBorder="false" applyAlignment="true" applyProtection="false">
      <alignment horizontal="center" vertical="center" textRotation="0" wrapText="false" indent="0" shrinkToFit="false"/>
      <protection locked="true" hidden="false"/>
    </xf>
    <xf numFmtId="164" fontId="49" fillId="26" borderId="0" xfId="0" applyFont="true" applyBorder="false" applyAlignment="true" applyProtection="false">
      <alignment horizontal="left" vertical="center" textRotation="0" wrapText="false" indent="0" shrinkToFit="false"/>
      <protection locked="true" hidden="false"/>
    </xf>
    <xf numFmtId="175" fontId="54" fillId="26" borderId="0" xfId="0" applyFont="true" applyBorder="false" applyAlignment="true" applyProtection="false">
      <alignment horizontal="center" vertical="center" textRotation="0" wrapText="false" indent="0" shrinkToFit="false"/>
      <protection locked="true" hidden="false"/>
    </xf>
    <xf numFmtId="164" fontId="28" fillId="27" borderId="0" xfId="0" applyFont="true" applyBorder="false" applyAlignment="true" applyProtection="false">
      <alignment horizontal="left" vertical="center" textRotation="0" wrapText="false" indent="0" shrinkToFit="false"/>
      <protection locked="true" hidden="false"/>
    </xf>
    <xf numFmtId="175" fontId="49" fillId="27" borderId="0" xfId="0" applyFont="true" applyBorder="false" applyAlignment="true" applyProtection="false">
      <alignment horizontal="center" vertical="center" textRotation="0" wrapText="false" indent="0" shrinkToFit="false"/>
      <protection locked="true" hidden="false"/>
    </xf>
    <xf numFmtId="164" fontId="49" fillId="26" borderId="0" xfId="0" applyFont="true" applyBorder="true" applyAlignment="true" applyProtection="false">
      <alignment horizontal="left" vertical="center" textRotation="0" wrapText="true" indent="0" shrinkToFit="false"/>
      <protection locked="true" hidden="false"/>
    </xf>
    <xf numFmtId="164" fontId="47" fillId="26" borderId="0" xfId="0" applyFont="true" applyBorder="true" applyAlignment="true" applyProtection="false">
      <alignment horizontal="left" vertical="center" textRotation="0" wrapText="true" indent="0" shrinkToFit="false"/>
      <protection locked="true" hidden="false"/>
    </xf>
    <xf numFmtId="164" fontId="55" fillId="0" borderId="0" xfId="0" applyFont="true" applyBorder="false" applyAlignment="true" applyProtection="false">
      <alignment horizontal="general" vertical="bottom" textRotation="0" wrapText="false" indent="0" shrinkToFit="false"/>
      <protection locked="true" hidden="false"/>
    </xf>
    <xf numFmtId="169" fontId="55" fillId="0" borderId="0" xfId="0" applyFont="true" applyBorder="false" applyAlignment="true" applyProtection="false">
      <alignment horizontal="center" vertical="bottom" textRotation="0" wrapText="false" indent="0" shrinkToFit="false"/>
      <protection locked="true" hidden="false"/>
    </xf>
    <xf numFmtId="164" fontId="55" fillId="0" borderId="0" xfId="0" applyFont="true" applyBorder="false" applyAlignment="true" applyProtection="false">
      <alignment horizontal="center" vertical="bottom" textRotation="0" wrapText="false" indent="0" shrinkToFit="false"/>
      <protection locked="true" hidden="false"/>
    </xf>
    <xf numFmtId="171" fontId="0" fillId="0" borderId="0" xfId="0" applyFont="false" applyBorder="false" applyAlignment="true" applyProtection="false">
      <alignment horizontal="general" vertical="bottom" textRotation="0" wrapText="false" indent="0" shrinkToFit="false"/>
      <protection locked="true" hidden="false"/>
    </xf>
    <xf numFmtId="174" fontId="0" fillId="0" borderId="0" xfId="0" applyFont="false" applyBorder="false" applyAlignment="true" applyProtection="false">
      <alignment horizontal="general" vertical="bottom" textRotation="0" wrapText="false" indent="0" shrinkToFit="false"/>
      <protection locked="true" hidden="false"/>
    </xf>
    <xf numFmtId="164" fontId="56" fillId="0" borderId="0" xfId="0" applyFont="true" applyBorder="false" applyAlignment="true" applyProtection="false">
      <alignment horizontal="general" vertical="bottom" textRotation="0" wrapText="false" indent="0" shrinkToFit="false"/>
      <protection locked="true" hidden="false"/>
    </xf>
    <xf numFmtId="167" fontId="0" fillId="0" borderId="0" xfId="0" applyFont="false" applyBorder="false" applyAlignment="true" applyProtection="false">
      <alignment horizontal="general" vertical="bottom" textRotation="0" wrapText="false" indent="0" shrinkToFit="false"/>
      <protection locked="true" hidden="false"/>
    </xf>
    <xf numFmtId="164" fontId="57" fillId="19" borderId="0" xfId="0" applyFont="true" applyBorder="true" applyAlignment="true" applyProtection="false">
      <alignment horizontal="general" vertical="bottom" textRotation="0" wrapText="false" indent="0" shrinkToFit="false"/>
      <protection locked="true" hidden="false"/>
    </xf>
    <xf numFmtId="164" fontId="28" fillId="28" borderId="0" xfId="0" applyFont="true" applyBorder="false" applyAlignment="true" applyProtection="false">
      <alignment horizontal="center" vertical="center" textRotation="0" wrapText="true" indent="0" shrinkToFit="false"/>
      <protection locked="true" hidden="false"/>
    </xf>
    <xf numFmtId="167" fontId="29" fillId="0" borderId="0" xfId="0" applyFont="true" applyBorder="false" applyAlignment="true" applyProtection="false">
      <alignment horizontal="general" vertical="bottom" textRotation="0" wrapText="false" indent="0" shrinkToFit="false"/>
      <protection locked="true" hidden="false"/>
    </xf>
    <xf numFmtId="164" fontId="58" fillId="29" borderId="0" xfId="0" applyFont="true" applyBorder="false" applyAlignment="true" applyProtection="false">
      <alignment horizontal="center" vertical="center" textRotation="0" wrapText="true" indent="0" shrinkToFit="false"/>
      <protection locked="true" hidden="false"/>
    </xf>
    <xf numFmtId="164" fontId="48" fillId="19" borderId="0" xfId="0" applyFont="true" applyBorder="true" applyAlignment="true" applyProtection="false">
      <alignment horizontal="general" vertical="bottom" textRotation="0" wrapText="false" indent="0" shrinkToFit="false"/>
      <protection locked="true" hidden="false"/>
    </xf>
    <xf numFmtId="164" fontId="28" fillId="28" borderId="0" xfId="0" applyFont="true" applyBorder="false" applyAlignment="true" applyProtection="false">
      <alignment horizontal="general" vertical="bottom" textRotation="0" wrapText="false" indent="0" shrinkToFit="false"/>
      <protection locked="true" hidden="false"/>
    </xf>
    <xf numFmtId="175" fontId="29" fillId="0" borderId="0" xfId="0" applyFont="true" applyBorder="false" applyAlignment="true" applyProtection="false">
      <alignment horizontal="general" vertical="bottom" textRotation="0" wrapText="false" indent="0" shrinkToFit="false"/>
      <protection locked="true" hidden="false"/>
    </xf>
    <xf numFmtId="175" fontId="59" fillId="0" borderId="0" xfId="0" applyFont="true" applyBorder="false" applyAlignment="true" applyProtection="false">
      <alignment horizontal="general" vertical="bottom" textRotation="0" wrapText="false" indent="0" shrinkToFit="false"/>
      <protection locked="true" hidden="false"/>
    </xf>
    <xf numFmtId="167" fontId="58" fillId="29" borderId="0" xfId="0" applyFont="true" applyBorder="false" applyAlignment="true" applyProtection="false">
      <alignment horizontal="general" vertical="bottom" textRotation="0" wrapText="false" indent="0" shrinkToFit="false"/>
      <protection locked="true" hidden="false"/>
    </xf>
    <xf numFmtId="168" fontId="29" fillId="0" borderId="0" xfId="0" applyFont="true" applyBorder="false" applyAlignment="true" applyProtection="false">
      <alignment horizontal="general" vertical="bottom" textRotation="0" wrapText="false" indent="0" shrinkToFit="false"/>
      <protection locked="true" hidden="false"/>
    </xf>
    <xf numFmtId="168" fontId="55" fillId="0" borderId="0" xfId="0" applyFont="true" applyBorder="false" applyAlignment="true" applyProtection="false">
      <alignment horizontal="general" vertical="bottom" textRotation="0" wrapText="false" indent="0" shrinkToFit="false"/>
      <protection locked="true" hidden="false"/>
    </xf>
    <xf numFmtId="168" fontId="59" fillId="0" borderId="0" xfId="0" applyFont="true" applyBorder="false" applyAlignment="true" applyProtection="false">
      <alignment horizontal="general" vertical="bottom" textRotation="0" wrapText="false" indent="0" shrinkToFit="false"/>
      <protection locked="true" hidden="false"/>
    </xf>
    <xf numFmtId="164" fontId="57" fillId="30" borderId="0" xfId="0" applyFont="true" applyBorder="true" applyAlignment="true" applyProtection="false">
      <alignment horizontal="general" vertical="bottom" textRotation="0" wrapText="false" indent="0" shrinkToFit="false"/>
      <protection locked="true" hidden="false"/>
    </xf>
    <xf numFmtId="170" fontId="0" fillId="0" borderId="0" xfId="0" applyFont="false" applyBorder="false" applyAlignment="true" applyProtection="false">
      <alignment horizontal="general" vertical="bottom" textRotation="0" wrapText="false" indent="0" shrinkToFit="false"/>
      <protection locked="true" hidden="false"/>
    </xf>
    <xf numFmtId="164" fontId="60" fillId="0" borderId="0" xfId="0" applyFont="true" applyBorder="false" applyAlignment="true" applyProtection="false">
      <alignment horizontal="general" vertical="bottom" textRotation="0" wrapText="false" indent="0" shrinkToFit="false"/>
      <protection locked="true" hidden="false"/>
    </xf>
    <xf numFmtId="175" fontId="55" fillId="0" borderId="0" xfId="0" applyFont="true" applyBorder="false" applyAlignment="true" applyProtection="false">
      <alignment horizontal="general" vertical="bottom" textRotation="0" wrapText="false" indent="0" shrinkToFit="false"/>
      <protection locked="true" hidden="false"/>
    </xf>
    <xf numFmtId="164" fontId="57" fillId="29" borderId="0" xfId="0" applyFont="true" applyBorder="false" applyAlignment="true" applyProtection="false">
      <alignment horizontal="general" vertical="bottom" textRotation="0" wrapText="false" indent="0" shrinkToFit="false"/>
      <protection locked="true" hidden="false"/>
    </xf>
    <xf numFmtId="175" fontId="61" fillId="29" borderId="0" xfId="0" applyFont="true" applyBorder="false" applyAlignment="true" applyProtection="false">
      <alignment horizontal="general" vertical="bottom" textRotation="0" wrapText="false" indent="0" shrinkToFit="false"/>
      <protection locked="true" hidden="false"/>
    </xf>
    <xf numFmtId="175" fontId="30" fillId="0" borderId="0" xfId="0" applyFont="true" applyBorder="false" applyAlignment="true" applyProtection="false">
      <alignment horizontal="general" vertical="bottom" textRotation="0" wrapText="false" indent="0" shrinkToFit="false"/>
      <protection locked="true" hidden="false"/>
    </xf>
    <xf numFmtId="169" fontId="62" fillId="0" borderId="0" xfId="0" applyFont="true" applyBorder="false" applyAlignment="true" applyProtection="false">
      <alignment horizontal="general" vertical="bottom" textRotation="0" wrapText="false" indent="0" shrinkToFit="false"/>
      <protection locked="true" hidden="false"/>
    </xf>
    <xf numFmtId="164" fontId="63" fillId="0" borderId="0" xfId="0" applyFont="true" applyBorder="false" applyAlignment="true" applyProtection="false">
      <alignment horizontal="general" vertical="bottom" textRotation="0" wrapText="false" indent="0" shrinkToFit="false"/>
      <protection locked="true" hidden="false"/>
    </xf>
    <xf numFmtId="168" fontId="63" fillId="0" borderId="0" xfId="0" applyFont="true" applyBorder="false" applyAlignment="true" applyProtection="false">
      <alignment horizontal="general" vertical="bottom" textRotation="0" wrapText="false" indent="0" shrinkToFit="false"/>
      <protection locked="true" hidden="false"/>
    </xf>
    <xf numFmtId="164" fontId="64" fillId="30" borderId="0" xfId="0" applyFont="true" applyBorder="true" applyAlignment="true" applyProtection="false">
      <alignment horizontal="general" vertical="bottom" textRotation="0" wrapText="false" indent="0" shrinkToFit="false"/>
      <protection locked="true" hidden="false"/>
    </xf>
    <xf numFmtId="164" fontId="58" fillId="29" borderId="0" xfId="0" applyFont="true" applyBorder="false" applyAlignment="true" applyProtection="false">
      <alignment horizontal="general" vertical="bottom" textRotation="0" wrapText="false" indent="0" shrinkToFit="false"/>
      <protection locked="true" hidden="false"/>
    </xf>
    <xf numFmtId="164" fontId="64" fillId="30" borderId="0" xfId="0" applyFont="true" applyBorder="false" applyAlignment="true" applyProtection="false">
      <alignment horizontal="general" vertical="bottom" textRotation="0" wrapText="false" indent="0" shrinkToFit="false"/>
      <protection locked="true" hidden="false"/>
    </xf>
    <xf numFmtId="175" fontId="65" fillId="30" borderId="0" xfId="0" applyFont="true" applyBorder="false" applyAlignment="true" applyProtection="false">
      <alignment horizontal="general" vertical="bottom" textRotation="0" wrapText="false" indent="0" shrinkToFit="false"/>
      <protection locked="true" hidden="false"/>
    </xf>
    <xf numFmtId="164" fontId="60" fillId="30" borderId="0" xfId="0" applyFont="true" applyBorder="true" applyAlignment="true" applyProtection="false">
      <alignment horizontal="general" vertical="bottom" textRotation="0" wrapText="false" indent="0" shrinkToFit="false"/>
      <protection locked="true" hidden="false"/>
    </xf>
    <xf numFmtId="182" fontId="0" fillId="0" borderId="0" xfId="0" applyFont="false" applyBorder="false" applyAlignment="true" applyProtection="false">
      <alignment horizontal="general" vertical="bottom" textRotation="0" wrapText="false" indent="0" shrinkToFit="false"/>
      <protection locked="true" hidden="false"/>
    </xf>
    <xf numFmtId="168" fontId="58" fillId="29" borderId="0" xfId="0" applyFont="true" applyBorder="false" applyAlignment="true" applyProtection="false">
      <alignment horizontal="general" vertical="bottom" textRotation="0" wrapText="false" indent="0" shrinkToFit="false"/>
      <protection locked="true" hidden="false"/>
    </xf>
    <xf numFmtId="168" fontId="66" fillId="0" borderId="0" xfId="0" applyFont="true" applyBorder="false" applyAlignment="true" applyProtection="false">
      <alignment horizontal="general" vertical="bottom" textRotation="0" wrapText="false" indent="0" shrinkToFit="false"/>
      <protection locked="true" hidden="false"/>
    </xf>
    <xf numFmtId="172" fontId="0" fillId="0" borderId="0" xfId="0" applyFont="false" applyBorder="false" applyAlignment="true" applyProtection="false">
      <alignment horizontal="general" vertical="bottom" textRotation="0" wrapText="false" indent="0" shrinkToFit="false"/>
      <protection locked="true" hidden="false"/>
    </xf>
    <xf numFmtId="168" fontId="67" fillId="0" borderId="0" xfId="0" applyFont="true" applyBorder="false" applyAlignment="true" applyProtection="false">
      <alignment horizontal="general" vertical="bottom" textRotation="0" wrapText="false" indent="0" shrinkToFit="false"/>
      <protection locked="true" hidden="false"/>
    </xf>
    <xf numFmtId="170" fontId="65" fillId="30" borderId="0" xfId="0" applyFont="true" applyBorder="false" applyAlignment="true" applyProtection="false">
      <alignment horizontal="general" vertical="bottom" textRotation="0" wrapText="false" indent="0" shrinkToFit="false"/>
      <protection locked="true" hidden="false"/>
    </xf>
    <xf numFmtId="173" fontId="61" fillId="0" borderId="0" xfId="0" applyFont="true" applyBorder="false" applyAlignment="true" applyProtection="false">
      <alignment horizontal="general" vertical="bottom" textRotation="0" wrapText="false" indent="0" shrinkToFit="false"/>
      <protection locked="true" hidden="false"/>
    </xf>
    <xf numFmtId="173" fontId="0" fillId="0" borderId="0" xfId="0" applyFont="false" applyBorder="false" applyAlignment="true" applyProtection="false">
      <alignment horizontal="general" vertical="bottom" textRotation="0" wrapText="false" indent="0" shrinkToFit="false"/>
      <protection locked="true" hidden="false"/>
    </xf>
    <xf numFmtId="183" fontId="0" fillId="0" borderId="0" xfId="0" applyFont="false" applyBorder="false" applyAlignment="true" applyProtection="false">
      <alignment horizontal="general" vertical="bottom" textRotation="0" wrapText="false" indent="0" shrinkToFit="false"/>
      <protection locked="true" hidden="false"/>
    </xf>
    <xf numFmtId="168" fontId="68" fillId="0" borderId="0" xfId="0" applyFont="true" applyBorder="false" applyAlignment="true" applyProtection="false">
      <alignment horizontal="general" vertical="bottom" textRotation="0" wrapText="false" indent="0" shrinkToFit="false"/>
      <protection locked="true" hidden="false"/>
    </xf>
    <xf numFmtId="164" fontId="26" fillId="0" borderId="0" xfId="0" applyFont="true" applyBorder="false" applyAlignment="true" applyProtection="false">
      <alignment horizontal="left" vertical="top" textRotation="0" wrapText="true" indent="0" shrinkToFit="false"/>
      <protection locked="true" hidden="false"/>
    </xf>
    <xf numFmtId="164" fontId="29" fillId="0" borderId="0" xfId="0" applyFont="true" applyBorder="false" applyAlignment="true" applyProtection="false">
      <alignment horizontal="left" vertical="top" textRotation="0" wrapText="true" indent="0" shrinkToFit="false"/>
      <protection locked="true" hidden="false"/>
    </xf>
    <xf numFmtId="164" fontId="29" fillId="0" borderId="0" xfId="0" applyFont="true" applyBorder="true" applyAlignment="true" applyProtection="false">
      <alignment horizontal="left" vertical="top" textRotation="0" wrapText="true" indent="0" shrinkToFit="false"/>
      <protection locked="true" hidden="false"/>
    </xf>
    <xf numFmtId="164" fontId="48" fillId="30" borderId="0" xfId="0" applyFont="true" applyBorder="true" applyAlignment="true" applyProtection="false">
      <alignment horizontal="general" vertical="bottom" textRotation="0" wrapText="false" indent="0" shrinkToFit="false"/>
      <protection locked="true" hidden="false"/>
    </xf>
    <xf numFmtId="168" fontId="29" fillId="0" borderId="0" xfId="0" applyFont="true" applyBorder="false" applyAlignment="true" applyProtection="false">
      <alignment horizontal="left" vertical="top" textRotation="0" wrapText="true" indent="0" shrinkToFit="false"/>
      <protection locked="true" hidden="false"/>
    </xf>
    <xf numFmtId="168" fontId="57" fillId="0" borderId="0" xfId="0" applyFont="true" applyBorder="false" applyAlignment="true" applyProtection="false">
      <alignment horizontal="general" vertical="bottom" textRotation="0" wrapText="false" indent="0" shrinkToFit="false"/>
      <protection locked="true" hidden="false"/>
    </xf>
    <xf numFmtId="164" fontId="69" fillId="0" borderId="0" xfId="0" applyFont="true" applyBorder="false" applyAlignment="true" applyProtection="false">
      <alignment horizontal="left" vertical="top" textRotation="0" wrapText="true" indent="0" shrinkToFit="false"/>
      <protection locked="true" hidden="false"/>
    </xf>
    <xf numFmtId="164" fontId="48" fillId="0" borderId="0" xfId="0" applyFont="true" applyBorder="true" applyAlignment="true" applyProtection="false">
      <alignment horizontal="general" vertical="bottom" textRotation="0" wrapText="false" indent="0" shrinkToFit="false"/>
      <protection locked="true" hidden="false"/>
    </xf>
    <xf numFmtId="164" fontId="0" fillId="19" borderId="0" xfId="0" applyFont="false" applyBorder="false" applyAlignment="true" applyProtection="false">
      <alignment horizontal="general" vertical="bottom" textRotation="0" wrapText="false" indent="0" shrinkToFit="false"/>
      <protection locked="true" hidden="false"/>
    </xf>
    <xf numFmtId="164" fontId="70" fillId="19" borderId="0" xfId="0" applyFont="true" applyBorder="true" applyAlignment="true" applyProtection="false">
      <alignment horizontal="general" vertical="bottom" textRotation="0" wrapText="false" indent="0" shrinkToFit="false"/>
      <protection locked="true" hidden="false"/>
    </xf>
    <xf numFmtId="164" fontId="71" fillId="19" borderId="0" xfId="0" applyFont="true" applyBorder="true" applyAlignment="true" applyProtection="false">
      <alignment horizontal="general" vertical="bottom" textRotation="0" wrapText="false" indent="0" shrinkToFit="false"/>
      <protection locked="true" hidden="false"/>
    </xf>
    <xf numFmtId="164" fontId="72" fillId="31" borderId="0" xfId="0" applyFont="true" applyBorder="true" applyAlignment="true" applyProtection="false">
      <alignment horizontal="left" vertical="center" textRotation="0" wrapText="false" indent="1" shrinkToFit="false"/>
      <protection locked="true" hidden="false"/>
    </xf>
    <xf numFmtId="164" fontId="8" fillId="20" borderId="10" xfId="0" applyFont="true" applyBorder="true" applyAlignment="true" applyProtection="false">
      <alignment horizontal="center" vertical="center" textRotation="0" wrapText="true" indent="0" shrinkToFit="false"/>
      <protection locked="true" hidden="false"/>
    </xf>
    <xf numFmtId="164" fontId="73" fillId="26" borderId="10" xfId="0" applyFont="true" applyBorder="true" applyAlignment="true" applyProtection="false">
      <alignment horizontal="left" vertical="top" textRotation="0" wrapText="true" indent="0" shrinkToFit="false"/>
      <protection locked="true" hidden="false"/>
    </xf>
    <xf numFmtId="164" fontId="74" fillId="26" borderId="10" xfId="0" applyFont="true" applyBorder="true" applyAlignment="true" applyProtection="false">
      <alignment horizontal="left" vertical="top" textRotation="0" wrapText="true" indent="0" shrinkToFit="false"/>
      <protection locked="true" hidden="false"/>
    </xf>
    <xf numFmtId="164" fontId="45" fillId="26" borderId="10" xfId="0" applyFont="true" applyBorder="true" applyAlignment="true" applyProtection="false">
      <alignment horizontal="left" vertical="top" textRotation="0" wrapText="true" indent="0" shrinkToFit="false"/>
      <protection locked="true" hidden="false"/>
    </xf>
    <xf numFmtId="164" fontId="73" fillId="32" borderId="10" xfId="0" applyFont="true" applyBorder="true" applyAlignment="true" applyProtection="false">
      <alignment horizontal="left" vertical="top" textRotation="0" wrapText="true" indent="0" shrinkToFit="false"/>
      <protection locked="true" hidden="false"/>
    </xf>
    <xf numFmtId="164" fontId="74" fillId="32" borderId="10" xfId="0" applyFont="true" applyBorder="true" applyAlignment="true" applyProtection="false">
      <alignment horizontal="left" vertical="top" textRotation="0" wrapText="true" indent="0" shrinkToFit="false"/>
      <protection locked="true" hidden="false"/>
    </xf>
    <xf numFmtId="164" fontId="45" fillId="32" borderId="10" xfId="0" applyFont="true" applyBorder="true" applyAlignment="true" applyProtection="false">
      <alignment horizontal="left" vertical="top" textRotation="0" wrapText="true" indent="0" shrinkToFit="false"/>
      <protection locked="true" hidden="false"/>
    </xf>
    <xf numFmtId="164" fontId="72" fillId="31" borderId="0" xfId="0" applyFont="true" applyBorder="true" applyAlignment="true" applyProtection="false">
      <alignment horizontal="left" vertical="center" textRotation="0" wrapText="true" indent="0" shrinkToFit="false"/>
      <protection locked="true" hidden="false"/>
    </xf>
    <xf numFmtId="164" fontId="8" fillId="20" borderId="0" xfId="0" applyFont="true" applyBorder="false" applyAlignment="true" applyProtection="false">
      <alignment horizontal="center" vertical="center" textRotation="0" wrapText="false" indent="0" shrinkToFit="false"/>
      <protection locked="true" hidden="false"/>
    </xf>
    <xf numFmtId="164" fontId="8" fillId="20" borderId="0" xfId="0" applyFont="true" applyBorder="false" applyAlignment="true" applyProtection="false">
      <alignment horizontal="left" vertical="center" textRotation="0" wrapText="true" indent="0" shrinkToFit="false"/>
      <protection locked="true" hidden="false"/>
    </xf>
    <xf numFmtId="164" fontId="73" fillId="32" borderId="0" xfId="0" applyFont="true" applyBorder="false" applyAlignment="true" applyProtection="false">
      <alignment horizontal="left" vertical="center" textRotation="0" wrapText="true" indent="0" shrinkToFit="false"/>
      <protection locked="true" hidden="false"/>
    </xf>
    <xf numFmtId="164" fontId="74" fillId="32" borderId="0" xfId="0" applyFont="true" applyBorder="false" applyAlignment="true" applyProtection="false">
      <alignment horizontal="left" vertical="center" textRotation="0" wrapText="true" indent="0" shrinkToFit="false"/>
      <protection locked="true" hidden="false"/>
    </xf>
    <xf numFmtId="164" fontId="45" fillId="32" borderId="0" xfId="0" applyFont="true" applyBorder="false" applyAlignment="true" applyProtection="false">
      <alignment horizontal="left" vertical="center" textRotation="0" wrapText="true" indent="0" shrinkToFit="false"/>
      <protection locked="true" hidden="false"/>
    </xf>
    <xf numFmtId="164" fontId="72" fillId="31" borderId="0" xfId="0" applyFont="true" applyBorder="false" applyAlignment="true" applyProtection="false">
      <alignment horizontal="left" vertical="center" textRotation="0" wrapText="true" indent="0" shrinkToFit="false"/>
      <protection locked="true" hidden="false"/>
    </xf>
    <xf numFmtId="164" fontId="48" fillId="20" borderId="0" xfId="0" applyFont="true" applyBorder="false" applyAlignment="true" applyProtection="false">
      <alignment horizontal="center" vertical="center" textRotation="0" wrapText="false" indent="0" shrinkToFit="false"/>
      <protection locked="true" hidden="false"/>
    </xf>
    <xf numFmtId="164" fontId="48" fillId="20" borderId="0" xfId="0" applyFont="true" applyBorder="false" applyAlignment="true" applyProtection="false">
      <alignment horizontal="general" vertical="bottom" textRotation="0" wrapText="false" indent="0" shrinkToFit="false"/>
      <protection locked="true" hidden="false"/>
    </xf>
    <xf numFmtId="164" fontId="75" fillId="32" borderId="0" xfId="0" applyFont="true" applyBorder="false" applyAlignment="true" applyProtection="false">
      <alignment horizontal="center" vertical="center" textRotation="0" wrapText="false" indent="0" shrinkToFit="false"/>
      <protection locked="true" hidden="false"/>
    </xf>
    <xf numFmtId="164" fontId="75" fillId="32" borderId="0" xfId="0" applyFont="true" applyBorder="false" applyAlignment="true" applyProtection="false">
      <alignment horizontal="left" vertical="center" textRotation="0" wrapText="true" indent="0" shrinkToFit="false"/>
      <protection locked="true" hidden="false"/>
    </xf>
    <xf numFmtId="164" fontId="76" fillId="32" borderId="0" xfId="0" applyFont="true" applyBorder="false" applyAlignment="true" applyProtection="false">
      <alignment horizontal="left" vertical="center" textRotation="0" wrapText="true" indent="0" shrinkToFit="false"/>
      <protection locked="true" hidden="false"/>
    </xf>
    <xf numFmtId="164" fontId="60" fillId="32" borderId="0" xfId="0" applyFont="true" applyBorder="false" applyAlignment="true" applyProtection="false">
      <alignment horizontal="center" vertical="center" textRotation="0" wrapText="false" indent="0" shrinkToFit="false"/>
      <protection locked="true" hidden="false"/>
    </xf>
    <xf numFmtId="164" fontId="72" fillId="31" borderId="0" xfId="0" applyFont="true" applyBorder="false" applyAlignment="true" applyProtection="false">
      <alignment horizontal="left" vertical="center" textRotation="0" wrapText="false" indent="0" shrinkToFit="false"/>
      <protection locked="true" hidden="false"/>
    </xf>
    <xf numFmtId="164" fontId="75" fillId="33" borderId="0" xfId="0" applyFont="true" applyBorder="false" applyAlignment="true" applyProtection="false">
      <alignment horizontal="center" vertical="center" textRotation="0" wrapText="true" indent="0" shrinkToFit="false"/>
      <protection locked="true" hidden="false"/>
    </xf>
    <xf numFmtId="164" fontId="75" fillId="33" borderId="0" xfId="0" applyFont="true" applyBorder="false" applyAlignment="true" applyProtection="false">
      <alignment horizontal="left" vertical="center" textRotation="0" wrapText="true" indent="0" shrinkToFit="false"/>
      <protection locked="true" hidden="false"/>
    </xf>
    <xf numFmtId="164" fontId="76" fillId="33" borderId="0" xfId="0" applyFont="true" applyBorder="false" applyAlignment="true" applyProtection="false">
      <alignment horizontal="left" vertical="center" textRotation="0" wrapText="true" indent="0" shrinkToFit="false"/>
      <protection locked="true" hidden="false"/>
    </xf>
    <xf numFmtId="164" fontId="60" fillId="33" borderId="0" xfId="0" applyFont="true" applyBorder="false" applyAlignment="true" applyProtection="false">
      <alignment horizontal="center" vertical="center" textRotation="0" wrapText="true" indent="0" shrinkToFit="false"/>
      <protection locked="true" hidden="false"/>
    </xf>
    <xf numFmtId="164" fontId="72" fillId="17" borderId="0" xfId="0" applyFont="true" applyBorder="false" applyAlignment="true" applyProtection="false">
      <alignment horizontal="left" vertical="center" textRotation="0" wrapText="true" indent="0" shrinkToFit="false"/>
      <protection locked="true" hidden="false"/>
    </xf>
    <xf numFmtId="164" fontId="48" fillId="20" borderId="0" xfId="0" applyFont="true" applyBorder="false" applyAlignment="true" applyProtection="false">
      <alignment horizontal="center" vertical="center" textRotation="0" wrapText="true" indent="0" shrinkToFit="false"/>
      <protection locked="true" hidden="false"/>
    </xf>
    <xf numFmtId="164" fontId="60" fillId="19" borderId="0" xfId="0" applyFont="true" applyBorder="false" applyAlignment="true" applyProtection="false">
      <alignment horizontal="general" vertical="bottom" textRotation="0" wrapText="false" indent="0" shrinkToFit="false"/>
      <protection locked="true" hidden="false"/>
    </xf>
    <xf numFmtId="164" fontId="29" fillId="0" borderId="0" xfId="0" applyFont="true" applyBorder="false" applyAlignment="true" applyProtection="false">
      <alignment horizontal="general" vertical="top" textRotation="0" wrapText="true" indent="0" shrinkToFit="false"/>
      <protection locked="true" hidden="false"/>
    </xf>
    <xf numFmtId="164" fontId="60" fillId="30" borderId="0" xfId="0" applyFont="true" applyBorder="false" applyAlignment="true" applyProtection="false">
      <alignment horizontal="general" vertical="bottom" textRotation="0" wrapText="false" indent="0" shrinkToFit="false"/>
      <protection locked="true" hidden="false"/>
    </xf>
    <xf numFmtId="177" fontId="29" fillId="0" borderId="0" xfId="0" applyFont="true" applyBorder="false" applyAlignment="true" applyProtection="false">
      <alignment horizontal="center" vertical="bottom" textRotation="0" wrapText="false" indent="0" shrinkToFit="false"/>
      <protection locked="true" hidden="false"/>
    </xf>
    <xf numFmtId="167" fontId="29" fillId="0" borderId="0" xfId="0" applyFont="true" applyBorder="false" applyAlignment="true" applyProtection="false">
      <alignment horizontal="center" vertical="bottom" textRotation="0" wrapText="false" indent="0" shrinkToFit="false"/>
      <protection locked="true" hidden="false"/>
    </xf>
    <xf numFmtId="177" fontId="29" fillId="0" borderId="11" xfId="0" applyFont="true" applyBorder="true" applyAlignment="true" applyProtection="false">
      <alignment horizontal="general" vertical="bottom" textRotation="0" wrapText="false" indent="0" shrinkToFit="false"/>
      <protection locked="true" hidden="false"/>
    </xf>
    <xf numFmtId="177" fontId="26" fillId="0" borderId="11" xfId="0" applyFont="true" applyBorder="true" applyAlignment="true" applyProtection="false">
      <alignment horizontal="general" vertical="bottom" textRotation="0" wrapText="false" indent="0" shrinkToFit="false"/>
      <protection locked="true" hidden="false"/>
    </xf>
    <xf numFmtId="177" fontId="29" fillId="0" borderId="0" xfId="0" applyFont="true" applyBorder="false" applyAlignment="true" applyProtection="false">
      <alignment horizontal="general" vertical="bottom" textRotation="0" wrapText="false" indent="0" shrinkToFit="false"/>
      <protection locked="true" hidden="false"/>
    </xf>
    <xf numFmtId="177" fontId="26" fillId="0" borderId="0" xfId="0" applyFont="true" applyBorder="false" applyAlignment="true" applyProtection="false">
      <alignment horizontal="general" vertical="bottom" textRotation="0" wrapText="false" indent="0" shrinkToFit="false"/>
      <protection locked="true" hidden="false"/>
    </xf>
    <xf numFmtId="177" fontId="29" fillId="15" borderId="12" xfId="0" applyFont="true" applyBorder="true" applyAlignment="true" applyProtection="false">
      <alignment horizontal="general" vertical="bottom" textRotation="0" wrapText="false" indent="0" shrinkToFit="false"/>
      <protection locked="true" hidden="false"/>
    </xf>
    <xf numFmtId="177" fontId="29" fillId="15" borderId="13" xfId="0" applyFont="true" applyBorder="true" applyAlignment="true" applyProtection="false">
      <alignment horizontal="general" vertical="bottom" textRotation="0" wrapText="false" indent="0" shrinkToFit="false"/>
      <protection locked="true" hidden="false"/>
    </xf>
    <xf numFmtId="177" fontId="29" fillId="0" borderId="0" xfId="0" applyFont="true" applyBorder="false" applyAlignment="true" applyProtection="false">
      <alignment horizontal="left" vertical="bottom" textRotation="0" wrapText="false" indent="0" shrinkToFit="false"/>
      <protection locked="true" hidden="false"/>
    </xf>
    <xf numFmtId="177" fontId="77" fillId="15" borderId="13" xfId="0" applyFont="true" applyBorder="true" applyAlignment="true" applyProtection="false">
      <alignment horizontal="general" vertical="bottom" textRotation="0" wrapText="false" indent="0" shrinkToFit="false"/>
      <protection locked="true" hidden="false"/>
    </xf>
    <xf numFmtId="177" fontId="78" fillId="0" borderId="0" xfId="0" applyFont="true" applyBorder="false" applyAlignment="true" applyProtection="false">
      <alignment horizontal="general" vertical="bottom" textRotation="0" wrapText="false" indent="0" shrinkToFit="false"/>
      <protection locked="true" hidden="false"/>
    </xf>
    <xf numFmtId="177" fontId="29" fillId="34" borderId="13" xfId="0" applyFont="true" applyBorder="true" applyAlignment="true" applyProtection="false">
      <alignment horizontal="center" vertical="bottom" textRotation="0" wrapText="false" indent="0" shrinkToFit="false"/>
      <protection locked="true" hidden="false"/>
    </xf>
    <xf numFmtId="177" fontId="81" fillId="0" borderId="0" xfId="0" applyFont="true" applyBorder="false" applyAlignment="true" applyProtection="false">
      <alignment horizontal="left" vertical="bottom" textRotation="0" wrapText="false" indent="0" shrinkToFit="false"/>
      <protection locked="true" hidden="false"/>
    </xf>
    <xf numFmtId="177" fontId="26" fillId="0" borderId="0" xfId="0" applyFont="true" applyBorder="false" applyAlignment="true" applyProtection="false">
      <alignment horizontal="left" vertical="bottom" textRotation="0" wrapText="false" indent="0" shrinkToFit="false"/>
      <protection locked="true" hidden="false"/>
    </xf>
    <xf numFmtId="177" fontId="26" fillId="0" borderId="0" xfId="0" applyFont="true" applyBorder="false" applyAlignment="true" applyProtection="false">
      <alignment horizontal="center" vertical="bottom" textRotation="0" wrapText="false" indent="0" shrinkToFit="false"/>
      <protection locked="true" hidden="false"/>
    </xf>
    <xf numFmtId="177" fontId="29" fillId="0" borderId="13" xfId="0" applyFont="true" applyBorder="true" applyAlignment="true" applyProtection="false">
      <alignment horizontal="left" vertical="bottom" textRotation="0" wrapText="false" indent="0" shrinkToFit="false"/>
      <protection locked="true" hidden="false"/>
    </xf>
    <xf numFmtId="177" fontId="29" fillId="15" borderId="13" xfId="0" applyFont="true" applyBorder="true" applyAlignment="true" applyProtection="false">
      <alignment horizontal="center" vertical="bottom" textRotation="0" wrapText="false" indent="0" shrinkToFit="false"/>
      <protection locked="true" hidden="false"/>
    </xf>
    <xf numFmtId="176" fontId="26" fillId="15" borderId="13" xfId="0" applyFont="true" applyBorder="true" applyAlignment="true" applyProtection="false">
      <alignment horizontal="center" vertical="bottom" textRotation="0" wrapText="false" indent="0" shrinkToFit="false"/>
      <protection locked="true" hidden="false"/>
    </xf>
    <xf numFmtId="177" fontId="26" fillId="34" borderId="14" xfId="0" applyFont="true" applyBorder="true" applyAlignment="true" applyProtection="false">
      <alignment horizontal="center" vertical="bottom" textRotation="0" wrapText="false" indent="0" shrinkToFit="false"/>
      <protection locked="true" hidden="false"/>
    </xf>
    <xf numFmtId="177" fontId="29" fillId="0" borderId="15" xfId="0" applyFont="true" applyBorder="true" applyAlignment="true" applyProtection="false">
      <alignment horizontal="left" vertical="bottom" textRotation="0" wrapText="false" indent="0" shrinkToFit="false"/>
      <protection locked="true" hidden="false"/>
    </xf>
    <xf numFmtId="177" fontId="29" fillId="0" borderId="16" xfId="0" applyFont="true" applyBorder="true" applyAlignment="true" applyProtection="false">
      <alignment horizontal="center" vertical="bottom" textRotation="0" wrapText="false" indent="0" shrinkToFit="false"/>
      <protection locked="true" hidden="false"/>
    </xf>
    <xf numFmtId="177" fontId="26" fillId="34" borderId="17" xfId="0" applyFont="true" applyBorder="true" applyAlignment="true" applyProtection="false">
      <alignment horizontal="center" vertical="bottom" textRotation="0" wrapText="false" indent="0" shrinkToFit="false"/>
      <protection locked="true" hidden="false"/>
    </xf>
    <xf numFmtId="177" fontId="29" fillId="0" borderId="18" xfId="0" applyFont="true" applyBorder="true" applyAlignment="true" applyProtection="false">
      <alignment horizontal="center" vertical="bottom" textRotation="0" wrapText="false" indent="0" shrinkToFit="false"/>
      <protection locked="true" hidden="false"/>
    </xf>
    <xf numFmtId="174" fontId="26" fillId="15" borderId="13" xfId="0" applyFont="true" applyBorder="true" applyAlignment="true" applyProtection="false">
      <alignment horizontal="center" vertical="bottom" textRotation="0" wrapText="false" indent="0" shrinkToFit="false"/>
      <protection locked="true" hidden="false"/>
    </xf>
    <xf numFmtId="179" fontId="26" fillId="34" borderId="17" xfId="0" applyFont="true" applyBorder="true" applyAlignment="true" applyProtection="false">
      <alignment horizontal="center" vertical="bottom" textRotation="0" wrapText="false" indent="0" shrinkToFit="false"/>
      <protection locked="true" hidden="false"/>
    </xf>
    <xf numFmtId="177" fontId="26" fillId="34" borderId="19" xfId="0" applyFont="true" applyBorder="true" applyAlignment="true" applyProtection="false">
      <alignment horizontal="center" vertical="bottom" textRotation="0" wrapText="false" indent="0" shrinkToFit="false"/>
      <protection locked="true" hidden="false"/>
    </xf>
    <xf numFmtId="177" fontId="28" fillId="28" borderId="11" xfId="0" applyFont="true" applyBorder="true" applyAlignment="true" applyProtection="false">
      <alignment horizontal="left" vertical="bottom" textRotation="0" wrapText="false" indent="0" shrinkToFit="false"/>
      <protection locked="true" hidden="false"/>
    </xf>
    <xf numFmtId="177" fontId="28" fillId="28" borderId="20" xfId="0" applyFont="true" applyBorder="true" applyAlignment="true" applyProtection="false">
      <alignment horizontal="center" vertical="bottom" textRotation="0" wrapText="false" indent="0" shrinkToFit="false"/>
      <protection locked="true" hidden="false"/>
    </xf>
    <xf numFmtId="177" fontId="29" fillId="0" borderId="12" xfId="0" applyFont="true" applyBorder="true" applyAlignment="true" applyProtection="false">
      <alignment horizontal="left" vertical="bottom" textRotation="0" wrapText="false" indent="0" shrinkToFit="false"/>
      <protection locked="true" hidden="false"/>
    </xf>
    <xf numFmtId="177" fontId="29" fillId="0" borderId="12" xfId="0" applyFont="true" applyBorder="true" applyAlignment="true" applyProtection="false">
      <alignment horizontal="center" vertical="bottom" textRotation="0" wrapText="false" indent="0" shrinkToFit="false"/>
      <protection locked="true" hidden="false"/>
    </xf>
    <xf numFmtId="177" fontId="29" fillId="0" borderId="13" xfId="0" applyFont="true" applyBorder="true" applyAlignment="true" applyProtection="false">
      <alignment horizontal="center" vertical="bottom" textRotation="0" wrapText="false" indent="0" shrinkToFit="false"/>
      <protection locked="true" hidden="false"/>
    </xf>
    <xf numFmtId="177" fontId="26" fillId="0" borderId="0" xfId="0" applyFont="true" applyBorder="true" applyAlignment="true" applyProtection="false">
      <alignment horizontal="left" vertical="bottom" textRotation="0" wrapText="false" indent="0" shrinkToFit="false"/>
      <protection locked="true" hidden="false"/>
    </xf>
    <xf numFmtId="177" fontId="28" fillId="28" borderId="21" xfId="0" applyFont="true" applyBorder="true" applyAlignment="true" applyProtection="false">
      <alignment horizontal="left" vertical="bottom" textRotation="0" wrapText="false" indent="0" shrinkToFit="false"/>
      <protection locked="true" hidden="false"/>
    </xf>
    <xf numFmtId="177" fontId="29" fillId="0" borderId="22" xfId="0" applyFont="true" applyBorder="true" applyAlignment="true" applyProtection="false">
      <alignment horizontal="left" vertical="bottom" textRotation="0" wrapText="false" indent="0" shrinkToFit="false"/>
      <protection locked="true" hidden="false"/>
    </xf>
    <xf numFmtId="177" fontId="29" fillId="0" borderId="23" xfId="0" applyFont="true" applyBorder="true" applyAlignment="true" applyProtection="false">
      <alignment horizontal="left" vertical="bottom" textRotation="0" wrapText="false" indent="0" shrinkToFit="false"/>
      <protection locked="true" hidden="false"/>
    </xf>
    <xf numFmtId="164" fontId="82" fillId="0" borderId="0" xfId="0" applyFont="true" applyBorder="false" applyAlignment="true" applyProtection="false">
      <alignment horizontal="general" vertical="bottom" textRotation="0" wrapText="true" indent="0" shrinkToFit="false"/>
      <protection locked="true" hidden="false"/>
    </xf>
    <xf numFmtId="177" fontId="26" fillId="0" borderId="11" xfId="0" applyFont="true" applyBorder="true" applyAlignment="true" applyProtection="false">
      <alignment horizontal="left" vertical="bottom" textRotation="0" wrapText="false" indent="0" shrinkToFit="false"/>
      <protection locked="true" hidden="false"/>
    </xf>
    <xf numFmtId="177" fontId="78" fillId="5" borderId="22" xfId="0" applyFont="true" applyBorder="true" applyAlignment="true" applyProtection="false">
      <alignment horizontal="left" vertical="bottom" textRotation="0" wrapText="false" indent="0" shrinkToFit="false"/>
      <protection locked="true" hidden="false"/>
    </xf>
    <xf numFmtId="177" fontId="29" fillId="5" borderId="16" xfId="0" applyFont="true" applyBorder="true" applyAlignment="true" applyProtection="false">
      <alignment horizontal="center" vertical="bottom" textRotation="0" wrapText="false" indent="0" shrinkToFit="false"/>
      <protection locked="true" hidden="false"/>
    </xf>
    <xf numFmtId="177" fontId="83" fillId="0" borderId="0" xfId="0" applyFont="true" applyBorder="false" applyAlignment="true" applyProtection="false">
      <alignment horizontal="general" vertical="center" textRotation="0" wrapText="true" indent="0" shrinkToFit="false"/>
      <protection locked="true" hidden="false"/>
    </xf>
    <xf numFmtId="177" fontId="78" fillId="0" borderId="22" xfId="0" applyFont="true" applyBorder="true" applyAlignment="true" applyProtection="false">
      <alignment horizontal="left" vertical="bottom" textRotation="0" wrapText="false" indent="0" shrinkToFit="false"/>
      <protection locked="true" hidden="false"/>
    </xf>
    <xf numFmtId="177" fontId="29" fillId="0" borderId="11" xfId="0" applyFont="true" applyBorder="true" applyAlignment="true" applyProtection="false">
      <alignment horizontal="center" vertical="bottom" textRotation="0" wrapText="false" indent="0" shrinkToFit="false"/>
      <protection locked="true" hidden="false"/>
    </xf>
    <xf numFmtId="177" fontId="29" fillId="0" borderId="24" xfId="0" applyFont="true" applyBorder="true" applyAlignment="true" applyProtection="false">
      <alignment horizontal="center" vertical="bottom" textRotation="0" wrapText="false" indent="0" shrinkToFit="false"/>
      <protection locked="true" hidden="false"/>
    </xf>
    <xf numFmtId="177" fontId="29" fillId="0" borderId="25" xfId="0" applyFont="true" applyBorder="true" applyAlignment="true" applyProtection="false">
      <alignment horizontal="center" vertical="bottom" textRotation="0" wrapText="false" indent="0" shrinkToFit="false"/>
      <protection locked="true" hidden="false"/>
    </xf>
    <xf numFmtId="177" fontId="28" fillId="35" borderId="26" xfId="0" applyFont="true" applyBorder="true" applyAlignment="true" applyProtection="false">
      <alignment horizontal="center" vertical="bottom" textRotation="0" wrapText="false" indent="0" shrinkToFit="false"/>
      <protection locked="true" hidden="false"/>
    </xf>
    <xf numFmtId="168" fontId="29" fillId="0" borderId="0" xfId="0" applyFont="true" applyBorder="false" applyAlignment="true" applyProtection="false">
      <alignment horizontal="left" vertical="bottom" textRotation="0" wrapText="false" indent="0" shrinkToFit="false"/>
      <protection locked="true" hidden="false"/>
    </xf>
    <xf numFmtId="168" fontId="29" fillId="0" borderId="0" xfId="0" applyFont="true" applyBorder="false" applyAlignment="true" applyProtection="false">
      <alignment horizontal="center" vertical="bottom" textRotation="0" wrapText="false" indent="0" shrinkToFit="false"/>
      <protection locked="true" hidden="false"/>
    </xf>
    <xf numFmtId="164" fontId="84" fillId="0" borderId="0" xfId="0" applyFont="true" applyBorder="false" applyAlignment="true" applyProtection="false">
      <alignment horizontal="left" vertical="bottom" textRotation="0" wrapText="false" indent="0" shrinkToFit="false"/>
      <protection locked="true" hidden="false"/>
    </xf>
    <xf numFmtId="164" fontId="84" fillId="0" borderId="0" xfId="0" applyFont="true" applyBorder="false" applyAlignment="true" applyProtection="false">
      <alignment horizontal="center" vertical="bottom" textRotation="0" wrapText="false" indent="0" shrinkToFit="false"/>
      <protection locked="true" hidden="false"/>
    </xf>
    <xf numFmtId="164" fontId="85" fillId="36" borderId="27" xfId="0" applyFont="true" applyBorder="true" applyAlignment="true" applyProtection="false">
      <alignment horizontal="center" vertical="center" textRotation="0" wrapText="true" indent="0" shrinkToFit="false"/>
      <protection locked="true" hidden="false"/>
    </xf>
    <xf numFmtId="164" fontId="85" fillId="36" borderId="28" xfId="0" applyFont="true" applyBorder="true" applyAlignment="true" applyProtection="false">
      <alignment horizontal="center" vertical="center" textRotation="0" wrapText="true" indent="0" shrinkToFit="false"/>
      <protection locked="true" hidden="false"/>
    </xf>
    <xf numFmtId="164" fontId="85" fillId="36" borderId="15" xfId="0" applyFont="true" applyBorder="true" applyAlignment="true" applyProtection="false">
      <alignment horizontal="center" vertical="center" textRotation="0" wrapText="true" indent="0" shrinkToFit="false"/>
      <protection locked="true" hidden="false"/>
    </xf>
    <xf numFmtId="164" fontId="85" fillId="36" borderId="16" xfId="0" applyFont="true" applyBorder="true" applyAlignment="true" applyProtection="false">
      <alignment horizontal="center" vertical="center" textRotation="0" wrapText="true" indent="0" shrinkToFit="false"/>
      <protection locked="true" hidden="false"/>
    </xf>
    <xf numFmtId="164" fontId="85" fillId="37" borderId="22" xfId="0" applyFont="true" applyBorder="true" applyAlignment="true" applyProtection="false">
      <alignment horizontal="center" vertical="center" textRotation="0" wrapText="true" indent="0" shrinkToFit="false"/>
      <protection locked="true" hidden="false"/>
    </xf>
    <xf numFmtId="164" fontId="85" fillId="37" borderId="15" xfId="0" applyFont="true" applyBorder="true" applyAlignment="true" applyProtection="false">
      <alignment horizontal="center" vertical="center" textRotation="0" wrapText="true" indent="0" shrinkToFit="false"/>
      <protection locked="true" hidden="false"/>
    </xf>
    <xf numFmtId="164" fontId="86" fillId="38" borderId="16" xfId="0" applyFont="true" applyBorder="true" applyAlignment="true" applyProtection="false">
      <alignment horizontal="center" vertical="bottom" textRotation="0" wrapText="true" indent="0" shrinkToFit="false"/>
      <protection locked="true" hidden="false"/>
    </xf>
    <xf numFmtId="164" fontId="8" fillId="39" borderId="0" xfId="0" applyFont="true" applyBorder="false" applyAlignment="true" applyProtection="false">
      <alignment horizontal="center" vertical="bottom" textRotation="0" wrapText="true" indent="0" shrinkToFit="false"/>
      <protection locked="true" hidden="false"/>
    </xf>
    <xf numFmtId="164" fontId="87" fillId="0" borderId="0" xfId="0" applyFont="true" applyBorder="false" applyAlignment="true" applyProtection="false">
      <alignment horizontal="general" vertical="bottom" textRotation="0" wrapText="true" indent="0" shrinkToFit="false"/>
      <protection locked="true" hidden="false"/>
    </xf>
    <xf numFmtId="164" fontId="88" fillId="40" borderId="26" xfId="0" applyFont="true" applyBorder="true" applyAlignment="true" applyProtection="false">
      <alignment horizontal="center" vertical="bottom" textRotation="0" wrapText="false" indent="0" shrinkToFit="false"/>
      <protection locked="true" hidden="false"/>
    </xf>
    <xf numFmtId="164" fontId="89" fillId="0" borderId="0" xfId="0" applyFont="true" applyBorder="false" applyAlignment="true" applyProtection="false">
      <alignment horizontal="general" vertical="bottom" textRotation="0" wrapText="false" indent="0" shrinkToFit="false"/>
      <protection locked="true" hidden="false"/>
    </xf>
    <xf numFmtId="164" fontId="87" fillId="0" borderId="0" xfId="0" applyFont="true" applyBorder="false" applyAlignment="true" applyProtection="false">
      <alignment horizontal="general" vertical="bottom" textRotation="0" wrapText="false" indent="0" shrinkToFit="false"/>
      <protection locked="true" hidden="false"/>
    </xf>
    <xf numFmtId="174" fontId="87" fillId="0" borderId="0" xfId="0" applyFont="true" applyBorder="false" applyAlignment="true" applyProtection="false">
      <alignment horizontal="general" vertical="bottom" textRotation="0" wrapText="false" indent="0" shrinkToFit="false"/>
      <protection locked="true" hidden="false"/>
    </xf>
    <xf numFmtId="164" fontId="89" fillId="0" borderId="29" xfId="0" applyFont="true" applyBorder="true" applyAlignment="true" applyProtection="false">
      <alignment horizontal="left" vertical="center" textRotation="0" wrapText="false" indent="0" shrinkToFit="false"/>
      <protection locked="true" hidden="false"/>
    </xf>
    <xf numFmtId="172" fontId="89" fillId="41" borderId="29" xfId="0" applyFont="true" applyBorder="true" applyAlignment="true" applyProtection="false">
      <alignment horizontal="right" vertical="center" textRotation="0" wrapText="false" indent="0" shrinkToFit="false"/>
      <protection locked="true" hidden="false"/>
    </xf>
    <xf numFmtId="175" fontId="89" fillId="40" borderId="30" xfId="0" applyFont="true" applyBorder="true" applyAlignment="true" applyProtection="false">
      <alignment horizontal="right" vertical="center" textRotation="0" wrapText="false" indent="0" shrinkToFit="false"/>
      <protection locked="true" hidden="false"/>
    </xf>
    <xf numFmtId="168" fontId="89" fillId="0" borderId="29" xfId="0" applyFont="true" applyBorder="true" applyAlignment="true" applyProtection="false">
      <alignment horizontal="right" vertical="center" textRotation="0" wrapText="false" indent="0" shrinkToFit="false"/>
      <protection locked="true" hidden="false"/>
    </xf>
    <xf numFmtId="168" fontId="89" fillId="0" borderId="31" xfId="0" applyFont="true" applyBorder="true" applyAlignment="true" applyProtection="false">
      <alignment horizontal="general" vertical="bottom" textRotation="0" wrapText="false" indent="0" shrinkToFit="false"/>
      <protection locked="true" hidden="false"/>
    </xf>
    <xf numFmtId="172" fontId="89" fillId="41" borderId="31" xfId="0" applyFont="true" applyBorder="true" applyAlignment="true" applyProtection="false">
      <alignment horizontal="general" vertical="bottom" textRotation="0" wrapText="false" indent="0" shrinkToFit="false"/>
      <protection locked="true" hidden="false"/>
    </xf>
    <xf numFmtId="168" fontId="87" fillId="0" borderId="31" xfId="0" applyFont="true" applyBorder="true" applyAlignment="true" applyProtection="false">
      <alignment horizontal="general" vertical="bottom" textRotation="0" wrapText="false" indent="0" shrinkToFit="false"/>
      <protection locked="true" hidden="false"/>
    </xf>
    <xf numFmtId="168" fontId="89" fillId="0" borderId="32" xfId="0" applyFont="true" applyBorder="true" applyAlignment="true" applyProtection="false">
      <alignment horizontal="general" vertical="bottom" textRotation="0" wrapText="false" indent="0" shrinkToFit="false"/>
      <protection locked="true" hidden="false"/>
    </xf>
    <xf numFmtId="173" fontId="10" fillId="0" borderId="0" xfId="0" applyFont="true" applyBorder="false" applyAlignment="true" applyProtection="false">
      <alignment horizontal="center" vertical="bottom" textRotation="0" wrapText="false" indent="0" shrinkToFit="false"/>
      <protection locked="true" hidden="false"/>
    </xf>
    <xf numFmtId="167" fontId="10" fillId="40" borderId="0" xfId="0" applyFont="true" applyBorder="false" applyAlignment="true" applyProtection="false">
      <alignment horizontal="center" vertical="bottom" textRotation="0" wrapText="false" indent="0" shrinkToFit="false"/>
      <protection locked="true" hidden="false"/>
    </xf>
    <xf numFmtId="172" fontId="10" fillId="0" borderId="0" xfId="0" applyFont="true" applyBorder="false" applyAlignment="true" applyProtection="false">
      <alignment horizontal="general" vertical="bottom" textRotation="0" wrapText="false" indent="0" shrinkToFit="false"/>
      <protection locked="true" hidden="false"/>
    </xf>
    <xf numFmtId="164" fontId="89" fillId="0" borderId="33" xfId="0" applyFont="true" applyBorder="true" applyAlignment="true" applyProtection="false">
      <alignment horizontal="left" vertical="center" textRotation="0" wrapText="false" indent="0" shrinkToFit="false"/>
      <protection locked="true" hidden="false"/>
    </xf>
    <xf numFmtId="172" fontId="89" fillId="41" borderId="33" xfId="0" applyFont="true" applyBorder="true" applyAlignment="true" applyProtection="false">
      <alignment horizontal="right" vertical="center" textRotation="0" wrapText="false" indent="0" shrinkToFit="false"/>
      <protection locked="true" hidden="false"/>
    </xf>
    <xf numFmtId="175" fontId="89" fillId="40" borderId="34" xfId="0" applyFont="true" applyBorder="true" applyAlignment="true" applyProtection="false">
      <alignment horizontal="right" vertical="center" textRotation="0" wrapText="false" indent="0" shrinkToFit="false"/>
      <protection locked="true" hidden="false"/>
    </xf>
    <xf numFmtId="168" fontId="89" fillId="0" borderId="33" xfId="0" applyFont="true" applyBorder="true" applyAlignment="true" applyProtection="false">
      <alignment horizontal="right" vertical="center" textRotation="0" wrapText="false" indent="0" shrinkToFit="false"/>
      <protection locked="true" hidden="false"/>
    </xf>
    <xf numFmtId="164" fontId="89" fillId="0" borderId="35" xfId="0" applyFont="true" applyBorder="true" applyAlignment="true" applyProtection="false">
      <alignment horizontal="left" vertical="center" textRotation="0" wrapText="false" indent="0" shrinkToFit="false"/>
      <protection locked="true" hidden="false"/>
    </xf>
    <xf numFmtId="172" fontId="89" fillId="41" borderId="35" xfId="0" applyFont="true" applyBorder="true" applyAlignment="true" applyProtection="false">
      <alignment horizontal="right" vertical="center" textRotation="0" wrapText="false" indent="0" shrinkToFit="false"/>
      <protection locked="true" hidden="false"/>
    </xf>
    <xf numFmtId="175" fontId="89" fillId="40" borderId="36" xfId="0" applyFont="true" applyBorder="true" applyAlignment="true" applyProtection="false">
      <alignment horizontal="right" vertical="center" textRotation="0" wrapText="false" indent="0" shrinkToFit="false"/>
      <protection locked="true" hidden="false"/>
    </xf>
    <xf numFmtId="168" fontId="89" fillId="0" borderId="35" xfId="0" applyFont="true" applyBorder="true" applyAlignment="true" applyProtection="false">
      <alignment horizontal="right" vertical="center" textRotation="0" wrapText="false" indent="0" shrinkToFit="false"/>
      <protection locked="true" hidden="false"/>
    </xf>
    <xf numFmtId="168" fontId="89" fillId="0" borderId="37" xfId="0" applyFont="true" applyBorder="true" applyAlignment="true" applyProtection="false">
      <alignment horizontal="general" vertical="bottom" textRotation="0" wrapText="false" indent="0" shrinkToFit="false"/>
      <protection locked="true" hidden="false"/>
    </xf>
    <xf numFmtId="172" fontId="89" fillId="41" borderId="37" xfId="0" applyFont="true" applyBorder="true" applyAlignment="true" applyProtection="false">
      <alignment horizontal="general" vertical="bottom" textRotation="0" wrapText="false" indent="0" shrinkToFit="false"/>
      <protection locked="true" hidden="false"/>
    </xf>
    <xf numFmtId="168" fontId="87" fillId="0" borderId="37" xfId="0" applyFont="true" applyBorder="true" applyAlignment="true" applyProtection="false">
      <alignment horizontal="general" vertical="bottom" textRotation="0" wrapText="false" indent="0" shrinkToFit="false"/>
      <protection locked="true" hidden="false"/>
    </xf>
    <xf numFmtId="164" fontId="90" fillId="0" borderId="37" xfId="0" applyFont="true" applyBorder="true" applyAlignment="true" applyProtection="false">
      <alignment horizontal="general" vertical="bottom" textRotation="0" wrapText="false" indent="0" shrinkToFit="false"/>
      <protection locked="true" hidden="false"/>
    </xf>
    <xf numFmtId="164" fontId="89" fillId="0" borderId="37" xfId="0" applyFont="true" applyBorder="true" applyAlignment="true" applyProtection="false">
      <alignment horizontal="general" vertical="bottom" textRotation="0" wrapText="false" indent="0" shrinkToFit="false"/>
      <protection locked="true" hidden="false"/>
    </xf>
    <xf numFmtId="175" fontId="90" fillId="0" borderId="20" xfId="0" applyFont="true" applyBorder="true" applyAlignment="true" applyProtection="false">
      <alignment horizontal="right" vertical="center" textRotation="0" wrapText="false" indent="0" shrinkToFit="false"/>
      <protection locked="true" hidden="false"/>
    </xf>
    <xf numFmtId="168" fontId="90" fillId="0" borderId="37" xfId="0" applyFont="true" applyBorder="true" applyAlignment="true" applyProtection="false">
      <alignment horizontal="right" vertical="center" textRotation="0" wrapText="false" indent="0" shrinkToFit="false"/>
      <protection locked="true" hidden="false"/>
    </xf>
    <xf numFmtId="168" fontId="90" fillId="0" borderId="37" xfId="0" applyFont="true" applyBorder="true" applyAlignment="true" applyProtection="false">
      <alignment horizontal="general" vertical="bottom" textRotation="0" wrapText="false" indent="0" shrinkToFit="false"/>
      <protection locked="true" hidden="false"/>
    </xf>
    <xf numFmtId="168" fontId="88" fillId="0" borderId="37" xfId="0" applyFont="true" applyBorder="true" applyAlignment="true" applyProtection="false">
      <alignment horizontal="general" vertical="bottom" textRotation="0" wrapText="false" indent="0" shrinkToFit="false"/>
      <protection locked="true" hidden="false"/>
    </xf>
    <xf numFmtId="168" fontId="89" fillId="0" borderId="0" xfId="0" applyFont="true" applyBorder="false" applyAlignment="true" applyProtection="false">
      <alignment horizontal="general" vertical="bottom" textRotation="0" wrapText="false" indent="0" shrinkToFit="false"/>
      <protection locked="true" hidden="false"/>
    </xf>
    <xf numFmtId="168" fontId="87" fillId="0" borderId="0" xfId="0" applyFont="true" applyBorder="false" applyAlignment="true" applyProtection="false">
      <alignment horizontal="general" vertical="bottom" textRotation="0" wrapText="false" indent="0" shrinkToFit="false"/>
      <protection locked="true" hidden="false"/>
    </xf>
    <xf numFmtId="172" fontId="89" fillId="0" borderId="0" xfId="0" applyFont="true" applyBorder="false" applyAlignment="true" applyProtection="false">
      <alignment horizontal="general" vertical="bottom" textRotation="0" wrapText="false" indent="0" shrinkToFit="false"/>
      <protection locked="true" hidden="false"/>
    </xf>
    <xf numFmtId="164" fontId="88" fillId="40" borderId="31" xfId="0" applyFont="true" applyBorder="true" applyAlignment="true" applyProtection="false">
      <alignment horizontal="center" vertical="bottom" textRotation="0" wrapText="false" indent="0" shrinkToFit="false"/>
      <protection locked="true" hidden="false"/>
    </xf>
    <xf numFmtId="164" fontId="85" fillId="0" borderId="0" xfId="0" applyFont="true" applyBorder="false" applyAlignment="true" applyProtection="false">
      <alignment horizontal="general" vertical="bottom" textRotation="0" wrapText="false" indent="0" shrinkToFit="false"/>
      <protection locked="true" hidden="false"/>
    </xf>
    <xf numFmtId="164" fontId="89" fillId="0" borderId="38" xfId="0" applyFont="true" applyBorder="true" applyAlignment="true" applyProtection="false">
      <alignment horizontal="left" vertical="center" textRotation="0" wrapText="false" indent="0" shrinkToFit="false"/>
      <protection locked="true" hidden="false"/>
    </xf>
    <xf numFmtId="172" fontId="89" fillId="41" borderId="38" xfId="0" applyFont="true" applyBorder="true" applyAlignment="true" applyProtection="false">
      <alignment horizontal="right" vertical="center" textRotation="0" wrapText="false" indent="0" shrinkToFit="false"/>
      <protection locked="true" hidden="false"/>
    </xf>
    <xf numFmtId="175" fontId="89" fillId="40" borderId="38" xfId="0" applyFont="true" applyBorder="true" applyAlignment="true" applyProtection="false">
      <alignment horizontal="right" vertical="center" textRotation="0" wrapText="false" indent="0" shrinkToFit="false"/>
      <protection locked="true" hidden="false"/>
    </xf>
    <xf numFmtId="168" fontId="89" fillId="0" borderId="38" xfId="0" applyFont="true" applyBorder="true" applyAlignment="true" applyProtection="false">
      <alignment horizontal="right" vertical="center" textRotation="0" wrapText="false" indent="0" shrinkToFit="false"/>
      <protection locked="true" hidden="false"/>
    </xf>
    <xf numFmtId="172" fontId="89" fillId="41" borderId="32" xfId="0" applyFont="true" applyBorder="true" applyAlignment="true" applyProtection="false">
      <alignment horizontal="general" vertical="bottom" textRotation="0" wrapText="false" indent="0" shrinkToFit="false"/>
      <protection locked="true" hidden="false"/>
    </xf>
    <xf numFmtId="168" fontId="87" fillId="0" borderId="32" xfId="0" applyFont="true" applyBorder="true" applyAlignment="true" applyProtection="false">
      <alignment horizontal="general" vertical="bottom" textRotation="0" wrapText="false" indent="0" shrinkToFit="false"/>
      <protection locked="true" hidden="false"/>
    </xf>
    <xf numFmtId="175" fontId="89" fillId="40" borderId="33" xfId="0" applyFont="true" applyBorder="true" applyAlignment="true" applyProtection="false">
      <alignment horizontal="right" vertical="center" textRotation="0" wrapText="false" indent="0" shrinkToFit="false"/>
      <protection locked="true" hidden="false"/>
    </xf>
    <xf numFmtId="168" fontId="56" fillId="0" borderId="31" xfId="0" applyFont="true" applyBorder="true" applyAlignment="true" applyProtection="false">
      <alignment horizontal="general" vertical="bottom" textRotation="0" wrapText="false" indent="0" shrinkToFit="false"/>
      <protection locked="true" hidden="false"/>
    </xf>
    <xf numFmtId="164" fontId="89" fillId="0" borderId="31" xfId="0" applyFont="true" applyBorder="true" applyAlignment="true" applyProtection="false">
      <alignment horizontal="left" vertical="center" textRotation="0" wrapText="false" indent="0" shrinkToFit="false"/>
      <protection locked="true" hidden="false"/>
    </xf>
    <xf numFmtId="172" fontId="89" fillId="41" borderId="31" xfId="0" applyFont="true" applyBorder="true" applyAlignment="true" applyProtection="false">
      <alignment horizontal="right" vertical="center" textRotation="0" wrapText="false" indent="0" shrinkToFit="false"/>
      <protection locked="true" hidden="false"/>
    </xf>
    <xf numFmtId="175" fontId="89" fillId="40" borderId="31" xfId="0" applyFont="true" applyBorder="true" applyAlignment="true" applyProtection="false">
      <alignment horizontal="right" vertical="center" textRotation="0" wrapText="false" indent="0" shrinkToFit="false"/>
      <protection locked="true" hidden="false"/>
    </xf>
    <xf numFmtId="175" fontId="89" fillId="40" borderId="37" xfId="0" applyFont="true" applyBorder="true" applyAlignment="true" applyProtection="false">
      <alignment horizontal="general" vertical="bottom" textRotation="0" wrapText="false" indent="0" shrinkToFit="false"/>
      <protection locked="true" hidden="false"/>
    </xf>
    <xf numFmtId="168" fontId="56" fillId="0" borderId="37" xfId="0" applyFont="true" applyBorder="true" applyAlignment="true" applyProtection="false">
      <alignment horizontal="general" vertical="bottom" textRotation="0" wrapText="false" indent="0" shrinkToFit="false"/>
      <protection locked="true" hidden="false"/>
    </xf>
    <xf numFmtId="175" fontId="90" fillId="0" borderId="37" xfId="0" applyFont="true" applyBorder="true" applyAlignment="true" applyProtection="false">
      <alignment horizontal="right" vertical="center" textRotation="0" wrapText="false" indent="0" shrinkToFit="false"/>
      <protection locked="true" hidden="false"/>
    </xf>
    <xf numFmtId="164" fontId="90" fillId="0" borderId="0" xfId="0" applyFont="true" applyBorder="false" applyAlignment="true" applyProtection="false">
      <alignment horizontal="left" vertical="center" textRotation="0" wrapText="false" indent="0" shrinkToFit="false"/>
      <protection locked="true" hidden="false"/>
    </xf>
    <xf numFmtId="175" fontId="90" fillId="0" borderId="0" xfId="0" applyFont="true" applyBorder="false" applyAlignment="true" applyProtection="false">
      <alignment horizontal="right" vertical="center" textRotation="0" wrapText="false" indent="0" shrinkToFit="false"/>
      <protection locked="true" hidden="false"/>
    </xf>
    <xf numFmtId="168" fontId="90" fillId="0" borderId="0" xfId="0" applyFont="true" applyBorder="false" applyAlignment="true" applyProtection="false">
      <alignment horizontal="right" vertical="center" textRotation="0" wrapText="false" indent="0" shrinkToFit="false"/>
      <protection locked="true" hidden="false"/>
    </xf>
    <xf numFmtId="168" fontId="90" fillId="0" borderId="0" xfId="0" applyFont="true" applyBorder="false" applyAlignment="true" applyProtection="false">
      <alignment horizontal="general" vertical="bottom" textRotation="0" wrapText="false" indent="0" shrinkToFit="false"/>
      <protection locked="true" hidden="false"/>
    </xf>
    <xf numFmtId="175" fontId="87" fillId="0" borderId="0" xfId="0" applyFont="true" applyBorder="false" applyAlignment="true" applyProtection="false">
      <alignment horizontal="general" vertical="bottom" textRotation="0" wrapText="false" indent="0" shrinkToFit="false"/>
      <protection locked="true" hidden="false"/>
    </xf>
    <xf numFmtId="164" fontId="8" fillId="36" borderId="0" xfId="0" applyFont="true" applyBorder="true" applyAlignment="true" applyProtection="false">
      <alignment horizontal="center" vertical="center" textRotation="0" wrapText="true" indent="0" shrinkToFit="false"/>
      <protection locked="true" hidden="false"/>
    </xf>
    <xf numFmtId="164" fontId="8" fillId="36" borderId="39" xfId="0" applyFont="true" applyBorder="true" applyAlignment="true" applyProtection="false">
      <alignment horizontal="center" vertical="bottom" textRotation="0" wrapText="false" indent="0" shrinkToFit="false"/>
      <protection locked="true" hidden="false"/>
    </xf>
    <xf numFmtId="164" fontId="56" fillId="0" borderId="39" xfId="0" applyFont="true" applyBorder="true" applyAlignment="true" applyProtection="false">
      <alignment horizontal="general" vertical="bottom" textRotation="0" wrapText="false" indent="0" shrinkToFit="false"/>
      <protection locked="true" hidden="false"/>
    </xf>
    <xf numFmtId="172" fontId="56" fillId="40" borderId="39" xfId="0" applyFont="true" applyBorder="true" applyAlignment="true" applyProtection="false">
      <alignment horizontal="right" vertical="bottom" textRotation="0" wrapText="false" indent="0" shrinkToFit="false"/>
      <protection locked="true" hidden="false"/>
    </xf>
    <xf numFmtId="164" fontId="55" fillId="40" borderId="39" xfId="0" applyFont="true" applyBorder="true" applyAlignment="true" applyProtection="false">
      <alignment horizontal="center" vertical="bottom" textRotation="0" wrapText="false" indent="0" shrinkToFit="false"/>
      <protection locked="true" hidden="false"/>
    </xf>
    <xf numFmtId="164" fontId="91" fillId="0" borderId="39" xfId="0" applyFont="true" applyBorder="true" applyAlignment="true" applyProtection="false">
      <alignment horizontal="general" vertical="bottom" textRotation="0" wrapText="false" indent="0" shrinkToFit="false"/>
      <protection locked="true" hidden="false"/>
    </xf>
    <xf numFmtId="164" fontId="86" fillId="42" borderId="0" xfId="0" applyFont="true" applyBorder="true" applyAlignment="true" applyProtection="false">
      <alignment horizontal="left" vertical="bottom" textRotation="0" wrapText="true" indent="0" shrinkToFit="false"/>
      <protection locked="true" hidden="false"/>
    </xf>
    <xf numFmtId="167" fontId="56" fillId="40" borderId="39" xfId="0" applyFont="true" applyBorder="true" applyAlignment="true" applyProtection="false">
      <alignment horizontal="right" vertical="bottom" textRotation="0" wrapText="false" indent="0" shrinkToFit="false"/>
      <protection locked="true" hidden="false"/>
    </xf>
    <xf numFmtId="164" fontId="92" fillId="0" borderId="39" xfId="0" applyFont="true" applyBorder="true" applyAlignment="true" applyProtection="false">
      <alignment horizontal="center" vertical="bottom" textRotation="0" wrapText="false" indent="0" shrinkToFit="false"/>
      <protection locked="true" hidden="false"/>
    </xf>
    <xf numFmtId="164" fontId="8" fillId="36" borderId="0" xfId="0" applyFont="true" applyBorder="true" applyAlignment="true" applyProtection="false">
      <alignment horizontal="center" vertical="bottom" textRotation="0" wrapText="false" indent="0" shrinkToFit="false"/>
      <protection locked="true" hidden="false"/>
    </xf>
    <xf numFmtId="169" fontId="56" fillId="40" borderId="0" xfId="0" applyFont="true" applyBorder="false" applyAlignment="true" applyProtection="false">
      <alignment horizontal="center" vertical="bottom" textRotation="0" wrapText="false" indent="0" shrinkToFit="false"/>
      <protection locked="true" hidden="false"/>
    </xf>
    <xf numFmtId="164" fontId="56" fillId="40" borderId="0" xfId="0" applyFont="true" applyBorder="false" applyAlignment="true" applyProtection="false">
      <alignment horizontal="center" vertical="bottom" textRotation="0" wrapText="false" indent="0" shrinkToFit="false"/>
      <protection locked="true" hidden="false"/>
    </xf>
    <xf numFmtId="164" fontId="93" fillId="0" borderId="0" xfId="0" applyFont="true" applyBorder="false" applyAlignment="true" applyProtection="false">
      <alignment horizontal="general" vertical="bottom" textRotation="0" wrapText="false" indent="0" shrinkToFit="false"/>
      <protection locked="true" hidden="false"/>
    </xf>
    <xf numFmtId="177" fontId="84" fillId="0" borderId="0" xfId="0" applyFont="true" applyBorder="false" applyAlignment="true" applyProtection="false">
      <alignment horizontal="left" vertical="bottom" textRotation="0" wrapText="false" indent="0" shrinkToFit="false"/>
      <protection locked="true" hidden="false"/>
    </xf>
    <xf numFmtId="177" fontId="94" fillId="0" borderId="0" xfId="0" applyFont="true" applyBorder="true" applyAlignment="true" applyProtection="false">
      <alignment horizontal="left" vertical="center" textRotation="0" wrapText="true" indent="0" shrinkToFit="false"/>
      <protection locked="true" hidden="false"/>
    </xf>
    <xf numFmtId="177" fontId="84" fillId="0" borderId="0" xfId="0" applyFont="true" applyBorder="false" applyAlignment="true" applyProtection="false">
      <alignment horizontal="center" vertical="bottom" textRotation="0" wrapText="false" indent="0" shrinkToFit="false"/>
      <protection locked="true" hidden="false"/>
    </xf>
    <xf numFmtId="177" fontId="84" fillId="0" borderId="40" xfId="0" applyFont="true" applyBorder="true" applyAlignment="true" applyProtection="false">
      <alignment horizontal="center" vertical="bottom" textRotation="0" wrapText="false" indent="0" shrinkToFit="false"/>
      <protection locked="true" hidden="false"/>
    </xf>
    <xf numFmtId="177" fontId="84" fillId="0" borderId="26" xfId="0" applyFont="true" applyBorder="true" applyAlignment="true" applyProtection="false">
      <alignment horizontal="center" vertical="bottom" textRotation="0" wrapText="false" indent="0" shrinkToFit="false"/>
      <protection locked="true" hidden="false"/>
    </xf>
    <xf numFmtId="164" fontId="95" fillId="0" borderId="15" xfId="0" applyFont="true" applyBorder="true" applyAlignment="true" applyProtection="false">
      <alignment horizontal="center" vertical="bottom" textRotation="0" wrapText="false" indent="0" shrinkToFit="false"/>
      <protection locked="true" hidden="false"/>
    </xf>
    <xf numFmtId="164" fontId="84" fillId="0" borderId="15" xfId="0" applyFont="true" applyBorder="true" applyAlignment="true" applyProtection="false">
      <alignment horizontal="general" vertical="bottom" textRotation="0" wrapText="false" indent="0" shrinkToFit="false"/>
      <protection locked="true" hidden="false"/>
    </xf>
    <xf numFmtId="164" fontId="95" fillId="0" borderId="0" xfId="0" applyFont="true" applyBorder="false" applyAlignment="true" applyProtection="false">
      <alignment horizontal="center" vertical="bottom" textRotation="0" wrapText="false" indent="0" shrinkToFit="false"/>
      <protection locked="true" hidden="false"/>
    </xf>
    <xf numFmtId="170" fontId="84" fillId="0" borderId="0" xfId="0" applyFont="true" applyBorder="false" applyAlignment="true" applyProtection="false">
      <alignment horizontal="center" vertical="bottom" textRotation="0" wrapText="false" indent="0" shrinkToFit="false"/>
      <protection locked="true" hidden="false"/>
    </xf>
    <xf numFmtId="177" fontId="96" fillId="36" borderId="22" xfId="0" applyFont="true" applyBorder="true" applyAlignment="true" applyProtection="false">
      <alignment horizontal="left" vertical="bottom" textRotation="0" wrapText="false" indent="0" shrinkToFit="false"/>
      <protection locked="true" hidden="false"/>
    </xf>
    <xf numFmtId="177" fontId="96" fillId="36" borderId="13" xfId="0" applyFont="true" applyBorder="true" applyAlignment="true" applyProtection="false">
      <alignment horizontal="center" vertical="bottom" textRotation="0" wrapText="false" indent="0" shrinkToFit="false"/>
      <protection locked="true" hidden="false"/>
    </xf>
    <xf numFmtId="177" fontId="81" fillId="0" borderId="13" xfId="0" applyFont="true" applyBorder="true" applyAlignment="true" applyProtection="false">
      <alignment horizontal="left" vertical="bottom" textRotation="0" wrapText="false" indent="0" shrinkToFit="false"/>
      <protection locked="true" hidden="false"/>
    </xf>
    <xf numFmtId="164" fontId="84" fillId="0" borderId="12" xfId="0" applyFont="true" applyBorder="true" applyAlignment="true" applyProtection="false">
      <alignment horizontal="center" vertical="bottom" textRotation="0" wrapText="false" indent="0" shrinkToFit="false"/>
      <protection locked="true" hidden="false"/>
    </xf>
    <xf numFmtId="175" fontId="84" fillId="0" borderId="12" xfId="0" applyFont="true" applyBorder="true" applyAlignment="true" applyProtection="false">
      <alignment horizontal="center" vertical="bottom" textRotation="0" wrapText="false" indent="0" shrinkToFit="false"/>
      <protection locked="true" hidden="false"/>
    </xf>
    <xf numFmtId="175" fontId="97" fillId="0" borderId="12" xfId="0" applyFont="true" applyBorder="true" applyAlignment="true" applyProtection="false">
      <alignment horizontal="center" vertical="bottom" textRotation="0" wrapText="false" indent="0" shrinkToFit="false"/>
      <protection locked="true" hidden="false"/>
    </xf>
    <xf numFmtId="184" fontId="84" fillId="0" borderId="12" xfId="0" applyFont="true" applyBorder="true" applyAlignment="true" applyProtection="false">
      <alignment horizontal="center" vertical="bottom" textRotation="0" wrapText="false" indent="0" shrinkToFit="false"/>
      <protection locked="true" hidden="false"/>
    </xf>
    <xf numFmtId="184" fontId="84" fillId="43" borderId="12" xfId="0" applyFont="true" applyBorder="true" applyAlignment="true" applyProtection="false">
      <alignment horizontal="center" vertical="bottom" textRotation="0" wrapText="false" indent="0" shrinkToFit="false"/>
      <protection locked="true" hidden="false"/>
    </xf>
    <xf numFmtId="184" fontId="84" fillId="44" borderId="12" xfId="0" applyFont="true" applyBorder="true" applyAlignment="true" applyProtection="false">
      <alignment horizontal="center" vertical="bottom" textRotation="0" wrapText="false" indent="0" shrinkToFit="false"/>
      <protection locked="true" hidden="false"/>
    </xf>
    <xf numFmtId="184" fontId="84" fillId="5" borderId="12" xfId="0" applyFont="true" applyBorder="true" applyAlignment="true" applyProtection="false">
      <alignment horizontal="center" vertical="bottom" textRotation="0" wrapText="false" indent="0" shrinkToFit="false"/>
      <protection locked="true" hidden="false"/>
    </xf>
    <xf numFmtId="184" fontId="84" fillId="12" borderId="12" xfId="0" applyFont="true" applyBorder="true" applyAlignment="true" applyProtection="false">
      <alignment horizontal="center" vertical="bottom" textRotation="0" wrapText="false" indent="0" shrinkToFit="false"/>
      <protection locked="true" hidden="false"/>
    </xf>
    <xf numFmtId="184" fontId="84" fillId="45" borderId="12" xfId="0" applyFont="true" applyBorder="true" applyAlignment="true" applyProtection="false">
      <alignment horizontal="center" vertical="bottom" textRotation="0" wrapText="false" indent="0" shrinkToFit="false"/>
      <protection locked="true" hidden="false"/>
    </xf>
    <xf numFmtId="164" fontId="84" fillId="0" borderId="13" xfId="0" applyFont="true" applyBorder="true" applyAlignment="true" applyProtection="false">
      <alignment horizontal="center" vertical="bottom" textRotation="0" wrapText="false" indent="0" shrinkToFit="false"/>
      <protection locked="true" hidden="false"/>
    </xf>
    <xf numFmtId="175" fontId="84" fillId="0" borderId="13" xfId="0" applyFont="true" applyBorder="true" applyAlignment="true" applyProtection="false">
      <alignment horizontal="center" vertical="bottom" textRotation="0" wrapText="false" indent="0" shrinkToFit="false"/>
      <protection locked="true" hidden="false"/>
    </xf>
    <xf numFmtId="175" fontId="97" fillId="0" borderId="13" xfId="0" applyFont="true" applyBorder="true" applyAlignment="true" applyProtection="false">
      <alignment horizontal="center" vertical="bottom" textRotation="0" wrapText="false" indent="0" shrinkToFit="false"/>
      <protection locked="true" hidden="false"/>
    </xf>
    <xf numFmtId="184" fontId="84" fillId="0" borderId="13" xfId="0" applyFont="true" applyBorder="true" applyAlignment="true" applyProtection="false">
      <alignment horizontal="center" vertical="bottom" textRotation="0" wrapText="false" indent="0" shrinkToFit="false"/>
      <protection locked="true" hidden="false"/>
    </xf>
    <xf numFmtId="184" fontId="84" fillId="43" borderId="13" xfId="0" applyFont="true" applyBorder="true" applyAlignment="true" applyProtection="false">
      <alignment horizontal="center" vertical="bottom" textRotation="0" wrapText="false" indent="0" shrinkToFit="false"/>
      <protection locked="true" hidden="false"/>
    </xf>
    <xf numFmtId="184" fontId="84" fillId="44" borderId="13" xfId="0" applyFont="true" applyBorder="true" applyAlignment="true" applyProtection="false">
      <alignment horizontal="center" vertical="bottom" textRotation="0" wrapText="false" indent="0" shrinkToFit="false"/>
      <protection locked="true" hidden="false"/>
    </xf>
    <xf numFmtId="184" fontId="84" fillId="5" borderId="13" xfId="0" applyFont="true" applyBorder="true" applyAlignment="true" applyProtection="false">
      <alignment horizontal="center" vertical="bottom" textRotation="0" wrapText="false" indent="0" shrinkToFit="false"/>
      <protection locked="true" hidden="false"/>
    </xf>
    <xf numFmtId="184" fontId="84" fillId="12" borderId="13" xfId="0" applyFont="true" applyBorder="true" applyAlignment="true" applyProtection="false">
      <alignment horizontal="center" vertical="bottom" textRotation="0" wrapText="false" indent="0" shrinkToFit="false"/>
      <protection locked="true" hidden="false"/>
    </xf>
    <xf numFmtId="184" fontId="84" fillId="45" borderId="13" xfId="0" applyFont="true" applyBorder="true" applyAlignment="true" applyProtection="false">
      <alignment horizontal="center" vertical="bottom" textRotation="0" wrapText="false" indent="0" shrinkToFit="false"/>
      <protection locked="true" hidden="false"/>
    </xf>
    <xf numFmtId="174" fontId="81" fillId="0" borderId="13" xfId="0" applyFont="true" applyBorder="true" applyAlignment="true" applyProtection="false">
      <alignment horizontal="left" vertical="bottom" textRotation="0" wrapText="false" indent="0" shrinkToFit="false"/>
      <protection locked="true" hidden="false"/>
    </xf>
    <xf numFmtId="174" fontId="84" fillId="0" borderId="13" xfId="0" applyFont="true" applyBorder="true" applyAlignment="true" applyProtection="false">
      <alignment horizontal="center" vertical="bottom" textRotation="0" wrapText="false" indent="0" shrinkToFit="false"/>
      <protection locked="true" hidden="false"/>
    </xf>
    <xf numFmtId="175" fontId="84" fillId="2" borderId="13" xfId="0" applyFont="true" applyBorder="true" applyAlignment="true" applyProtection="false">
      <alignment horizontal="center" vertical="bottom" textRotation="0" wrapText="false" indent="0" shrinkToFit="false"/>
      <protection locked="true" hidden="false"/>
    </xf>
    <xf numFmtId="175" fontId="84" fillId="43" borderId="13" xfId="0" applyFont="true" applyBorder="true" applyAlignment="true" applyProtection="false">
      <alignment horizontal="center" vertical="bottom" textRotation="0" wrapText="false" indent="0" shrinkToFit="false"/>
      <protection locked="true" hidden="false"/>
    </xf>
    <xf numFmtId="175" fontId="84" fillId="44" borderId="13" xfId="0" applyFont="true" applyBorder="true" applyAlignment="true" applyProtection="false">
      <alignment horizontal="center" vertical="bottom" textRotation="0" wrapText="false" indent="0" shrinkToFit="false"/>
      <protection locked="true" hidden="false"/>
    </xf>
    <xf numFmtId="175" fontId="84" fillId="5" borderId="13" xfId="0" applyFont="true" applyBorder="true" applyAlignment="true" applyProtection="false">
      <alignment horizontal="center" vertical="bottom" textRotation="0" wrapText="false" indent="0" shrinkToFit="false"/>
      <protection locked="true" hidden="false"/>
    </xf>
    <xf numFmtId="175" fontId="84" fillId="12" borderId="13" xfId="0" applyFont="true" applyBorder="true" applyAlignment="true" applyProtection="false">
      <alignment horizontal="center" vertical="bottom" textRotation="0" wrapText="false" indent="0" shrinkToFit="false"/>
      <protection locked="true" hidden="false"/>
    </xf>
    <xf numFmtId="174" fontId="84" fillId="0" borderId="0" xfId="0" applyFont="true" applyBorder="false" applyAlignment="true" applyProtection="false">
      <alignment horizontal="center" vertical="bottom" textRotation="0" wrapText="false" indent="0" shrinkToFit="false"/>
      <protection locked="true" hidden="false"/>
    </xf>
    <xf numFmtId="174" fontId="84" fillId="5" borderId="13" xfId="0" applyFont="true" applyBorder="true" applyAlignment="true" applyProtection="false">
      <alignment horizontal="center" vertical="bottom" textRotation="0" wrapText="false" indent="0" shrinkToFit="false"/>
      <protection locked="true" hidden="false"/>
    </xf>
    <xf numFmtId="174" fontId="84" fillId="12" borderId="13" xfId="0" applyFont="true" applyBorder="true" applyAlignment="true" applyProtection="false">
      <alignment horizontal="center" vertical="bottom" textRotation="0" wrapText="false" indent="0" shrinkToFit="false"/>
      <protection locked="true" hidden="false"/>
    </xf>
    <xf numFmtId="174" fontId="84" fillId="43" borderId="13" xfId="0" applyFont="true" applyBorder="true" applyAlignment="true" applyProtection="false">
      <alignment horizontal="center" vertical="bottom" textRotation="0" wrapText="false" indent="0" shrinkToFit="false"/>
      <protection locked="true" hidden="false"/>
    </xf>
    <xf numFmtId="174" fontId="84" fillId="44" borderId="13" xfId="0" applyFont="true" applyBorder="true" applyAlignment="true" applyProtection="false">
      <alignment horizontal="center" vertical="bottom" textRotation="0" wrapText="false" indent="0" shrinkToFit="false"/>
      <protection locked="true" hidden="false"/>
    </xf>
    <xf numFmtId="174" fontId="84" fillId="2" borderId="13" xfId="0" applyFont="true" applyBorder="true" applyAlignment="true" applyProtection="false">
      <alignment horizontal="center" vertical="bottom" textRotation="0" wrapText="false" indent="0" shrinkToFit="false"/>
      <protection locked="true" hidden="false"/>
    </xf>
    <xf numFmtId="174" fontId="84" fillId="0" borderId="0" xfId="0" applyFont="true" applyBorder="false" applyAlignment="true" applyProtection="false">
      <alignment horizontal="general" vertical="bottom" textRotation="0" wrapText="false" indent="0" shrinkToFit="false"/>
      <protection locked="true" hidden="false"/>
    </xf>
    <xf numFmtId="174" fontId="81" fillId="0" borderId="41" xfId="0" applyFont="true" applyBorder="true" applyAlignment="true" applyProtection="false">
      <alignment horizontal="left" vertical="bottom" textRotation="0" wrapText="false" indent="0" shrinkToFit="false"/>
      <protection locked="true" hidden="false"/>
    </xf>
    <xf numFmtId="174" fontId="96" fillId="36" borderId="42" xfId="0" applyFont="true" applyBorder="true" applyAlignment="true" applyProtection="false">
      <alignment horizontal="left" vertical="bottom" textRotation="0" wrapText="false" indent="0" shrinkToFit="false"/>
      <protection locked="true" hidden="false"/>
    </xf>
    <xf numFmtId="175" fontId="96" fillId="36" borderId="20" xfId="0" applyFont="true" applyBorder="true" applyAlignment="true" applyProtection="false">
      <alignment horizontal="center" vertical="bottom" textRotation="0" wrapText="false" indent="0" shrinkToFit="false"/>
      <protection locked="true" hidden="false"/>
    </xf>
    <xf numFmtId="175" fontId="96" fillId="36" borderId="37" xfId="0" applyFont="true" applyBorder="true" applyAlignment="true" applyProtection="false">
      <alignment horizontal="center" vertical="bottom" textRotation="0" wrapText="false" indent="0" shrinkToFit="false"/>
      <protection locked="true" hidden="false"/>
    </xf>
    <xf numFmtId="174" fontId="81" fillId="0" borderId="0" xfId="0" applyFont="true" applyBorder="false" applyAlignment="true" applyProtection="false">
      <alignment horizontal="center" vertical="bottom" textRotation="0" wrapText="false" indent="0" shrinkToFit="false"/>
      <protection locked="true" hidden="false"/>
    </xf>
    <xf numFmtId="177" fontId="84" fillId="0" borderId="18" xfId="0" applyFont="true" applyBorder="true" applyAlignment="true" applyProtection="false">
      <alignment horizontal="center" vertical="bottom" textRotation="0" wrapText="false" indent="0" shrinkToFit="false"/>
      <protection locked="true" hidden="false"/>
    </xf>
    <xf numFmtId="177" fontId="84" fillId="0" borderId="23" xfId="0" applyFont="true" applyBorder="true" applyAlignment="true" applyProtection="false">
      <alignment horizontal="center" vertical="bottom" textRotation="0" wrapText="false" indent="0" shrinkToFit="false"/>
      <protection locked="true" hidden="false"/>
    </xf>
    <xf numFmtId="177" fontId="81" fillId="0" borderId="23" xfId="0" applyFont="true" applyBorder="true" applyAlignment="true" applyProtection="false">
      <alignment horizontal="center" vertical="bottom" textRotation="0" wrapText="false" indent="0" shrinkToFit="false"/>
      <protection locked="true" hidden="false"/>
    </xf>
    <xf numFmtId="177" fontId="81" fillId="0" borderId="0" xfId="0" applyFont="true" applyBorder="false" applyAlignment="true" applyProtection="false">
      <alignment horizontal="center" vertical="bottom" textRotation="0" wrapText="false" indent="0" shrinkToFit="false"/>
      <protection locked="true" hidden="false"/>
    </xf>
    <xf numFmtId="177" fontId="84" fillId="0" borderId="0" xfId="0" applyFont="true" applyBorder="true" applyAlignment="true" applyProtection="false">
      <alignment horizontal="center" vertical="bottom" textRotation="0" wrapText="false" indent="0" shrinkToFit="false"/>
      <protection locked="true" hidden="false"/>
    </xf>
    <xf numFmtId="177" fontId="98" fillId="0" borderId="0" xfId="0" applyFont="true" applyBorder="true" applyAlignment="true" applyProtection="false">
      <alignment horizontal="center" vertical="bottom" textRotation="0" wrapText="false" indent="0" shrinkToFit="false"/>
      <protection locked="true" hidden="false"/>
    </xf>
    <xf numFmtId="177" fontId="96" fillId="36" borderId="13" xfId="0" applyFont="true" applyBorder="true" applyAlignment="true" applyProtection="false">
      <alignment horizontal="left" vertical="bottom" textRotation="0" wrapText="false" indent="0" shrinkToFit="false"/>
      <protection locked="true" hidden="false"/>
    </xf>
    <xf numFmtId="177" fontId="99" fillId="0" borderId="0" xfId="0" applyFont="true" applyBorder="false" applyAlignment="true" applyProtection="false">
      <alignment horizontal="center" vertical="bottom" textRotation="0" wrapText="true" indent="0" shrinkToFit="false"/>
      <protection locked="true" hidden="false"/>
    </xf>
    <xf numFmtId="164" fontId="81" fillId="0" borderId="0" xfId="0" applyFont="true" applyBorder="false" applyAlignment="true" applyProtection="false">
      <alignment horizontal="center" vertical="bottom" textRotation="0" wrapText="false" indent="0" shrinkToFit="false"/>
      <protection locked="true" hidden="false"/>
    </xf>
    <xf numFmtId="177" fontId="81" fillId="0" borderId="43" xfId="0" applyFont="true" applyBorder="true" applyAlignment="true" applyProtection="false">
      <alignment horizontal="left" vertical="bottom" textRotation="0" wrapText="false" indent="0" shrinkToFit="false"/>
      <protection locked="true" hidden="false"/>
    </xf>
    <xf numFmtId="177" fontId="84" fillId="0" borderId="12" xfId="0" applyFont="true" applyBorder="true" applyAlignment="true" applyProtection="false">
      <alignment horizontal="center" vertical="bottom" textRotation="0" wrapText="false" indent="0" shrinkToFit="false"/>
      <protection locked="true" hidden="false"/>
    </xf>
    <xf numFmtId="177" fontId="95" fillId="0" borderId="12" xfId="0" applyFont="true" applyBorder="true" applyAlignment="true" applyProtection="false">
      <alignment horizontal="center" vertical="bottom" textRotation="0" wrapText="false" indent="0" shrinkToFit="false"/>
      <protection locked="true" hidden="false"/>
    </xf>
    <xf numFmtId="177" fontId="84" fillId="43" borderId="12" xfId="0" applyFont="true" applyBorder="true" applyAlignment="true" applyProtection="false">
      <alignment horizontal="center" vertical="bottom" textRotation="0" wrapText="false" indent="0" shrinkToFit="false"/>
      <protection locked="true" hidden="false"/>
    </xf>
    <xf numFmtId="177" fontId="84" fillId="44" borderId="12" xfId="0" applyFont="true" applyBorder="true" applyAlignment="true" applyProtection="false">
      <alignment horizontal="center" vertical="bottom" textRotation="0" wrapText="false" indent="0" shrinkToFit="false"/>
      <protection locked="true" hidden="false"/>
    </xf>
    <xf numFmtId="177" fontId="84" fillId="5" borderId="12" xfId="0" applyFont="true" applyBorder="true" applyAlignment="true" applyProtection="false">
      <alignment horizontal="center" vertical="bottom" textRotation="0" wrapText="false" indent="0" shrinkToFit="false"/>
      <protection locked="true" hidden="false"/>
    </xf>
    <xf numFmtId="177" fontId="84" fillId="12" borderId="12" xfId="0" applyFont="true" applyBorder="true" applyAlignment="true" applyProtection="false">
      <alignment horizontal="center" vertical="bottom" textRotation="0" wrapText="false" indent="0" shrinkToFit="false"/>
      <protection locked="true" hidden="false"/>
    </xf>
    <xf numFmtId="177" fontId="84" fillId="45" borderId="12" xfId="0" applyFont="true" applyBorder="true" applyAlignment="true" applyProtection="false">
      <alignment horizontal="center" vertical="bottom" textRotation="0" wrapText="false" indent="0" shrinkToFit="false"/>
      <protection locked="true" hidden="false"/>
    </xf>
    <xf numFmtId="177" fontId="98" fillId="0" borderId="0" xfId="0" applyFont="true" applyBorder="false" applyAlignment="true" applyProtection="false">
      <alignment horizontal="center" vertical="bottom" textRotation="0" wrapText="true" indent="0" shrinkToFit="false"/>
      <protection locked="true" hidden="false"/>
    </xf>
    <xf numFmtId="177" fontId="81" fillId="0" borderId="44" xfId="0" applyFont="true" applyBorder="true" applyAlignment="true" applyProtection="false">
      <alignment horizontal="left" vertical="bottom" textRotation="0" wrapText="false" indent="0" shrinkToFit="false"/>
      <protection locked="true" hidden="false"/>
    </xf>
    <xf numFmtId="177" fontId="84" fillId="0" borderId="13" xfId="0" applyFont="true" applyBorder="true" applyAlignment="true" applyProtection="false">
      <alignment horizontal="center" vertical="bottom" textRotation="0" wrapText="false" indent="0" shrinkToFit="false"/>
      <protection locked="true" hidden="false"/>
    </xf>
    <xf numFmtId="177" fontId="95" fillId="0" borderId="13" xfId="0" applyFont="true" applyBorder="true" applyAlignment="true" applyProtection="false">
      <alignment horizontal="center" vertical="bottom" textRotation="0" wrapText="false" indent="0" shrinkToFit="false"/>
      <protection locked="true" hidden="false"/>
    </xf>
    <xf numFmtId="177" fontId="84" fillId="43" borderId="13" xfId="0" applyFont="true" applyBorder="true" applyAlignment="true" applyProtection="false">
      <alignment horizontal="center" vertical="bottom" textRotation="0" wrapText="false" indent="0" shrinkToFit="false"/>
      <protection locked="true" hidden="false"/>
    </xf>
    <xf numFmtId="177" fontId="84" fillId="44" borderId="13" xfId="0" applyFont="true" applyBorder="true" applyAlignment="true" applyProtection="false">
      <alignment horizontal="center" vertical="bottom" textRotation="0" wrapText="false" indent="0" shrinkToFit="false"/>
      <protection locked="true" hidden="false"/>
    </xf>
    <xf numFmtId="177" fontId="84" fillId="5" borderId="13" xfId="0" applyFont="true" applyBorder="true" applyAlignment="true" applyProtection="false">
      <alignment horizontal="center" vertical="bottom" textRotation="0" wrapText="false" indent="0" shrinkToFit="false"/>
      <protection locked="true" hidden="false"/>
    </xf>
    <xf numFmtId="177" fontId="84" fillId="12" borderId="13" xfId="0" applyFont="true" applyBorder="true" applyAlignment="true" applyProtection="false">
      <alignment horizontal="center" vertical="bottom" textRotation="0" wrapText="false" indent="0" shrinkToFit="false"/>
      <protection locked="true" hidden="false"/>
    </xf>
    <xf numFmtId="177" fontId="84" fillId="45" borderId="13" xfId="0" applyFont="true" applyBorder="true" applyAlignment="true" applyProtection="false">
      <alignment horizontal="center" vertical="bottom" textRotation="0" wrapText="false" indent="0" shrinkToFit="false"/>
      <protection locked="true" hidden="false"/>
    </xf>
    <xf numFmtId="174" fontId="81" fillId="0" borderId="44" xfId="0" applyFont="true" applyBorder="true" applyAlignment="true" applyProtection="false">
      <alignment horizontal="left" vertical="bottom" textRotation="0" wrapText="false" indent="0" shrinkToFit="false"/>
      <protection locked="true" hidden="false"/>
    </xf>
    <xf numFmtId="174" fontId="84" fillId="0" borderId="44" xfId="0" applyFont="true" applyBorder="true" applyAlignment="true" applyProtection="false">
      <alignment horizontal="center" vertical="bottom" textRotation="0" wrapText="false" indent="0" shrinkToFit="false"/>
      <protection locked="true" hidden="false"/>
    </xf>
    <xf numFmtId="174" fontId="81" fillId="0" borderId="45" xfId="0" applyFont="true" applyBorder="true" applyAlignment="true" applyProtection="false">
      <alignment horizontal="left" vertical="bottom" textRotation="0" wrapText="false" indent="0" shrinkToFit="false"/>
      <protection locked="true" hidden="false"/>
    </xf>
    <xf numFmtId="177" fontId="84" fillId="0" borderId="41" xfId="0" applyFont="true" applyBorder="true" applyAlignment="true" applyProtection="false">
      <alignment horizontal="center" vertical="bottom" textRotation="0" wrapText="false" indent="0" shrinkToFit="false"/>
      <protection locked="true" hidden="false"/>
    </xf>
    <xf numFmtId="177" fontId="95" fillId="0" borderId="41" xfId="0" applyFont="true" applyBorder="true" applyAlignment="true" applyProtection="false">
      <alignment horizontal="center" vertical="bottom" textRotation="0" wrapText="false" indent="0" shrinkToFit="false"/>
      <protection locked="true" hidden="false"/>
    </xf>
    <xf numFmtId="177" fontId="84" fillId="43" borderId="41" xfId="0" applyFont="true" applyBorder="true" applyAlignment="true" applyProtection="false">
      <alignment horizontal="center" vertical="bottom" textRotation="0" wrapText="false" indent="0" shrinkToFit="false"/>
      <protection locked="true" hidden="false"/>
    </xf>
    <xf numFmtId="177" fontId="84" fillId="44" borderId="41" xfId="0" applyFont="true" applyBorder="true" applyAlignment="true" applyProtection="false">
      <alignment horizontal="center" vertical="bottom" textRotation="0" wrapText="false" indent="0" shrinkToFit="false"/>
      <protection locked="true" hidden="false"/>
    </xf>
    <xf numFmtId="177" fontId="84" fillId="5" borderId="41" xfId="0" applyFont="true" applyBorder="true" applyAlignment="true" applyProtection="false">
      <alignment horizontal="center" vertical="bottom" textRotation="0" wrapText="false" indent="0" shrinkToFit="false"/>
      <protection locked="true" hidden="false"/>
    </xf>
    <xf numFmtId="177" fontId="84" fillId="12" borderId="41" xfId="0" applyFont="true" applyBorder="true" applyAlignment="true" applyProtection="false">
      <alignment horizontal="center" vertical="bottom" textRotation="0" wrapText="false" indent="0" shrinkToFit="false"/>
      <protection locked="true" hidden="false"/>
    </xf>
    <xf numFmtId="177" fontId="84" fillId="45" borderId="41" xfId="0" applyFont="true" applyBorder="true" applyAlignment="true" applyProtection="false">
      <alignment horizontal="center" vertical="bottom" textRotation="0" wrapText="false" indent="0" shrinkToFit="false"/>
      <protection locked="true" hidden="false"/>
    </xf>
    <xf numFmtId="174" fontId="96" fillId="36" borderId="13" xfId="0" applyFont="true" applyBorder="true" applyAlignment="true" applyProtection="false">
      <alignment horizontal="left" vertical="bottom" textRotation="0" wrapText="false" indent="0" shrinkToFit="false"/>
      <protection locked="true" hidden="false"/>
    </xf>
    <xf numFmtId="177" fontId="100" fillId="36" borderId="13" xfId="0" applyFont="true" applyBorder="true" applyAlignment="true" applyProtection="false">
      <alignment horizontal="center" vertical="bottom" textRotation="0" wrapText="false" indent="0" shrinkToFit="false"/>
      <protection locked="true" hidden="false"/>
    </xf>
    <xf numFmtId="177" fontId="96" fillId="36" borderId="40" xfId="0" applyFont="true" applyBorder="true" applyAlignment="true" applyProtection="false">
      <alignment horizontal="left" vertical="bottom" textRotation="0" wrapText="false" indent="0" shrinkToFit="false"/>
      <protection locked="true" hidden="false"/>
    </xf>
    <xf numFmtId="177" fontId="84" fillId="2" borderId="13" xfId="0" applyFont="true" applyBorder="true" applyAlignment="true" applyProtection="false">
      <alignment horizontal="center" vertical="bottom" textRotation="0" wrapText="false" indent="0" shrinkToFit="false"/>
      <protection locked="true" hidden="false"/>
    </xf>
    <xf numFmtId="177" fontId="101" fillId="2" borderId="13" xfId="0" applyFont="true" applyBorder="true" applyAlignment="true" applyProtection="false">
      <alignment horizontal="center" vertical="bottom" textRotation="0" wrapText="false" indent="0" shrinkToFit="false"/>
      <protection locked="true" hidden="false"/>
    </xf>
    <xf numFmtId="177" fontId="81" fillId="45" borderId="13" xfId="0" applyFont="true" applyBorder="true" applyAlignment="true" applyProtection="false">
      <alignment horizontal="center" vertical="bottom" textRotation="0" wrapText="false" indent="0" shrinkToFit="false"/>
      <protection locked="true" hidden="false"/>
    </xf>
    <xf numFmtId="177" fontId="101" fillId="0" borderId="13" xfId="0" applyFont="true" applyBorder="true" applyAlignment="true" applyProtection="false">
      <alignment horizontal="center" vertical="bottom" textRotation="0" wrapText="false" indent="0" shrinkToFit="false"/>
      <protection locked="true" hidden="false"/>
    </xf>
    <xf numFmtId="177" fontId="81" fillId="0" borderId="13" xfId="0" applyFont="true" applyBorder="true" applyAlignment="true" applyProtection="false">
      <alignment horizontal="center" vertical="bottom" textRotation="0" wrapText="false" indent="0" shrinkToFit="false"/>
      <protection locked="true" hidden="false"/>
    </xf>
    <xf numFmtId="168" fontId="96" fillId="36" borderId="13" xfId="0" applyFont="true" applyBorder="true" applyAlignment="true" applyProtection="false">
      <alignment horizontal="center" vertical="bottom" textRotation="0" wrapText="false" indent="0" shrinkToFit="false"/>
      <protection locked="true" hidden="false"/>
    </xf>
    <xf numFmtId="164" fontId="29" fillId="2" borderId="0" xfId="0" applyFont="true" applyBorder="false" applyAlignment="true" applyProtection="false">
      <alignment horizontal="center" vertical="bottom" textRotation="0" wrapText="false" indent="0" shrinkToFit="false"/>
      <protection locked="true" hidden="false"/>
    </xf>
    <xf numFmtId="177" fontId="26" fillId="44" borderId="40" xfId="0" applyFont="true" applyBorder="true" applyAlignment="true" applyProtection="false">
      <alignment horizontal="center" vertical="bottom" textRotation="0" wrapText="false" indent="0" shrinkToFit="false"/>
      <protection locked="true" hidden="false"/>
    </xf>
    <xf numFmtId="177" fontId="26" fillId="2" borderId="46" xfId="0" applyFont="true" applyBorder="true" applyAlignment="true" applyProtection="false">
      <alignment horizontal="center" vertical="bottom" textRotation="0" wrapText="false" indent="0" shrinkToFit="false"/>
      <protection locked="true" hidden="false"/>
    </xf>
    <xf numFmtId="177" fontId="26" fillId="2" borderId="47" xfId="0" applyFont="true" applyBorder="true" applyAlignment="true" applyProtection="false">
      <alignment horizontal="center" vertical="bottom" textRotation="0" wrapText="false" indent="0" shrinkToFit="false"/>
      <protection locked="true" hidden="false"/>
    </xf>
    <xf numFmtId="177" fontId="29" fillId="43" borderId="40" xfId="0" applyFont="true" applyBorder="true" applyAlignment="true" applyProtection="false">
      <alignment horizontal="center" vertical="bottom" textRotation="0" wrapText="false" indent="0" shrinkToFit="false"/>
      <protection locked="true" hidden="false"/>
    </xf>
    <xf numFmtId="177" fontId="29" fillId="43" borderId="46" xfId="0" applyFont="true" applyBorder="true" applyAlignment="true" applyProtection="false">
      <alignment horizontal="center" vertical="bottom" textRotation="0" wrapText="false" indent="0" shrinkToFit="false"/>
      <protection locked="true" hidden="false"/>
    </xf>
    <xf numFmtId="177" fontId="29" fillId="43" borderId="47" xfId="0" applyFont="true" applyBorder="true" applyAlignment="true" applyProtection="false">
      <alignment horizontal="center" vertical="bottom" textRotation="0" wrapText="false" indent="0" shrinkToFit="false"/>
      <protection locked="true" hidden="false"/>
    </xf>
    <xf numFmtId="177" fontId="29" fillId="44" borderId="40" xfId="0" applyFont="true" applyBorder="true" applyAlignment="true" applyProtection="false">
      <alignment horizontal="center" vertical="bottom" textRotation="0" wrapText="false" indent="0" shrinkToFit="false"/>
      <protection locked="true" hidden="false"/>
    </xf>
    <xf numFmtId="177" fontId="29" fillId="44" borderId="46" xfId="0" applyFont="true" applyBorder="true" applyAlignment="true" applyProtection="false">
      <alignment horizontal="center" vertical="bottom" textRotation="0" wrapText="false" indent="0" shrinkToFit="false"/>
      <protection locked="true" hidden="false"/>
    </xf>
    <xf numFmtId="177" fontId="29" fillId="44" borderId="47" xfId="0" applyFont="true" applyBorder="true" applyAlignment="true" applyProtection="false">
      <alignment horizontal="center" vertical="bottom" textRotation="0" wrapText="false" indent="0" shrinkToFit="false"/>
      <protection locked="true" hidden="false"/>
    </xf>
    <xf numFmtId="177" fontId="29" fillId="5" borderId="40" xfId="0" applyFont="true" applyBorder="true" applyAlignment="true" applyProtection="false">
      <alignment horizontal="center" vertical="bottom" textRotation="0" wrapText="false" indent="0" shrinkToFit="false"/>
      <protection locked="true" hidden="false"/>
    </xf>
    <xf numFmtId="177" fontId="29" fillId="5" borderId="46" xfId="0" applyFont="true" applyBorder="true" applyAlignment="true" applyProtection="false">
      <alignment horizontal="center" vertical="bottom" textRotation="0" wrapText="false" indent="0" shrinkToFit="false"/>
      <protection locked="true" hidden="false"/>
    </xf>
    <xf numFmtId="177" fontId="29" fillId="5" borderId="47" xfId="0" applyFont="true" applyBorder="true" applyAlignment="true" applyProtection="false">
      <alignment horizontal="center" vertical="bottom" textRotation="0" wrapText="false" indent="0" shrinkToFit="false"/>
      <protection locked="true" hidden="false"/>
    </xf>
    <xf numFmtId="177" fontId="29" fillId="12" borderId="40" xfId="0" applyFont="true" applyBorder="true" applyAlignment="true" applyProtection="false">
      <alignment horizontal="center" vertical="bottom" textRotation="0" wrapText="false" indent="0" shrinkToFit="false"/>
      <protection locked="true" hidden="false"/>
    </xf>
    <xf numFmtId="177" fontId="29" fillId="12" borderId="46" xfId="0" applyFont="true" applyBorder="true" applyAlignment="true" applyProtection="false">
      <alignment horizontal="center" vertical="bottom" textRotation="0" wrapText="false" indent="0" shrinkToFit="false"/>
      <protection locked="true" hidden="false"/>
    </xf>
    <xf numFmtId="177" fontId="29" fillId="12" borderId="47" xfId="0" applyFont="true" applyBorder="true" applyAlignment="true" applyProtection="false">
      <alignment horizontal="center" vertical="bottom" textRotation="0" wrapText="false" indent="0" shrinkToFit="false"/>
      <protection locked="true" hidden="false"/>
    </xf>
    <xf numFmtId="177" fontId="26" fillId="45" borderId="26"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false" applyAlignment="true" applyProtection="false">
      <alignment horizontal="center" vertical="bottom" textRotation="0" wrapText="false" indent="0" shrinkToFit="false"/>
      <protection locked="true" hidden="false"/>
    </xf>
    <xf numFmtId="176" fontId="29" fillId="2" borderId="0" xfId="0" applyFont="true" applyBorder="false" applyAlignment="true" applyProtection="false">
      <alignment horizontal="center" vertical="bottom" textRotation="0" wrapText="false" indent="0" shrinkToFit="false"/>
      <protection locked="true" hidden="false"/>
    </xf>
    <xf numFmtId="176" fontId="29" fillId="43" borderId="22" xfId="0" applyFont="true" applyBorder="true" applyAlignment="true" applyProtection="false">
      <alignment horizontal="center" vertical="bottom" textRotation="0" wrapText="false" indent="0" shrinkToFit="false"/>
      <protection locked="true" hidden="false"/>
    </xf>
    <xf numFmtId="176" fontId="29" fillId="43" borderId="15" xfId="0" applyFont="true" applyBorder="true" applyAlignment="true" applyProtection="false">
      <alignment horizontal="center" vertical="bottom" textRotation="0" wrapText="false" indent="0" shrinkToFit="false"/>
      <protection locked="true" hidden="false"/>
    </xf>
    <xf numFmtId="176" fontId="29" fillId="43" borderId="16" xfId="0" applyFont="true" applyBorder="true" applyAlignment="true" applyProtection="false">
      <alignment horizontal="center" vertical="bottom" textRotation="0" wrapText="false" indent="0" shrinkToFit="false"/>
      <protection locked="true" hidden="false"/>
    </xf>
    <xf numFmtId="176" fontId="29" fillId="44" borderId="23" xfId="0" applyFont="true" applyBorder="true" applyAlignment="true" applyProtection="false">
      <alignment horizontal="center" vertical="bottom" textRotation="0" wrapText="false" indent="0" shrinkToFit="false"/>
      <protection locked="true" hidden="false"/>
    </xf>
    <xf numFmtId="176" fontId="29" fillId="44" borderId="0" xfId="0" applyFont="true" applyBorder="false" applyAlignment="true" applyProtection="false">
      <alignment horizontal="center" vertical="bottom" textRotation="0" wrapText="false" indent="0" shrinkToFit="false"/>
      <protection locked="true" hidden="false"/>
    </xf>
    <xf numFmtId="176" fontId="29" fillId="44" borderId="18" xfId="0" applyFont="true" applyBorder="true" applyAlignment="true" applyProtection="false">
      <alignment horizontal="center" vertical="bottom" textRotation="0" wrapText="false" indent="0" shrinkToFit="false"/>
      <protection locked="true" hidden="false"/>
    </xf>
    <xf numFmtId="176" fontId="29" fillId="5" borderId="23" xfId="0" applyFont="true" applyBorder="true" applyAlignment="true" applyProtection="false">
      <alignment horizontal="center" vertical="bottom" textRotation="0" wrapText="false" indent="0" shrinkToFit="false"/>
      <protection locked="true" hidden="false"/>
    </xf>
    <xf numFmtId="176" fontId="29" fillId="5" borderId="0" xfId="0" applyFont="true" applyBorder="false" applyAlignment="true" applyProtection="false">
      <alignment horizontal="center" vertical="bottom" textRotation="0" wrapText="false" indent="0" shrinkToFit="false"/>
      <protection locked="true" hidden="false"/>
    </xf>
    <xf numFmtId="176" fontId="29" fillId="5" borderId="18" xfId="0" applyFont="true" applyBorder="true" applyAlignment="true" applyProtection="false">
      <alignment horizontal="center" vertical="bottom" textRotation="0" wrapText="false" indent="0" shrinkToFit="false"/>
      <protection locked="true" hidden="false"/>
    </xf>
    <xf numFmtId="176" fontId="29" fillId="12" borderId="23" xfId="0" applyFont="true" applyBorder="true" applyAlignment="true" applyProtection="false">
      <alignment horizontal="center" vertical="bottom" textRotation="0" wrapText="false" indent="0" shrinkToFit="false"/>
      <protection locked="true" hidden="false"/>
    </xf>
    <xf numFmtId="176" fontId="29" fillId="12" borderId="0" xfId="0" applyFont="true" applyBorder="false" applyAlignment="true" applyProtection="false">
      <alignment horizontal="center" vertical="bottom" textRotation="0" wrapText="false" indent="0" shrinkToFit="false"/>
      <protection locked="true" hidden="false"/>
    </xf>
    <xf numFmtId="176" fontId="29" fillId="12" borderId="18" xfId="0" applyFont="true" applyBorder="true" applyAlignment="true" applyProtection="false">
      <alignment horizontal="center" vertical="bottom" textRotation="0" wrapText="false" indent="0" shrinkToFit="false"/>
      <protection locked="true" hidden="false"/>
    </xf>
    <xf numFmtId="176" fontId="29" fillId="2" borderId="31" xfId="0" applyFont="true" applyBorder="true" applyAlignment="true" applyProtection="false">
      <alignment horizontal="center" vertical="bottom" textRotation="0" wrapText="false" indent="0" shrinkToFit="false"/>
      <protection locked="true" hidden="false"/>
    </xf>
    <xf numFmtId="176" fontId="29" fillId="43" borderId="23" xfId="0" applyFont="true" applyBorder="true" applyAlignment="true" applyProtection="false">
      <alignment horizontal="center" vertical="bottom" textRotation="0" wrapText="false" indent="0" shrinkToFit="false"/>
      <protection locked="true" hidden="false"/>
    </xf>
    <xf numFmtId="176" fontId="29" fillId="43" borderId="0" xfId="0" applyFont="true" applyBorder="false" applyAlignment="true" applyProtection="false">
      <alignment horizontal="center" vertical="bottom" textRotation="0" wrapText="false" indent="0" shrinkToFit="false"/>
      <protection locked="true" hidden="false"/>
    </xf>
    <xf numFmtId="176" fontId="29" fillId="43" borderId="18" xfId="0" applyFont="true" applyBorder="true" applyAlignment="true" applyProtection="false">
      <alignment horizontal="center" vertical="bottom" textRotation="0" wrapText="false" indent="0" shrinkToFit="false"/>
      <protection locked="true" hidden="false"/>
    </xf>
    <xf numFmtId="176" fontId="29" fillId="2" borderId="18" xfId="0" applyFont="true" applyBorder="true" applyAlignment="true" applyProtection="false">
      <alignment horizontal="center" vertical="bottom" textRotation="0" wrapText="false" indent="0" shrinkToFit="false"/>
      <protection locked="true" hidden="false"/>
    </xf>
    <xf numFmtId="177" fontId="29" fillId="0" borderId="21" xfId="0" applyFont="true" applyBorder="true" applyAlignment="true" applyProtection="false">
      <alignment horizontal="left" vertical="bottom" textRotation="0" wrapText="false" indent="0" shrinkToFit="false"/>
      <protection locked="true" hidden="false"/>
    </xf>
    <xf numFmtId="176" fontId="29" fillId="43" borderId="21" xfId="0" applyFont="true" applyBorder="true" applyAlignment="true" applyProtection="false">
      <alignment horizontal="center" vertical="bottom" textRotation="0" wrapText="false" indent="0" shrinkToFit="false"/>
      <protection locked="true" hidden="false"/>
    </xf>
    <xf numFmtId="176" fontId="29" fillId="43" borderId="11" xfId="0" applyFont="true" applyBorder="true" applyAlignment="true" applyProtection="false">
      <alignment horizontal="center" vertical="bottom" textRotation="0" wrapText="false" indent="0" shrinkToFit="false"/>
      <protection locked="true" hidden="false"/>
    </xf>
    <xf numFmtId="176" fontId="29" fillId="43" borderId="20" xfId="0" applyFont="true" applyBorder="true" applyAlignment="true" applyProtection="false">
      <alignment horizontal="center" vertical="bottom" textRotation="0" wrapText="false" indent="0" shrinkToFit="false"/>
      <protection locked="true" hidden="false"/>
    </xf>
    <xf numFmtId="176" fontId="29" fillId="44" borderId="21" xfId="0" applyFont="true" applyBorder="true" applyAlignment="true" applyProtection="false">
      <alignment horizontal="center" vertical="bottom" textRotation="0" wrapText="false" indent="0" shrinkToFit="false"/>
      <protection locked="true" hidden="false"/>
    </xf>
    <xf numFmtId="176" fontId="29" fillId="44" borderId="11" xfId="0" applyFont="true" applyBorder="true" applyAlignment="true" applyProtection="false">
      <alignment horizontal="center" vertical="bottom" textRotation="0" wrapText="false" indent="0" shrinkToFit="false"/>
      <protection locked="true" hidden="false"/>
    </xf>
    <xf numFmtId="176" fontId="29" fillId="44" borderId="20" xfId="0" applyFont="true" applyBorder="true" applyAlignment="true" applyProtection="false">
      <alignment horizontal="center" vertical="bottom" textRotation="0" wrapText="false" indent="0" shrinkToFit="false"/>
      <protection locked="true" hidden="false"/>
    </xf>
    <xf numFmtId="176" fontId="29" fillId="5" borderId="21" xfId="0" applyFont="true" applyBorder="true" applyAlignment="true" applyProtection="false">
      <alignment horizontal="center" vertical="bottom" textRotation="0" wrapText="false" indent="0" shrinkToFit="false"/>
      <protection locked="true" hidden="false"/>
    </xf>
    <xf numFmtId="176" fontId="29" fillId="5" borderId="11" xfId="0" applyFont="true" applyBorder="true" applyAlignment="true" applyProtection="false">
      <alignment horizontal="center" vertical="bottom" textRotation="0" wrapText="false" indent="0" shrinkToFit="false"/>
      <protection locked="true" hidden="false"/>
    </xf>
    <xf numFmtId="176" fontId="29" fillId="5" borderId="20" xfId="0" applyFont="true" applyBorder="true" applyAlignment="true" applyProtection="false">
      <alignment horizontal="center" vertical="bottom" textRotation="0" wrapText="false" indent="0" shrinkToFit="false"/>
      <protection locked="true" hidden="false"/>
    </xf>
    <xf numFmtId="176" fontId="29" fillId="12" borderId="21" xfId="0" applyFont="true" applyBorder="true" applyAlignment="true" applyProtection="false">
      <alignment horizontal="center" vertical="bottom" textRotation="0" wrapText="false" indent="0" shrinkToFit="false"/>
      <protection locked="true" hidden="false"/>
    </xf>
    <xf numFmtId="176" fontId="29" fillId="12" borderId="11" xfId="0" applyFont="true" applyBorder="true" applyAlignment="true" applyProtection="false">
      <alignment horizontal="center" vertical="bottom" textRotation="0" wrapText="false" indent="0" shrinkToFit="false"/>
      <protection locked="true" hidden="false"/>
    </xf>
    <xf numFmtId="176" fontId="29" fillId="12" borderId="20" xfId="0" applyFont="true" applyBorder="true" applyAlignment="true" applyProtection="false">
      <alignment horizontal="center" vertical="bottom" textRotation="0" wrapText="false" indent="0" shrinkToFit="false"/>
      <protection locked="true" hidden="false"/>
    </xf>
    <xf numFmtId="176" fontId="29" fillId="2" borderId="37" xfId="0" applyFont="true" applyBorder="true" applyAlignment="true" applyProtection="false">
      <alignment horizontal="center" vertical="bottom" textRotation="0" wrapText="false" indent="0" shrinkToFit="false"/>
      <protection locked="true" hidden="false"/>
    </xf>
    <xf numFmtId="177" fontId="26" fillId="0" borderId="40" xfId="0" applyFont="true" applyBorder="true" applyAlignment="true" applyProtection="false">
      <alignment horizontal="center" vertical="bottom" textRotation="0" wrapText="false" indent="0" shrinkToFit="false"/>
      <protection locked="true" hidden="false"/>
    </xf>
    <xf numFmtId="176" fontId="26" fillId="0" borderId="46" xfId="0" applyFont="true" applyBorder="true" applyAlignment="true" applyProtection="false">
      <alignment horizontal="center" vertical="bottom" textRotation="0" wrapText="false" indent="0" shrinkToFit="false"/>
      <protection locked="true" hidden="false"/>
    </xf>
    <xf numFmtId="176" fontId="26" fillId="0" borderId="47" xfId="0" applyFont="true" applyBorder="true" applyAlignment="true" applyProtection="false">
      <alignment horizontal="center" vertical="bottom" textRotation="0" wrapText="false" indent="0" shrinkToFit="false"/>
      <protection locked="true" hidden="false"/>
    </xf>
    <xf numFmtId="176" fontId="26" fillId="0" borderId="21" xfId="0" applyFont="true" applyBorder="true" applyAlignment="true" applyProtection="false">
      <alignment horizontal="center" vertical="bottom" textRotation="0" wrapText="false" indent="0" shrinkToFit="false"/>
      <protection locked="true" hidden="false"/>
    </xf>
    <xf numFmtId="176" fontId="26" fillId="0" borderId="11" xfId="0" applyFont="true" applyBorder="true" applyAlignment="true" applyProtection="false">
      <alignment horizontal="center" vertical="bottom" textRotation="0" wrapText="false" indent="0" shrinkToFit="false"/>
      <protection locked="true" hidden="false"/>
    </xf>
    <xf numFmtId="176" fontId="26" fillId="0" borderId="20" xfId="0" applyFont="true" applyBorder="true" applyAlignment="true" applyProtection="false">
      <alignment horizontal="center" vertical="bottom" textRotation="0" wrapText="false" indent="0" shrinkToFit="false"/>
      <protection locked="true" hidden="false"/>
    </xf>
    <xf numFmtId="176" fontId="102" fillId="46" borderId="26" xfId="0" applyFont="true" applyBorder="true" applyAlignment="true" applyProtection="false">
      <alignment horizontal="center" vertical="bottom" textRotation="0" wrapText="false" indent="0" shrinkToFit="false"/>
      <protection locked="true" hidden="false"/>
    </xf>
    <xf numFmtId="177" fontId="29" fillId="0" borderId="23" xfId="0" applyFont="true" applyBorder="true" applyAlignment="true" applyProtection="false">
      <alignment horizontal="center" vertical="bottom" textRotation="0" wrapText="false" indent="0" shrinkToFit="false"/>
      <protection locked="true" hidden="false"/>
    </xf>
    <xf numFmtId="177" fontId="26" fillId="0" borderId="40" xfId="0" applyFont="true" applyBorder="true" applyAlignment="true" applyProtection="false">
      <alignment horizontal="left" vertical="bottom" textRotation="0" wrapText="false" indent="0" shrinkToFit="false"/>
      <protection locked="true" hidden="false"/>
    </xf>
    <xf numFmtId="177" fontId="26" fillId="0" borderId="46" xfId="0" applyFont="true" applyBorder="true" applyAlignment="true" applyProtection="false">
      <alignment horizontal="left" vertical="bottom" textRotation="0" wrapText="false" indent="0" shrinkToFit="false"/>
      <protection locked="true" hidden="false"/>
    </xf>
    <xf numFmtId="177" fontId="26" fillId="0" borderId="46" xfId="0" applyFont="true" applyBorder="true" applyAlignment="true" applyProtection="false">
      <alignment horizontal="center" vertical="bottom" textRotation="0" wrapText="false" indent="0" shrinkToFit="false"/>
      <protection locked="true" hidden="false"/>
    </xf>
    <xf numFmtId="177" fontId="26" fillId="0" borderId="47" xfId="0" applyFont="true" applyBorder="true" applyAlignment="true" applyProtection="false">
      <alignment horizontal="center" vertical="bottom" textRotation="0" wrapText="false" indent="0" shrinkToFit="false"/>
      <protection locked="true" hidden="false"/>
    </xf>
    <xf numFmtId="177" fontId="29" fillId="0" borderId="40" xfId="0" applyFont="true" applyBorder="true" applyAlignment="true" applyProtection="false">
      <alignment horizontal="center" vertical="bottom" textRotation="0" wrapText="false" indent="0" shrinkToFit="false"/>
      <protection locked="true" hidden="false"/>
    </xf>
    <xf numFmtId="177" fontId="29" fillId="0" borderId="46" xfId="0" applyFont="true" applyBorder="true" applyAlignment="true" applyProtection="false">
      <alignment horizontal="center" vertical="bottom" textRotation="0" wrapText="false" indent="0" shrinkToFit="false"/>
      <protection locked="true" hidden="false"/>
    </xf>
    <xf numFmtId="177" fontId="29" fillId="0" borderId="47" xfId="0" applyFont="true" applyBorder="true" applyAlignment="true" applyProtection="false">
      <alignment horizontal="center" vertical="bottom" textRotation="0" wrapText="false" indent="0" shrinkToFit="false"/>
      <protection locked="true" hidden="false"/>
    </xf>
    <xf numFmtId="177" fontId="29" fillId="0" borderId="15" xfId="0" applyFont="true" applyBorder="true" applyAlignment="true" applyProtection="false">
      <alignment horizontal="center" vertical="bottom" textRotation="0" wrapText="false" indent="0" shrinkToFit="false"/>
      <protection locked="true" hidden="false"/>
    </xf>
    <xf numFmtId="177" fontId="29" fillId="2" borderId="0" xfId="0" applyFont="true" applyBorder="false" applyAlignment="true" applyProtection="false">
      <alignment horizontal="center" vertical="bottom" textRotation="0" wrapText="false" indent="0" shrinkToFit="false"/>
      <protection locked="true" hidden="false"/>
    </xf>
    <xf numFmtId="177" fontId="29" fillId="43" borderId="22" xfId="0" applyFont="true" applyBorder="true" applyAlignment="true" applyProtection="false">
      <alignment horizontal="center" vertical="bottom" textRotation="0" wrapText="false" indent="0" shrinkToFit="false"/>
      <protection locked="true" hidden="false"/>
    </xf>
    <xf numFmtId="177" fontId="29" fillId="43" borderId="15" xfId="0" applyFont="true" applyBorder="true" applyAlignment="true" applyProtection="false">
      <alignment horizontal="center" vertical="bottom" textRotation="0" wrapText="false" indent="0" shrinkToFit="false"/>
      <protection locked="true" hidden="false"/>
    </xf>
    <xf numFmtId="177" fontId="29" fillId="43" borderId="18" xfId="0" applyFont="true" applyBorder="true" applyAlignment="true" applyProtection="false">
      <alignment horizontal="center" vertical="bottom" textRotation="0" wrapText="false" indent="0" shrinkToFit="false"/>
      <protection locked="true" hidden="false"/>
    </xf>
    <xf numFmtId="177" fontId="29" fillId="44" borderId="23" xfId="0" applyFont="true" applyBorder="true" applyAlignment="true" applyProtection="false">
      <alignment horizontal="center" vertical="bottom" textRotation="0" wrapText="false" indent="0" shrinkToFit="false"/>
      <protection locked="true" hidden="false"/>
    </xf>
    <xf numFmtId="177" fontId="29" fillId="44" borderId="0" xfId="0" applyFont="true" applyBorder="false" applyAlignment="true" applyProtection="false">
      <alignment horizontal="center" vertical="bottom" textRotation="0" wrapText="false" indent="0" shrinkToFit="false"/>
      <protection locked="true" hidden="false"/>
    </xf>
    <xf numFmtId="177" fontId="29" fillId="44" borderId="18" xfId="0" applyFont="true" applyBorder="true" applyAlignment="true" applyProtection="false">
      <alignment horizontal="center" vertical="bottom" textRotation="0" wrapText="false" indent="0" shrinkToFit="false"/>
      <protection locked="true" hidden="false"/>
    </xf>
    <xf numFmtId="177" fontId="29" fillId="5" borderId="23" xfId="0" applyFont="true" applyBorder="true" applyAlignment="true" applyProtection="false">
      <alignment horizontal="center" vertical="bottom" textRotation="0" wrapText="false" indent="0" shrinkToFit="false"/>
      <protection locked="true" hidden="false"/>
    </xf>
    <xf numFmtId="177" fontId="29" fillId="5" borderId="0" xfId="0" applyFont="true" applyBorder="false" applyAlignment="true" applyProtection="false">
      <alignment horizontal="center" vertical="bottom" textRotation="0" wrapText="false" indent="0" shrinkToFit="false"/>
      <protection locked="true" hidden="false"/>
    </xf>
    <xf numFmtId="177" fontId="29" fillId="5" borderId="18" xfId="0" applyFont="true" applyBorder="true" applyAlignment="true" applyProtection="false">
      <alignment horizontal="center" vertical="bottom" textRotation="0" wrapText="false" indent="0" shrinkToFit="false"/>
      <protection locked="true" hidden="false"/>
    </xf>
    <xf numFmtId="177" fontId="29" fillId="12" borderId="23" xfId="0" applyFont="true" applyBorder="true" applyAlignment="true" applyProtection="false">
      <alignment horizontal="center" vertical="bottom" textRotation="0" wrapText="false" indent="0" shrinkToFit="false"/>
      <protection locked="true" hidden="false"/>
    </xf>
    <xf numFmtId="177" fontId="29" fillId="12" borderId="0" xfId="0" applyFont="true" applyBorder="false" applyAlignment="true" applyProtection="false">
      <alignment horizontal="center" vertical="bottom" textRotation="0" wrapText="false" indent="0" shrinkToFit="false"/>
      <protection locked="true" hidden="false"/>
    </xf>
    <xf numFmtId="177" fontId="29" fillId="12" borderId="18" xfId="0" applyFont="true" applyBorder="true" applyAlignment="true" applyProtection="false">
      <alignment horizontal="center" vertical="bottom" textRotation="0" wrapText="false" indent="0" shrinkToFit="false"/>
      <protection locked="true" hidden="false"/>
    </xf>
    <xf numFmtId="177" fontId="29" fillId="2" borderId="32" xfId="0" applyFont="true" applyBorder="true" applyAlignment="true" applyProtection="false">
      <alignment horizontal="center" vertical="bottom" textRotation="0" wrapText="false" indent="0" shrinkToFit="false"/>
      <protection locked="true" hidden="false"/>
    </xf>
    <xf numFmtId="177" fontId="29" fillId="2" borderId="31" xfId="0" applyFont="true" applyBorder="true" applyAlignment="true" applyProtection="false">
      <alignment horizontal="center" vertical="bottom" textRotation="0" wrapText="false" indent="0" shrinkToFit="false"/>
      <protection locked="true" hidden="false"/>
    </xf>
    <xf numFmtId="177" fontId="29" fillId="34" borderId="26" xfId="0" applyFont="true" applyBorder="true" applyAlignment="true" applyProtection="false">
      <alignment horizontal="center" vertical="bottom" textRotation="0" wrapText="false" indent="0" shrinkToFit="false"/>
      <protection locked="true" hidden="false"/>
    </xf>
    <xf numFmtId="177" fontId="29" fillId="43" borderId="23" xfId="0" applyFont="true" applyBorder="true" applyAlignment="true" applyProtection="false">
      <alignment horizontal="center" vertical="bottom" textRotation="0" wrapText="false" indent="0" shrinkToFit="false"/>
      <protection locked="true" hidden="false"/>
    </xf>
    <xf numFmtId="177" fontId="29" fillId="43" borderId="0" xfId="0" applyFont="true" applyBorder="false" applyAlignment="true" applyProtection="false">
      <alignment horizontal="center" vertical="bottom" textRotation="0" wrapText="false" indent="0" shrinkToFit="false"/>
      <protection locked="true" hidden="false"/>
    </xf>
    <xf numFmtId="177" fontId="29" fillId="2" borderId="18" xfId="0" applyFont="true" applyBorder="true" applyAlignment="true" applyProtection="false">
      <alignment horizontal="center" vertical="bottom" textRotation="0" wrapText="false" indent="0" shrinkToFit="false"/>
      <protection locked="true" hidden="false"/>
    </xf>
    <xf numFmtId="177" fontId="29" fillId="2" borderId="11" xfId="0" applyFont="true" applyBorder="true" applyAlignment="true" applyProtection="false">
      <alignment horizontal="center" vertical="bottom" textRotation="0" wrapText="false" indent="0" shrinkToFit="false"/>
      <protection locked="true" hidden="false"/>
    </xf>
    <xf numFmtId="177" fontId="29" fillId="2" borderId="20" xfId="0" applyFont="true" applyBorder="true" applyAlignment="true" applyProtection="false">
      <alignment horizontal="center" vertical="bottom" textRotation="0" wrapText="false" indent="0" shrinkToFit="false"/>
      <protection locked="true" hidden="false"/>
    </xf>
    <xf numFmtId="177" fontId="29" fillId="43" borderId="21" xfId="0" applyFont="true" applyBorder="true" applyAlignment="true" applyProtection="false">
      <alignment horizontal="center" vertical="bottom" textRotation="0" wrapText="false" indent="0" shrinkToFit="false"/>
      <protection locked="true" hidden="false"/>
    </xf>
    <xf numFmtId="177" fontId="29" fillId="43" borderId="11" xfId="0" applyFont="true" applyBorder="true" applyAlignment="true" applyProtection="false">
      <alignment horizontal="center" vertical="bottom" textRotation="0" wrapText="false" indent="0" shrinkToFit="false"/>
      <protection locked="true" hidden="false"/>
    </xf>
    <xf numFmtId="177" fontId="29" fillId="43" borderId="20" xfId="0" applyFont="true" applyBorder="true" applyAlignment="true" applyProtection="false">
      <alignment horizontal="center" vertical="bottom" textRotation="0" wrapText="false" indent="0" shrinkToFit="false"/>
      <protection locked="true" hidden="false"/>
    </xf>
    <xf numFmtId="177" fontId="29" fillId="44" borderId="21" xfId="0" applyFont="true" applyBorder="true" applyAlignment="true" applyProtection="false">
      <alignment horizontal="center" vertical="bottom" textRotation="0" wrapText="false" indent="0" shrinkToFit="false"/>
      <protection locked="true" hidden="false"/>
    </xf>
    <xf numFmtId="177" fontId="29" fillId="44" borderId="11" xfId="0" applyFont="true" applyBorder="true" applyAlignment="true" applyProtection="false">
      <alignment horizontal="center" vertical="bottom" textRotation="0" wrapText="false" indent="0" shrinkToFit="false"/>
      <protection locked="true" hidden="false"/>
    </xf>
    <xf numFmtId="177" fontId="29" fillId="44" borderId="20" xfId="0" applyFont="true" applyBorder="true" applyAlignment="true" applyProtection="false">
      <alignment horizontal="center" vertical="bottom" textRotation="0" wrapText="false" indent="0" shrinkToFit="false"/>
      <protection locked="true" hidden="false"/>
    </xf>
    <xf numFmtId="177" fontId="29" fillId="5" borderId="21" xfId="0" applyFont="true" applyBorder="true" applyAlignment="true" applyProtection="false">
      <alignment horizontal="center" vertical="bottom" textRotation="0" wrapText="false" indent="0" shrinkToFit="false"/>
      <protection locked="true" hidden="false"/>
    </xf>
    <xf numFmtId="177" fontId="29" fillId="5" borderId="11" xfId="0" applyFont="true" applyBorder="true" applyAlignment="true" applyProtection="false">
      <alignment horizontal="center" vertical="bottom" textRotation="0" wrapText="false" indent="0" shrinkToFit="false"/>
      <protection locked="true" hidden="false"/>
    </xf>
    <xf numFmtId="177" fontId="29" fillId="5" borderId="20" xfId="0" applyFont="true" applyBorder="true" applyAlignment="true" applyProtection="false">
      <alignment horizontal="center" vertical="bottom" textRotation="0" wrapText="false" indent="0" shrinkToFit="false"/>
      <protection locked="true" hidden="false"/>
    </xf>
    <xf numFmtId="177" fontId="29" fillId="12" borderId="21" xfId="0" applyFont="true" applyBorder="true" applyAlignment="true" applyProtection="false">
      <alignment horizontal="center" vertical="bottom" textRotation="0" wrapText="false" indent="0" shrinkToFit="false"/>
      <protection locked="true" hidden="false"/>
    </xf>
    <xf numFmtId="177" fontId="29" fillId="12" borderId="11" xfId="0" applyFont="true" applyBorder="true" applyAlignment="true" applyProtection="false">
      <alignment horizontal="center" vertical="bottom" textRotation="0" wrapText="false" indent="0" shrinkToFit="false"/>
      <protection locked="true" hidden="false"/>
    </xf>
    <xf numFmtId="177" fontId="29" fillId="12" borderId="20" xfId="0" applyFont="true" applyBorder="true" applyAlignment="true" applyProtection="false">
      <alignment horizontal="center" vertical="bottom" textRotation="0" wrapText="false" indent="0" shrinkToFit="false"/>
      <protection locked="true" hidden="false"/>
    </xf>
    <xf numFmtId="177" fontId="26" fillId="0" borderId="22" xfId="0" applyFont="true" applyBorder="true" applyAlignment="true" applyProtection="false">
      <alignment horizontal="left" vertical="bottom" textRotation="0" wrapText="false" indent="0" shrinkToFit="false"/>
      <protection locked="true" hidden="false"/>
    </xf>
    <xf numFmtId="177" fontId="26" fillId="0" borderId="15" xfId="0" applyFont="true" applyBorder="true" applyAlignment="true" applyProtection="false">
      <alignment horizontal="left" vertical="bottom" textRotation="0" wrapText="false" indent="0" shrinkToFit="false"/>
      <protection locked="true" hidden="false"/>
    </xf>
    <xf numFmtId="177" fontId="26" fillId="0" borderId="15" xfId="0" applyFont="true" applyBorder="true" applyAlignment="true" applyProtection="false">
      <alignment horizontal="center" vertical="bottom" textRotation="0" wrapText="false" indent="0" shrinkToFit="false"/>
      <protection locked="true" hidden="false"/>
    </xf>
    <xf numFmtId="177" fontId="26" fillId="0" borderId="18" xfId="0" applyFont="true" applyBorder="true" applyAlignment="true" applyProtection="false">
      <alignment horizontal="center" vertical="bottom" textRotation="0" wrapText="false" indent="0" shrinkToFit="false"/>
      <protection locked="true" hidden="false"/>
    </xf>
    <xf numFmtId="177" fontId="26" fillId="0" borderId="22" xfId="0" applyFont="true" applyBorder="true" applyAlignment="true" applyProtection="false">
      <alignment horizontal="center" vertical="bottom" textRotation="0" wrapText="false" indent="0" shrinkToFit="false"/>
      <protection locked="true" hidden="false"/>
    </xf>
    <xf numFmtId="177" fontId="26" fillId="0" borderId="16" xfId="0" applyFont="true" applyBorder="true" applyAlignment="true" applyProtection="false">
      <alignment horizontal="center" vertical="bottom" textRotation="0" wrapText="false" indent="0" shrinkToFit="false"/>
      <protection locked="true" hidden="false"/>
    </xf>
    <xf numFmtId="177" fontId="29" fillId="2" borderId="15" xfId="0" applyFont="true" applyBorder="true" applyAlignment="true" applyProtection="false">
      <alignment horizontal="center" vertical="bottom" textRotation="0" wrapText="false" indent="0" shrinkToFit="false"/>
      <protection locked="true" hidden="false"/>
    </xf>
    <xf numFmtId="177" fontId="29" fillId="2" borderId="16" xfId="0" applyFont="true" applyBorder="true" applyAlignment="true" applyProtection="false">
      <alignment horizontal="center" vertical="bottom" textRotation="0" wrapText="false" indent="0" shrinkToFit="false"/>
      <protection locked="true" hidden="false"/>
    </xf>
    <xf numFmtId="177" fontId="102" fillId="46" borderId="26" xfId="0" applyFont="true" applyBorder="true" applyAlignment="true" applyProtection="false">
      <alignment horizontal="center" vertical="bottom" textRotation="0" wrapText="false" indent="0" shrinkToFit="false"/>
      <protection locked="true" hidden="false"/>
    </xf>
    <xf numFmtId="177" fontId="29" fillId="0" borderId="0" xfId="0" applyFont="true" applyBorder="false" applyAlignment="true" applyProtection="false">
      <alignment horizontal="right" vertical="bottom" textRotation="0" wrapText="false" indent="0" shrinkToFit="false"/>
      <protection locked="true" hidden="false"/>
    </xf>
    <xf numFmtId="169" fontId="103" fillId="0" borderId="0" xfId="0" applyFont="true" applyBorder="false" applyAlignment="true" applyProtection="false">
      <alignment horizontal="center" vertical="bottom" textRotation="0" wrapText="false" indent="0" shrinkToFit="false"/>
      <protection locked="true" hidden="false"/>
    </xf>
    <xf numFmtId="169" fontId="104" fillId="0" borderId="0" xfId="0" applyFont="true" applyBorder="false" applyAlignment="true" applyProtection="false">
      <alignment horizontal="center" vertical="bottom" textRotation="0" wrapText="false" indent="0" shrinkToFit="false"/>
      <protection locked="true" hidden="false"/>
    </xf>
    <xf numFmtId="164" fontId="29" fillId="0" borderId="26" xfId="0" applyFont="true" applyBorder="true" applyAlignment="true" applyProtection="false">
      <alignment horizontal="center" vertical="bottom" textRotation="0" wrapText="false" indent="0" shrinkToFit="false"/>
      <protection locked="true" hidden="false"/>
    </xf>
    <xf numFmtId="164" fontId="105" fillId="0" borderId="0" xfId="0" applyFont="true" applyBorder="false" applyAlignment="true" applyProtection="false">
      <alignment horizontal="left" vertical="bottom" textRotation="0" wrapText="false" indent="0" shrinkToFit="false"/>
      <protection locked="true" hidden="false"/>
    </xf>
    <xf numFmtId="164" fontId="105" fillId="0" borderId="0" xfId="0" applyFont="true" applyBorder="false" applyAlignment="true" applyProtection="false">
      <alignment horizontal="center" vertical="bottom" textRotation="0" wrapText="false" indent="0" shrinkToFit="false"/>
      <protection locked="true" hidden="false"/>
    </xf>
    <xf numFmtId="177" fontId="105" fillId="0" borderId="22" xfId="0" applyFont="true" applyBorder="true" applyAlignment="true" applyProtection="false">
      <alignment horizontal="left" vertical="bottom" textRotation="0" wrapText="false" indent="0" shrinkToFit="false"/>
      <protection locked="true" hidden="false"/>
    </xf>
    <xf numFmtId="177" fontId="105" fillId="2" borderId="15" xfId="0" applyFont="true" applyBorder="true" applyAlignment="true" applyProtection="false">
      <alignment horizontal="center" vertical="bottom" textRotation="0" wrapText="false" indent="0" shrinkToFit="false"/>
      <protection locked="true" hidden="false"/>
    </xf>
    <xf numFmtId="177" fontId="26" fillId="2" borderId="48" xfId="0" applyFont="true" applyBorder="true" applyAlignment="true" applyProtection="false">
      <alignment horizontal="center" vertical="bottom" textRotation="0" wrapText="false" indent="0" shrinkToFit="false"/>
      <protection locked="true" hidden="false"/>
    </xf>
    <xf numFmtId="177" fontId="105" fillId="2" borderId="16" xfId="0" applyFont="true" applyBorder="true" applyAlignment="true" applyProtection="false">
      <alignment horizontal="center" vertical="bottom" textRotation="0" wrapText="false" indent="0" shrinkToFit="false"/>
      <protection locked="true" hidden="false"/>
    </xf>
    <xf numFmtId="177" fontId="105" fillId="0" borderId="0" xfId="0" applyFont="true" applyBorder="false" applyAlignment="true" applyProtection="false">
      <alignment horizontal="center" vertical="bottom" textRotation="0" wrapText="false" indent="0" shrinkToFit="false"/>
      <protection locked="true" hidden="false"/>
    </xf>
    <xf numFmtId="177" fontId="105" fillId="2" borderId="0" xfId="0" applyFont="true" applyBorder="false" applyAlignment="true" applyProtection="false">
      <alignment horizontal="center" vertical="bottom" textRotation="0" wrapText="false" indent="0" shrinkToFit="false"/>
      <protection locked="true" hidden="false"/>
    </xf>
    <xf numFmtId="177" fontId="106" fillId="15" borderId="49" xfId="0" applyFont="true" applyBorder="true" applyAlignment="true" applyProtection="false">
      <alignment horizontal="left" vertical="bottom" textRotation="0" wrapText="true" indent="0" shrinkToFit="false"/>
      <protection locked="true" hidden="false"/>
    </xf>
    <xf numFmtId="177" fontId="106" fillId="2" borderId="13" xfId="0" applyFont="true" applyBorder="true" applyAlignment="true" applyProtection="false">
      <alignment horizontal="center" vertical="bottom" textRotation="0" wrapText="true" indent="0" shrinkToFit="false"/>
      <protection locked="true" hidden="false"/>
    </xf>
    <xf numFmtId="177" fontId="106" fillId="2" borderId="50" xfId="0" applyFont="true" applyBorder="true" applyAlignment="true" applyProtection="false">
      <alignment horizontal="center" vertical="bottom" textRotation="0" wrapText="true" indent="0" shrinkToFit="false"/>
      <protection locked="true" hidden="false"/>
    </xf>
    <xf numFmtId="177" fontId="105" fillId="2" borderId="18" xfId="0" applyFont="true" applyBorder="true" applyAlignment="true" applyProtection="false">
      <alignment horizontal="center" vertical="bottom" textRotation="0" wrapText="false" indent="0" shrinkToFit="false"/>
      <protection locked="true" hidden="false"/>
    </xf>
    <xf numFmtId="177" fontId="106" fillId="2" borderId="0" xfId="0" applyFont="true" applyBorder="false" applyAlignment="true" applyProtection="false">
      <alignment horizontal="center" vertical="bottom" textRotation="0" wrapText="true" indent="0" shrinkToFit="false"/>
      <protection locked="true" hidden="false"/>
    </xf>
    <xf numFmtId="164" fontId="106" fillId="0" borderId="0" xfId="0" applyFont="true" applyBorder="false" applyAlignment="true" applyProtection="false">
      <alignment horizontal="center" vertical="bottom" textRotation="0" wrapText="true" indent="0" shrinkToFit="false"/>
      <protection locked="true" hidden="false"/>
    </xf>
    <xf numFmtId="177" fontId="105" fillId="15" borderId="49" xfId="0" applyFont="true" applyBorder="true" applyAlignment="true" applyProtection="false">
      <alignment horizontal="left" vertical="bottom" textRotation="0" wrapText="false" indent="0" shrinkToFit="false"/>
      <protection locked="true" hidden="false"/>
    </xf>
    <xf numFmtId="177" fontId="105" fillId="2" borderId="13" xfId="0" applyFont="true" applyBorder="true" applyAlignment="true" applyProtection="false">
      <alignment horizontal="center" vertical="bottom" textRotation="0" wrapText="false" indent="0" shrinkToFit="false"/>
      <protection locked="true" hidden="false"/>
    </xf>
    <xf numFmtId="167" fontId="105" fillId="2" borderId="50" xfId="0" applyFont="true" applyBorder="true" applyAlignment="true" applyProtection="false">
      <alignment horizontal="center" vertical="bottom" textRotation="0" wrapText="false" indent="0" shrinkToFit="false"/>
      <protection locked="true" hidden="false"/>
    </xf>
    <xf numFmtId="167" fontId="105" fillId="2" borderId="13" xfId="0" applyFont="true" applyBorder="true" applyAlignment="true" applyProtection="false">
      <alignment horizontal="center" vertical="bottom" textRotation="0" wrapText="false" indent="0" shrinkToFit="false"/>
      <protection locked="true" hidden="false"/>
    </xf>
    <xf numFmtId="169" fontId="105" fillId="2" borderId="13" xfId="0" applyFont="true" applyBorder="true" applyAlignment="true" applyProtection="false">
      <alignment horizontal="right" vertical="bottom" textRotation="0" wrapText="false" indent="0" shrinkToFit="false"/>
      <protection locked="true" hidden="false"/>
    </xf>
    <xf numFmtId="168" fontId="105" fillId="2" borderId="13" xfId="0" applyFont="true" applyBorder="true" applyAlignment="true" applyProtection="false">
      <alignment horizontal="center" vertical="bottom" textRotation="0" wrapText="false" indent="0" shrinkToFit="false"/>
      <protection locked="true" hidden="false"/>
    </xf>
    <xf numFmtId="164" fontId="0" fillId="0" borderId="18" xfId="0" applyFont="false" applyBorder="true" applyAlignment="true" applyProtection="false">
      <alignment horizontal="general" vertical="bottom" textRotation="0" wrapText="false" indent="0" shrinkToFit="false"/>
      <protection locked="true" hidden="false"/>
    </xf>
    <xf numFmtId="167" fontId="107" fillId="0" borderId="13" xfId="0" applyFont="true" applyBorder="true" applyAlignment="true" applyProtection="false">
      <alignment horizontal="general" vertical="bottom" textRotation="0" wrapText="false" indent="0" shrinkToFit="false"/>
      <protection locked="true" hidden="false"/>
    </xf>
    <xf numFmtId="177" fontId="105" fillId="0" borderId="23" xfId="0" applyFont="true" applyBorder="true" applyAlignment="true" applyProtection="false">
      <alignment horizontal="left" vertical="bottom" textRotation="0" wrapText="false" indent="0" shrinkToFit="false"/>
      <protection locked="true" hidden="false"/>
    </xf>
    <xf numFmtId="177" fontId="106" fillId="2" borderId="0" xfId="0" applyFont="true" applyBorder="false" applyAlignment="true" applyProtection="false">
      <alignment horizontal="center" vertical="bottom" textRotation="0" wrapText="false" indent="0" shrinkToFit="false"/>
      <protection locked="true" hidden="false"/>
    </xf>
    <xf numFmtId="177" fontId="106" fillId="0" borderId="49" xfId="0" applyFont="true" applyBorder="true" applyAlignment="true" applyProtection="false">
      <alignment horizontal="left" vertical="bottom" textRotation="0" wrapText="false" indent="0" shrinkToFit="false"/>
      <protection locked="true" hidden="false"/>
    </xf>
    <xf numFmtId="176" fontId="106" fillId="2" borderId="13" xfId="0" applyFont="true" applyBorder="true" applyAlignment="true" applyProtection="false">
      <alignment horizontal="center" vertical="bottom" textRotation="0" wrapText="false" indent="0" shrinkToFit="false"/>
      <protection locked="true" hidden="false"/>
    </xf>
    <xf numFmtId="177" fontId="106" fillId="43" borderId="40" xfId="0" applyFont="true" applyBorder="true" applyAlignment="true" applyProtection="false">
      <alignment horizontal="center" vertical="bottom" textRotation="0" wrapText="false" indent="0" shrinkToFit="false"/>
      <protection locked="true" hidden="false"/>
    </xf>
    <xf numFmtId="177" fontId="106" fillId="2" borderId="51" xfId="0" applyFont="true" applyBorder="true" applyAlignment="true" applyProtection="false">
      <alignment horizontal="center" vertical="bottom" textRotation="0" wrapText="false" indent="0" shrinkToFit="false"/>
      <protection locked="true" hidden="false"/>
    </xf>
    <xf numFmtId="177" fontId="106" fillId="43" borderId="26" xfId="0" applyFont="true" applyBorder="true" applyAlignment="true" applyProtection="false">
      <alignment horizontal="center" vertical="bottom" textRotation="0" wrapText="false" indent="0" shrinkToFit="false"/>
      <protection locked="true" hidden="false"/>
    </xf>
    <xf numFmtId="177" fontId="106" fillId="2" borderId="26" xfId="0" applyFont="true" applyBorder="true" applyAlignment="true" applyProtection="false">
      <alignment horizontal="center" vertical="bottom" textRotation="0" wrapText="false" indent="0" shrinkToFit="false"/>
      <protection locked="true" hidden="false"/>
    </xf>
    <xf numFmtId="167" fontId="106" fillId="2" borderId="13" xfId="0" applyFont="true" applyBorder="true" applyAlignment="true" applyProtection="false">
      <alignment horizontal="center" vertical="bottom" textRotation="0" wrapText="false" indent="0" shrinkToFit="false"/>
      <protection locked="true" hidden="false"/>
    </xf>
    <xf numFmtId="177" fontId="106" fillId="2" borderId="13" xfId="0" applyFont="true" applyBorder="true" applyAlignment="true" applyProtection="false">
      <alignment horizontal="center" vertical="bottom" textRotation="0" wrapText="false" indent="0" shrinkToFit="false"/>
      <protection locked="true" hidden="false"/>
    </xf>
    <xf numFmtId="167" fontId="106" fillId="15" borderId="13" xfId="0" applyFont="true" applyBorder="true" applyAlignment="true" applyProtection="false">
      <alignment horizontal="right" vertical="bottom" textRotation="0" wrapText="false" indent="0" shrinkToFit="false"/>
      <protection locked="true" hidden="false"/>
    </xf>
    <xf numFmtId="177" fontId="106" fillId="0" borderId="52" xfId="0" applyFont="true" applyBorder="true" applyAlignment="true" applyProtection="false">
      <alignment horizontal="left" vertical="bottom" textRotation="0" wrapText="false" indent="0" shrinkToFit="false"/>
      <protection locked="true" hidden="false"/>
    </xf>
    <xf numFmtId="177" fontId="106" fillId="2" borderId="41" xfId="0" applyFont="true" applyBorder="true" applyAlignment="true" applyProtection="false">
      <alignment horizontal="center" vertical="bottom" textRotation="0" wrapText="false" indent="0" shrinkToFit="false"/>
      <protection locked="true" hidden="false"/>
    </xf>
    <xf numFmtId="177" fontId="106" fillId="0" borderId="13" xfId="0" applyFont="true" applyBorder="true" applyAlignment="true" applyProtection="false">
      <alignment horizontal="left" vertical="bottom" textRotation="0" wrapText="false" indent="0" shrinkToFit="false"/>
      <protection locked="true" hidden="false"/>
    </xf>
    <xf numFmtId="167" fontId="106" fillId="15" borderId="41" xfId="0" applyFont="true" applyBorder="true" applyAlignment="true" applyProtection="false">
      <alignment horizontal="right" vertical="bottom" textRotation="0" wrapText="false" indent="0" shrinkToFit="false"/>
      <protection locked="true" hidden="false"/>
    </xf>
    <xf numFmtId="177" fontId="106" fillId="0" borderId="23" xfId="0" applyFont="true" applyBorder="true" applyAlignment="true" applyProtection="false">
      <alignment horizontal="left" vertical="bottom" textRotation="0" wrapText="false" indent="0" shrinkToFit="false"/>
      <protection locked="true" hidden="false"/>
    </xf>
    <xf numFmtId="177" fontId="105" fillId="2" borderId="45" xfId="0" applyFont="true" applyBorder="true" applyAlignment="true" applyProtection="false">
      <alignment horizontal="center" vertical="bottom" textRotation="0" wrapText="false" indent="0" shrinkToFit="false"/>
      <protection locked="true" hidden="false"/>
    </xf>
    <xf numFmtId="177" fontId="105" fillId="2" borderId="25" xfId="0" applyFont="true" applyBorder="true" applyAlignment="true" applyProtection="false">
      <alignment horizontal="center" vertical="bottom" textRotation="0" wrapText="false" indent="0" shrinkToFit="false"/>
      <protection locked="true" hidden="false"/>
    </xf>
    <xf numFmtId="177" fontId="105" fillId="2" borderId="14" xfId="0" applyFont="true" applyBorder="true" applyAlignment="true" applyProtection="false">
      <alignment horizontal="center" vertical="bottom" textRotation="0" wrapText="false" indent="0" shrinkToFit="false"/>
      <protection locked="true" hidden="false"/>
    </xf>
    <xf numFmtId="177" fontId="106" fillId="0" borderId="16" xfId="0" applyFont="true" applyBorder="true" applyAlignment="true" applyProtection="false">
      <alignment horizontal="left" vertical="bottom" textRotation="0" wrapText="false" indent="0" shrinkToFit="false"/>
      <protection locked="true" hidden="false"/>
    </xf>
    <xf numFmtId="177" fontId="105" fillId="2" borderId="53" xfId="0" applyFont="true" applyBorder="true" applyAlignment="true" applyProtection="false">
      <alignment horizontal="center" vertical="bottom" textRotation="0" wrapText="false" indent="0" shrinkToFit="false"/>
      <protection locked="true" hidden="false"/>
    </xf>
    <xf numFmtId="177" fontId="105" fillId="2" borderId="17" xfId="0" applyFont="true" applyBorder="true" applyAlignment="true" applyProtection="false">
      <alignment horizontal="center" vertical="bottom" textRotation="0" wrapText="false" indent="0" shrinkToFit="false"/>
      <protection locked="true" hidden="false"/>
    </xf>
    <xf numFmtId="177" fontId="105" fillId="0" borderId="53" xfId="0" applyFont="true" applyBorder="true" applyAlignment="true" applyProtection="false">
      <alignment horizontal="center" vertical="bottom" textRotation="0" wrapText="false" indent="0" shrinkToFit="false"/>
      <protection locked="true" hidden="false"/>
    </xf>
    <xf numFmtId="177" fontId="105" fillId="0" borderId="17" xfId="0" applyFont="true" applyBorder="true" applyAlignment="true" applyProtection="false">
      <alignment horizontal="center" vertical="bottom" textRotation="0" wrapText="false" indent="0" shrinkToFit="false"/>
      <protection locked="true" hidden="false"/>
    </xf>
    <xf numFmtId="177" fontId="105" fillId="0" borderId="18" xfId="0" applyFont="true" applyBorder="true" applyAlignment="true" applyProtection="false">
      <alignment horizontal="left" vertical="bottom" textRotation="0" wrapText="false" indent="0" shrinkToFit="false"/>
      <protection locked="true" hidden="false"/>
    </xf>
    <xf numFmtId="177" fontId="106" fillId="0" borderId="18" xfId="0" applyFont="true" applyBorder="true" applyAlignment="true" applyProtection="false">
      <alignment horizontal="left" vertical="bottom" textRotation="0" wrapText="false" indent="0" shrinkToFit="false"/>
      <protection locked="true" hidden="false"/>
    </xf>
    <xf numFmtId="167" fontId="108" fillId="2" borderId="43" xfId="0" applyFont="true" applyBorder="true" applyAlignment="true" applyProtection="false">
      <alignment horizontal="center" vertical="bottom" textRotation="0" wrapText="false" indent="0" shrinkToFit="false"/>
      <protection locked="true" hidden="false"/>
    </xf>
    <xf numFmtId="167" fontId="108" fillId="2" borderId="54" xfId="0" applyFont="true" applyBorder="true" applyAlignment="true" applyProtection="false">
      <alignment horizontal="center" vertical="bottom" textRotation="0" wrapText="false" indent="0" shrinkToFit="false"/>
      <protection locked="true" hidden="false"/>
    </xf>
    <xf numFmtId="169" fontId="105" fillId="2" borderId="54" xfId="0" applyFont="true" applyBorder="true" applyAlignment="true" applyProtection="false">
      <alignment horizontal="center" vertical="bottom" textRotation="0" wrapText="false" indent="0" shrinkToFit="false"/>
      <protection locked="true" hidden="false"/>
    </xf>
    <xf numFmtId="169" fontId="105" fillId="2" borderId="19" xfId="0" applyFont="true" applyBorder="true" applyAlignment="true" applyProtection="false">
      <alignment horizontal="center" vertical="bottom" textRotation="0" wrapText="false" indent="0" shrinkToFit="false"/>
      <protection locked="true" hidden="false"/>
    </xf>
    <xf numFmtId="167" fontId="105" fillId="0" borderId="43" xfId="0" applyFont="true" applyBorder="true" applyAlignment="true" applyProtection="false">
      <alignment horizontal="center" vertical="bottom" textRotation="0" wrapText="false" indent="0" shrinkToFit="false"/>
      <protection locked="true" hidden="false"/>
    </xf>
    <xf numFmtId="167" fontId="105" fillId="0" borderId="54" xfId="0" applyFont="true" applyBorder="true" applyAlignment="true" applyProtection="false">
      <alignment horizontal="center" vertical="bottom" textRotation="0" wrapText="false" indent="0" shrinkToFit="false"/>
      <protection locked="true" hidden="false"/>
    </xf>
    <xf numFmtId="167" fontId="105" fillId="0" borderId="19" xfId="0" applyFont="true" applyBorder="true" applyAlignment="true" applyProtection="false">
      <alignment horizontal="center" vertical="bottom" textRotation="0" wrapText="false" indent="0" shrinkToFit="false"/>
      <protection locked="true" hidden="false"/>
    </xf>
    <xf numFmtId="177" fontId="105" fillId="0" borderId="16" xfId="0" applyFont="true" applyBorder="true" applyAlignment="true" applyProtection="false">
      <alignment horizontal="left" vertical="bottom" textRotation="0" wrapText="false" indent="0" shrinkToFit="false"/>
      <protection locked="true" hidden="false"/>
    </xf>
    <xf numFmtId="177" fontId="106" fillId="0" borderId="26" xfId="0" applyFont="true" applyBorder="true" applyAlignment="true" applyProtection="false">
      <alignment horizontal="left" vertical="bottom" textRotation="0" wrapText="false" indent="0" shrinkToFit="false"/>
      <protection locked="true" hidden="false"/>
    </xf>
    <xf numFmtId="177" fontId="106" fillId="0" borderId="21" xfId="0" applyFont="true" applyBorder="true" applyAlignment="true" applyProtection="false">
      <alignment horizontal="center" vertical="bottom" textRotation="0" wrapText="false" indent="0" shrinkToFit="false"/>
      <protection locked="true" hidden="false"/>
    </xf>
    <xf numFmtId="177" fontId="106" fillId="0" borderId="11" xfId="0" applyFont="true" applyBorder="true" applyAlignment="true" applyProtection="false">
      <alignment horizontal="center" vertical="bottom" textRotation="0" wrapText="false" indent="0" shrinkToFit="false"/>
      <protection locked="true" hidden="false"/>
    </xf>
    <xf numFmtId="177" fontId="106" fillId="0" borderId="20" xfId="0" applyFont="true" applyBorder="true" applyAlignment="true" applyProtection="false">
      <alignment horizontal="center" vertical="bottom" textRotation="0" wrapText="false" indent="0" shrinkToFit="false"/>
      <protection locked="true" hidden="false"/>
    </xf>
    <xf numFmtId="177" fontId="105" fillId="0" borderId="11" xfId="0" applyFont="true" applyBorder="true" applyAlignment="true" applyProtection="false">
      <alignment horizontal="center" vertical="bottom" textRotation="0" wrapText="false" indent="0" shrinkToFit="false"/>
      <protection locked="true" hidden="false"/>
    </xf>
    <xf numFmtId="177" fontId="105" fillId="0" borderId="20" xfId="0" applyFont="true" applyBorder="true" applyAlignment="true" applyProtection="false">
      <alignment horizontal="center" vertical="bottom" textRotation="0" wrapText="false" indent="0" shrinkToFit="false"/>
      <protection locked="true" hidden="false"/>
    </xf>
    <xf numFmtId="177" fontId="105" fillId="0" borderId="21" xfId="0" applyFont="true" applyBorder="true" applyAlignment="true" applyProtection="false">
      <alignment horizontal="center" vertical="bottom" textRotation="0" wrapText="false" indent="0" shrinkToFit="false"/>
      <protection locked="true" hidden="false"/>
    </xf>
    <xf numFmtId="177" fontId="106" fillId="0" borderId="37" xfId="0" applyFont="true" applyBorder="true" applyAlignment="true" applyProtection="false">
      <alignment horizontal="center" vertical="bottom" textRotation="0" wrapText="false" indent="0" shrinkToFit="false"/>
      <protection locked="true" hidden="false"/>
    </xf>
    <xf numFmtId="177" fontId="105" fillId="0" borderId="31" xfId="0" applyFont="true" applyBorder="true" applyAlignment="true" applyProtection="false">
      <alignment horizontal="left" vertical="bottom" textRotation="0" wrapText="false" indent="0" shrinkToFit="false"/>
      <protection locked="true" hidden="false"/>
    </xf>
    <xf numFmtId="177" fontId="105" fillId="43" borderId="0" xfId="0" applyFont="true" applyBorder="false" applyAlignment="true" applyProtection="false">
      <alignment horizontal="center" vertical="bottom" textRotation="0" wrapText="false" indent="0" shrinkToFit="false"/>
      <protection locked="true" hidden="false"/>
    </xf>
    <xf numFmtId="177" fontId="105" fillId="43" borderId="18" xfId="0" applyFont="true" applyBorder="true" applyAlignment="true" applyProtection="false">
      <alignment horizontal="center" vertical="bottom" textRotation="0" wrapText="false" indent="0" shrinkToFit="false"/>
      <protection locked="true" hidden="false"/>
    </xf>
    <xf numFmtId="177" fontId="105" fillId="44" borderId="23" xfId="0" applyFont="true" applyBorder="true" applyAlignment="true" applyProtection="false">
      <alignment horizontal="center" vertical="bottom" textRotation="0" wrapText="false" indent="0" shrinkToFit="false"/>
      <protection locked="true" hidden="false"/>
    </xf>
    <xf numFmtId="177" fontId="105" fillId="44" borderId="0" xfId="0" applyFont="true" applyBorder="false" applyAlignment="true" applyProtection="false">
      <alignment horizontal="center" vertical="bottom" textRotation="0" wrapText="false" indent="0" shrinkToFit="false"/>
      <protection locked="true" hidden="false"/>
    </xf>
    <xf numFmtId="177" fontId="105" fillId="44" borderId="18" xfId="0" applyFont="true" applyBorder="true" applyAlignment="true" applyProtection="false">
      <alignment horizontal="center" vertical="bottom" textRotation="0" wrapText="false" indent="0" shrinkToFit="false"/>
      <protection locked="true" hidden="false"/>
    </xf>
    <xf numFmtId="177" fontId="105" fillId="5" borderId="23" xfId="0" applyFont="true" applyBorder="true" applyAlignment="true" applyProtection="false">
      <alignment horizontal="center" vertical="bottom" textRotation="0" wrapText="false" indent="0" shrinkToFit="false"/>
      <protection locked="true" hidden="false"/>
    </xf>
    <xf numFmtId="177" fontId="105" fillId="5" borderId="0" xfId="0" applyFont="true" applyBorder="false" applyAlignment="true" applyProtection="false">
      <alignment horizontal="center" vertical="bottom" textRotation="0" wrapText="false" indent="0" shrinkToFit="false"/>
      <protection locked="true" hidden="false"/>
    </xf>
    <xf numFmtId="177" fontId="105" fillId="5" borderId="18" xfId="0" applyFont="true" applyBorder="true" applyAlignment="true" applyProtection="false">
      <alignment horizontal="center" vertical="bottom" textRotation="0" wrapText="false" indent="0" shrinkToFit="false"/>
      <protection locked="true" hidden="false"/>
    </xf>
    <xf numFmtId="177" fontId="105" fillId="12" borderId="23" xfId="0" applyFont="true" applyBorder="true" applyAlignment="true" applyProtection="false">
      <alignment horizontal="center" vertical="bottom" textRotation="0" wrapText="false" indent="0" shrinkToFit="false"/>
      <protection locked="true" hidden="false"/>
    </xf>
    <xf numFmtId="177" fontId="105" fillId="12" borderId="0" xfId="0" applyFont="true" applyBorder="false" applyAlignment="true" applyProtection="false">
      <alignment horizontal="center" vertical="bottom" textRotation="0" wrapText="false" indent="0" shrinkToFit="false"/>
      <protection locked="true" hidden="false"/>
    </xf>
    <xf numFmtId="177" fontId="105" fillId="12" borderId="18" xfId="0" applyFont="true" applyBorder="true" applyAlignment="true" applyProtection="false">
      <alignment horizontal="center" vertical="bottom" textRotation="0" wrapText="false" indent="0" shrinkToFit="false"/>
      <protection locked="true" hidden="false"/>
    </xf>
    <xf numFmtId="177" fontId="105" fillId="2" borderId="31" xfId="0" applyFont="true" applyBorder="true" applyAlignment="true" applyProtection="false">
      <alignment horizontal="center" vertical="bottom" textRotation="0" wrapText="false" indent="0" shrinkToFit="false"/>
      <protection locked="true" hidden="false"/>
    </xf>
    <xf numFmtId="177" fontId="105" fillId="2" borderId="23" xfId="0" applyFont="true" applyBorder="true" applyAlignment="true" applyProtection="false">
      <alignment horizontal="center" vertical="bottom" textRotation="0" wrapText="false" indent="0" shrinkToFit="false"/>
      <protection locked="true" hidden="false"/>
    </xf>
    <xf numFmtId="177" fontId="105" fillId="2" borderId="21" xfId="0" applyFont="true" applyBorder="true" applyAlignment="true" applyProtection="false">
      <alignment horizontal="center" vertical="bottom" textRotation="0" wrapText="false" indent="0" shrinkToFit="false"/>
      <protection locked="true" hidden="false"/>
    </xf>
    <xf numFmtId="177" fontId="105" fillId="2" borderId="11" xfId="0" applyFont="true" applyBorder="true" applyAlignment="true" applyProtection="false">
      <alignment horizontal="center" vertical="bottom" textRotation="0" wrapText="false" indent="0" shrinkToFit="false"/>
      <protection locked="true" hidden="false"/>
    </xf>
    <xf numFmtId="177" fontId="105" fillId="2" borderId="20" xfId="0" applyFont="true" applyBorder="true" applyAlignment="true" applyProtection="false">
      <alignment horizontal="center" vertical="bottom" textRotation="0" wrapText="false" indent="0" shrinkToFit="false"/>
      <protection locked="true" hidden="false"/>
    </xf>
    <xf numFmtId="177" fontId="105" fillId="43" borderId="11" xfId="0" applyFont="true" applyBorder="true" applyAlignment="true" applyProtection="false">
      <alignment horizontal="center" vertical="bottom" textRotation="0" wrapText="false" indent="0" shrinkToFit="false"/>
      <protection locked="true" hidden="false"/>
    </xf>
    <xf numFmtId="177" fontId="105" fillId="43" borderId="20" xfId="0" applyFont="true" applyBorder="true" applyAlignment="true" applyProtection="false">
      <alignment horizontal="center" vertical="bottom" textRotation="0" wrapText="false" indent="0" shrinkToFit="false"/>
      <protection locked="true" hidden="false"/>
    </xf>
    <xf numFmtId="177" fontId="105" fillId="44" borderId="21" xfId="0" applyFont="true" applyBorder="true" applyAlignment="true" applyProtection="false">
      <alignment horizontal="center" vertical="bottom" textRotation="0" wrapText="false" indent="0" shrinkToFit="false"/>
      <protection locked="true" hidden="false"/>
    </xf>
    <xf numFmtId="177" fontId="105" fillId="44" borderId="11" xfId="0" applyFont="true" applyBorder="true" applyAlignment="true" applyProtection="false">
      <alignment horizontal="center" vertical="bottom" textRotation="0" wrapText="false" indent="0" shrinkToFit="false"/>
      <protection locked="true" hidden="false"/>
    </xf>
    <xf numFmtId="177" fontId="105" fillId="44" borderId="20" xfId="0" applyFont="true" applyBorder="true" applyAlignment="true" applyProtection="false">
      <alignment horizontal="center" vertical="bottom" textRotation="0" wrapText="false" indent="0" shrinkToFit="false"/>
      <protection locked="true" hidden="false"/>
    </xf>
    <xf numFmtId="177" fontId="105" fillId="5" borderId="21" xfId="0" applyFont="true" applyBorder="true" applyAlignment="true" applyProtection="false">
      <alignment horizontal="center" vertical="bottom" textRotation="0" wrapText="false" indent="0" shrinkToFit="false"/>
      <protection locked="true" hidden="false"/>
    </xf>
    <xf numFmtId="177" fontId="105" fillId="5" borderId="11" xfId="0" applyFont="true" applyBorder="true" applyAlignment="true" applyProtection="false">
      <alignment horizontal="center" vertical="bottom" textRotation="0" wrapText="false" indent="0" shrinkToFit="false"/>
      <protection locked="true" hidden="false"/>
    </xf>
    <xf numFmtId="177" fontId="105" fillId="5" borderId="20" xfId="0" applyFont="true" applyBorder="true" applyAlignment="true" applyProtection="false">
      <alignment horizontal="center" vertical="bottom" textRotation="0" wrapText="false" indent="0" shrinkToFit="false"/>
      <protection locked="true" hidden="false"/>
    </xf>
    <xf numFmtId="177" fontId="105" fillId="12" borderId="21" xfId="0" applyFont="true" applyBorder="true" applyAlignment="true" applyProtection="false">
      <alignment horizontal="center" vertical="bottom" textRotation="0" wrapText="false" indent="0" shrinkToFit="false"/>
      <protection locked="true" hidden="false"/>
    </xf>
    <xf numFmtId="177" fontId="105" fillId="12" borderId="11" xfId="0" applyFont="true" applyBorder="true" applyAlignment="true" applyProtection="false">
      <alignment horizontal="center" vertical="bottom" textRotation="0" wrapText="false" indent="0" shrinkToFit="false"/>
      <protection locked="true" hidden="false"/>
    </xf>
    <xf numFmtId="177" fontId="105" fillId="12" borderId="20" xfId="0" applyFont="true" applyBorder="true" applyAlignment="true" applyProtection="false">
      <alignment horizontal="center" vertical="bottom" textRotation="0" wrapText="false" indent="0" shrinkToFit="false"/>
      <protection locked="true" hidden="false"/>
    </xf>
    <xf numFmtId="177" fontId="106" fillId="0" borderId="40" xfId="0" applyFont="true" applyBorder="true" applyAlignment="true" applyProtection="false">
      <alignment horizontal="center" vertical="bottom" textRotation="0" wrapText="false" indent="0" shrinkToFit="false"/>
      <protection locked="true" hidden="false"/>
    </xf>
    <xf numFmtId="177" fontId="106" fillId="0" borderId="46" xfId="0" applyFont="true" applyBorder="true" applyAlignment="true" applyProtection="false">
      <alignment horizontal="center" vertical="bottom" textRotation="0" wrapText="false" indent="0" shrinkToFit="false"/>
      <protection locked="true" hidden="false"/>
    </xf>
    <xf numFmtId="177" fontId="106" fillId="0" borderId="47" xfId="0" applyFont="true" applyBorder="true" applyAlignment="true" applyProtection="false">
      <alignment horizontal="center" vertical="bottom" textRotation="0" wrapText="false" indent="0" shrinkToFit="false"/>
      <protection locked="true" hidden="false"/>
    </xf>
    <xf numFmtId="177" fontId="109" fillId="0" borderId="46" xfId="0" applyFont="true" applyBorder="true" applyAlignment="true" applyProtection="false">
      <alignment horizontal="center" vertical="bottom" textRotation="0" wrapText="false" indent="0" shrinkToFit="false"/>
      <protection locked="true" hidden="false"/>
    </xf>
    <xf numFmtId="177" fontId="109" fillId="0" borderId="47" xfId="0" applyFont="true" applyBorder="true" applyAlignment="true" applyProtection="false">
      <alignment horizontal="center" vertical="bottom" textRotation="0" wrapText="false" indent="0" shrinkToFit="false"/>
      <protection locked="true" hidden="false"/>
    </xf>
    <xf numFmtId="177" fontId="109" fillId="0" borderId="40" xfId="0" applyFont="true" applyBorder="true" applyAlignment="true" applyProtection="false">
      <alignment horizontal="center" vertical="bottom" textRotation="0" wrapText="false" indent="0" shrinkToFit="false"/>
      <protection locked="true" hidden="false"/>
    </xf>
    <xf numFmtId="177" fontId="110" fillId="0" borderId="26" xfId="0" applyFont="true" applyBorder="true" applyAlignment="true" applyProtection="false">
      <alignment horizontal="center" vertical="bottom" textRotation="0" wrapText="false" indent="0" shrinkToFit="false"/>
      <protection locked="true" hidden="false"/>
    </xf>
    <xf numFmtId="164" fontId="110" fillId="0" borderId="0" xfId="0" applyFont="true" applyBorder="false" applyAlignment="true" applyProtection="false">
      <alignment horizontal="center" vertical="bottom" textRotation="0" wrapText="false" indent="0" shrinkToFit="false"/>
      <protection locked="true" hidden="false"/>
    </xf>
    <xf numFmtId="177" fontId="105" fillId="0" borderId="15" xfId="0" applyFont="true" applyBorder="true" applyAlignment="true" applyProtection="false">
      <alignment horizontal="center" vertical="bottom" textRotation="0" wrapText="false" indent="0" shrinkToFit="false"/>
      <protection locked="true" hidden="false"/>
    </xf>
    <xf numFmtId="177" fontId="105" fillId="0" borderId="16" xfId="0" applyFont="true" applyBorder="true" applyAlignment="true" applyProtection="false">
      <alignment horizontal="center" vertical="bottom" textRotation="0" wrapText="false" indent="0" shrinkToFit="false"/>
      <protection locked="true" hidden="false"/>
    </xf>
    <xf numFmtId="177" fontId="105" fillId="0" borderId="18" xfId="0" applyFont="true" applyBorder="true" applyAlignment="true" applyProtection="false">
      <alignment horizontal="center" vertical="bottom" textRotation="0" wrapText="false" indent="0" shrinkToFit="false"/>
      <protection locked="true" hidden="false"/>
    </xf>
    <xf numFmtId="177" fontId="105" fillId="0" borderId="23" xfId="0" applyFont="true" applyBorder="true" applyAlignment="true" applyProtection="false">
      <alignment horizontal="center" vertical="bottom" textRotation="0" wrapText="false" indent="0" shrinkToFit="false"/>
      <protection locked="true" hidden="false"/>
    </xf>
    <xf numFmtId="177" fontId="105" fillId="0" borderId="32" xfId="0" applyFont="true" applyBorder="true" applyAlignment="true" applyProtection="false">
      <alignment horizontal="center" vertical="bottom" textRotation="0" wrapText="false" indent="0" shrinkToFit="false"/>
      <protection locked="true" hidden="false"/>
    </xf>
    <xf numFmtId="177" fontId="105" fillId="0" borderId="31" xfId="0" applyFont="true" applyBorder="true" applyAlignment="true" applyProtection="false">
      <alignment horizontal="center" vertical="bottom" textRotation="0" wrapText="false" indent="0" shrinkToFit="false"/>
      <protection locked="true" hidden="false"/>
    </xf>
    <xf numFmtId="177" fontId="106" fillId="0" borderId="31" xfId="0" applyFont="true" applyBorder="true" applyAlignment="true" applyProtection="false">
      <alignment horizontal="left" vertical="bottom" textRotation="0" wrapText="false" indent="0" shrinkToFit="false"/>
      <protection locked="true" hidden="false"/>
    </xf>
    <xf numFmtId="167" fontId="105" fillId="0" borderId="0" xfId="0" applyFont="true" applyBorder="false" applyAlignment="true" applyProtection="false">
      <alignment horizontal="center" vertical="bottom" textRotation="0" wrapText="false" indent="0" shrinkToFit="false"/>
      <protection locked="true" hidden="false"/>
    </xf>
    <xf numFmtId="169" fontId="105" fillId="0" borderId="0" xfId="0" applyFont="true" applyBorder="false" applyAlignment="true" applyProtection="false">
      <alignment horizontal="center" vertical="bottom" textRotation="0" wrapText="false" indent="0" shrinkToFit="false"/>
      <protection locked="true" hidden="false"/>
    </xf>
    <xf numFmtId="169" fontId="105" fillId="0" borderId="18" xfId="0" applyFont="true" applyBorder="true" applyAlignment="true" applyProtection="false">
      <alignment horizontal="center" vertical="bottom" textRotation="0" wrapText="false" indent="0" shrinkToFit="false"/>
      <protection locked="true" hidden="false"/>
    </xf>
    <xf numFmtId="167" fontId="105" fillId="0" borderId="18" xfId="0" applyFont="true" applyBorder="true" applyAlignment="true" applyProtection="false">
      <alignment horizontal="center" vertical="bottom" textRotation="0" wrapText="false" indent="0" shrinkToFit="false"/>
      <protection locked="true" hidden="false"/>
    </xf>
    <xf numFmtId="167" fontId="105" fillId="0" borderId="23" xfId="0" applyFont="true" applyBorder="true" applyAlignment="true" applyProtection="false">
      <alignment horizontal="center" vertical="bottom" textRotation="0" wrapText="false" indent="0" shrinkToFit="false"/>
      <protection locked="true" hidden="false"/>
    </xf>
    <xf numFmtId="167" fontId="105" fillId="0" borderId="31" xfId="0" applyFont="true" applyBorder="true" applyAlignment="true" applyProtection="false">
      <alignment horizontal="center" vertical="bottom" textRotation="0" wrapText="false" indent="0" shrinkToFit="false"/>
      <protection locked="true" hidden="false"/>
    </xf>
    <xf numFmtId="164" fontId="105" fillId="0" borderId="31" xfId="0" applyFont="true" applyBorder="true" applyAlignment="true" applyProtection="false">
      <alignment horizontal="left" vertical="bottom" textRotation="0" wrapText="false" indent="0" shrinkToFit="false"/>
      <protection locked="true" hidden="false"/>
    </xf>
    <xf numFmtId="164" fontId="105" fillId="0" borderId="18" xfId="0" applyFont="true" applyBorder="true" applyAlignment="true" applyProtection="false">
      <alignment horizontal="center" vertical="bottom" textRotation="0" wrapText="false" indent="0" shrinkToFit="false"/>
      <protection locked="true" hidden="false"/>
    </xf>
    <xf numFmtId="164" fontId="105" fillId="0" borderId="23" xfId="0" applyFont="true" applyBorder="true" applyAlignment="true" applyProtection="false">
      <alignment horizontal="center" vertical="bottom" textRotation="0" wrapText="false" indent="0" shrinkToFit="false"/>
      <protection locked="true" hidden="false"/>
    </xf>
    <xf numFmtId="164" fontId="105" fillId="0" borderId="31" xfId="0" applyFont="true" applyBorder="true" applyAlignment="true" applyProtection="false">
      <alignment horizontal="center" vertical="bottom" textRotation="0" wrapText="false" indent="0" shrinkToFit="false"/>
      <protection locked="true" hidden="false"/>
    </xf>
    <xf numFmtId="164" fontId="105" fillId="0" borderId="18" xfId="0" applyFont="true" applyBorder="true" applyAlignment="true" applyProtection="false">
      <alignment horizontal="left" vertical="bottom" textRotation="0" wrapText="false" indent="0" shrinkToFit="false"/>
      <protection locked="true" hidden="false"/>
    </xf>
    <xf numFmtId="184" fontId="106" fillId="14" borderId="55" xfId="0" applyFont="true" applyBorder="true" applyAlignment="true" applyProtection="false">
      <alignment horizontal="center" vertical="bottom" textRotation="0" wrapText="false" indent="0" shrinkToFit="false"/>
      <protection locked="true" hidden="false"/>
    </xf>
    <xf numFmtId="177" fontId="106" fillId="14" borderId="56" xfId="0" applyFont="true" applyBorder="true" applyAlignment="true" applyProtection="false">
      <alignment horizontal="left" vertical="bottom" textRotation="0" wrapText="false" indent="0" shrinkToFit="false"/>
      <protection locked="true" hidden="false"/>
    </xf>
    <xf numFmtId="177" fontId="106" fillId="14" borderId="55" xfId="0" applyFont="true" applyBorder="true" applyAlignment="true" applyProtection="false">
      <alignment horizontal="center" vertical="bottom" textRotation="0" wrapText="false" indent="0" shrinkToFit="false"/>
      <protection locked="true" hidden="false"/>
    </xf>
    <xf numFmtId="177" fontId="105" fillId="14" borderId="56" xfId="0" applyFont="true" applyBorder="true" applyAlignment="true" applyProtection="false">
      <alignment horizontal="left" vertical="bottom" textRotation="0" wrapText="false" indent="0" shrinkToFit="false"/>
      <protection locked="true" hidden="false"/>
    </xf>
    <xf numFmtId="177" fontId="106" fillId="5" borderId="37" xfId="0" applyFont="true" applyBorder="true" applyAlignment="true" applyProtection="false">
      <alignment horizontal="left" vertical="bottom" textRotation="0" wrapText="false" indent="0" shrinkToFit="false"/>
      <protection locked="true" hidden="false"/>
    </xf>
    <xf numFmtId="177" fontId="106" fillId="5" borderId="11" xfId="0" applyFont="true" applyBorder="true" applyAlignment="true" applyProtection="false">
      <alignment horizontal="center" vertical="bottom" textRotation="0" wrapText="false" indent="0" shrinkToFit="false"/>
      <protection locked="true" hidden="false"/>
    </xf>
    <xf numFmtId="177" fontId="106" fillId="5" borderId="20" xfId="0" applyFont="true" applyBorder="true" applyAlignment="true" applyProtection="false">
      <alignment horizontal="center" vertical="bottom" textRotation="0" wrapText="false" indent="0" shrinkToFit="false"/>
      <protection locked="true" hidden="false"/>
    </xf>
    <xf numFmtId="177" fontId="106" fillId="5" borderId="21" xfId="0" applyFont="true" applyBorder="true" applyAlignment="true" applyProtection="false">
      <alignment horizontal="center" vertical="bottom" textRotation="0" wrapText="false" indent="0" shrinkToFit="false"/>
      <protection locked="true" hidden="false"/>
    </xf>
    <xf numFmtId="177" fontId="106" fillId="5" borderId="37" xfId="0" applyFont="true" applyBorder="true" applyAlignment="true" applyProtection="false">
      <alignment horizontal="center" vertical="bottom" textRotation="0" wrapText="false" indent="0" shrinkToFit="false"/>
      <protection locked="true" hidden="false"/>
    </xf>
    <xf numFmtId="177" fontId="106" fillId="5" borderId="20" xfId="0" applyFont="true" applyBorder="true" applyAlignment="true" applyProtection="false">
      <alignment horizontal="left" vertical="bottom" textRotation="0" wrapText="false" indent="0" shrinkToFit="false"/>
      <protection locked="true" hidden="false"/>
    </xf>
    <xf numFmtId="164" fontId="106" fillId="0" borderId="0" xfId="0" applyFont="true" applyBorder="false" applyAlignment="true" applyProtection="false">
      <alignment horizontal="center" vertical="bottom" textRotation="0" wrapText="false" indent="0" shrinkToFit="false"/>
      <protection locked="true" hidden="false"/>
    </xf>
    <xf numFmtId="164" fontId="106" fillId="0" borderId="0" xfId="0" applyFont="true" applyBorder="false" applyAlignment="true" applyProtection="false">
      <alignment horizontal="left" vertical="bottom" textRotation="0" wrapText="false" indent="0" shrinkToFit="false"/>
      <protection locked="true" hidden="false"/>
    </xf>
    <xf numFmtId="164" fontId="105" fillId="0" borderId="0" xfId="0" applyFont="true" applyBorder="false" applyAlignment="true" applyProtection="false">
      <alignment horizontal="general" vertical="bottom" textRotation="0" wrapText="false" indent="0" shrinkToFit="false"/>
      <protection locked="true" hidden="false"/>
    </xf>
    <xf numFmtId="164" fontId="105" fillId="2" borderId="0" xfId="0" applyFont="true" applyBorder="false" applyAlignment="true" applyProtection="false">
      <alignment horizontal="general" vertical="bottom" textRotation="0" wrapText="false" indent="0" shrinkToFit="false"/>
      <protection locked="true" hidden="false"/>
    </xf>
    <xf numFmtId="177" fontId="106" fillId="44" borderId="22" xfId="0" applyFont="true" applyBorder="true" applyAlignment="true" applyProtection="false">
      <alignment horizontal="left" vertical="bottom" textRotation="0" wrapText="false" indent="0" shrinkToFit="false"/>
      <protection locked="true" hidden="false"/>
    </xf>
    <xf numFmtId="177" fontId="106" fillId="2" borderId="15" xfId="0" applyFont="true" applyBorder="true" applyAlignment="true" applyProtection="false">
      <alignment horizontal="center" vertical="bottom" textRotation="0" wrapText="false" indent="0" shrinkToFit="false"/>
      <protection locked="true" hidden="false"/>
    </xf>
    <xf numFmtId="177" fontId="106" fillId="2" borderId="16" xfId="0" applyFont="true" applyBorder="true" applyAlignment="true" applyProtection="false">
      <alignment horizontal="center" vertical="bottom" textRotation="0" wrapText="false" indent="0" shrinkToFit="false"/>
      <protection locked="true" hidden="false"/>
    </xf>
    <xf numFmtId="177" fontId="105" fillId="0" borderId="15" xfId="0" applyFont="true" applyBorder="true" applyAlignment="true" applyProtection="false">
      <alignment horizontal="general" vertical="bottom" textRotation="0" wrapText="false" indent="0" shrinkToFit="false"/>
      <protection locked="true" hidden="false"/>
    </xf>
    <xf numFmtId="177" fontId="105" fillId="0" borderId="16" xfId="0" applyFont="true" applyBorder="true" applyAlignment="true" applyProtection="false">
      <alignment horizontal="general" vertical="bottom" textRotation="0" wrapText="false" indent="0" shrinkToFit="false"/>
      <protection locked="true" hidden="false"/>
    </xf>
    <xf numFmtId="177" fontId="105" fillId="0" borderId="22" xfId="0" applyFont="true" applyBorder="true" applyAlignment="true" applyProtection="false">
      <alignment horizontal="general" vertical="bottom" textRotation="0" wrapText="false" indent="0" shrinkToFit="false"/>
      <protection locked="true" hidden="false"/>
    </xf>
    <xf numFmtId="177" fontId="106" fillId="2" borderId="15" xfId="0" applyFont="true" applyBorder="true" applyAlignment="true" applyProtection="false">
      <alignment horizontal="general" vertical="bottom" textRotation="0" wrapText="false" indent="0" shrinkToFit="false"/>
      <protection locked="true" hidden="false"/>
    </xf>
    <xf numFmtId="177" fontId="106" fillId="44" borderId="32" xfId="0" applyFont="true" applyBorder="true" applyAlignment="true" applyProtection="false">
      <alignment horizontal="left" vertical="bottom" textRotation="0" wrapText="false" indent="0" shrinkToFit="false"/>
      <protection locked="true" hidden="false"/>
    </xf>
    <xf numFmtId="164" fontId="105" fillId="44" borderId="0" xfId="0" applyFont="true" applyBorder="false" applyAlignment="true" applyProtection="false">
      <alignment horizontal="general" vertical="bottom" textRotation="0" wrapText="false" indent="0" shrinkToFit="false"/>
      <protection locked="true" hidden="false"/>
    </xf>
    <xf numFmtId="177" fontId="106" fillId="2" borderId="23" xfId="0" applyFont="true" applyBorder="true" applyAlignment="true" applyProtection="false">
      <alignment horizontal="left" vertical="bottom" textRotation="0" wrapText="false" indent="0" shrinkToFit="false"/>
      <protection locked="true" hidden="false"/>
    </xf>
    <xf numFmtId="177" fontId="106" fillId="2" borderId="20" xfId="0" applyFont="true" applyBorder="true" applyAlignment="true" applyProtection="false">
      <alignment horizontal="center" vertical="bottom" textRotation="0" wrapText="false" indent="0" shrinkToFit="false"/>
      <protection locked="true" hidden="false"/>
    </xf>
    <xf numFmtId="177" fontId="105" fillId="0" borderId="11" xfId="0" applyFont="true" applyBorder="true" applyAlignment="true" applyProtection="false">
      <alignment horizontal="general" vertical="bottom" textRotation="0" wrapText="false" indent="0" shrinkToFit="false"/>
      <protection locked="true" hidden="false"/>
    </xf>
    <xf numFmtId="177" fontId="105" fillId="0" borderId="20" xfId="0" applyFont="true" applyBorder="true" applyAlignment="true" applyProtection="false">
      <alignment horizontal="general" vertical="bottom" textRotation="0" wrapText="false" indent="0" shrinkToFit="false"/>
      <protection locked="true" hidden="false"/>
    </xf>
    <xf numFmtId="177" fontId="105" fillId="0" borderId="21" xfId="0" applyFont="true" applyBorder="true" applyAlignment="true" applyProtection="false">
      <alignment horizontal="general" vertical="bottom" textRotation="0" wrapText="false" indent="0" shrinkToFit="false"/>
      <protection locked="true" hidden="false"/>
    </xf>
    <xf numFmtId="177" fontId="105" fillId="2" borderId="0" xfId="0" applyFont="true" applyBorder="false" applyAlignment="true" applyProtection="false">
      <alignment horizontal="general" vertical="bottom" textRotation="0" wrapText="false" indent="0" shrinkToFit="false"/>
      <protection locked="true" hidden="false"/>
    </xf>
    <xf numFmtId="177" fontId="106" fillId="2" borderId="31" xfId="0" applyFont="true" applyBorder="true" applyAlignment="true" applyProtection="false">
      <alignment horizontal="left" vertical="bottom" textRotation="0" wrapText="false" indent="0" shrinkToFit="false"/>
      <protection locked="true" hidden="false"/>
    </xf>
    <xf numFmtId="177" fontId="105" fillId="0" borderId="57" xfId="0" applyFont="true" applyBorder="true" applyAlignment="true" applyProtection="false">
      <alignment horizontal="left" vertical="bottom" textRotation="0" wrapText="false" indent="0" shrinkToFit="false"/>
      <protection locked="true" hidden="false"/>
    </xf>
    <xf numFmtId="175" fontId="105" fillId="2" borderId="48" xfId="0" applyFont="true" applyBorder="true" applyAlignment="true" applyProtection="false">
      <alignment horizontal="general" vertical="bottom" textRotation="0" wrapText="false" indent="0" shrinkToFit="false"/>
      <protection locked="true" hidden="false"/>
    </xf>
    <xf numFmtId="175" fontId="105" fillId="2" borderId="58" xfId="0" applyFont="true" applyBorder="true" applyAlignment="true" applyProtection="false">
      <alignment horizontal="general" vertical="bottom" textRotation="0" wrapText="false" indent="0" shrinkToFit="false"/>
      <protection locked="true" hidden="false"/>
    </xf>
    <xf numFmtId="175" fontId="105" fillId="43" borderId="59" xfId="0" applyFont="true" applyBorder="true" applyAlignment="true" applyProtection="false">
      <alignment horizontal="general" vertical="bottom" textRotation="0" wrapText="false" indent="0" shrinkToFit="false"/>
      <protection locked="true" hidden="false"/>
    </xf>
    <xf numFmtId="175" fontId="105" fillId="43" borderId="48" xfId="0" applyFont="true" applyBorder="true" applyAlignment="true" applyProtection="false">
      <alignment horizontal="general" vertical="bottom" textRotation="0" wrapText="false" indent="0" shrinkToFit="false"/>
      <protection locked="true" hidden="false"/>
    </xf>
    <xf numFmtId="175" fontId="105" fillId="43" borderId="58" xfId="0" applyFont="true" applyBorder="true" applyAlignment="true" applyProtection="false">
      <alignment horizontal="general" vertical="bottom" textRotation="0" wrapText="false" indent="0" shrinkToFit="false"/>
      <protection locked="true" hidden="false"/>
    </xf>
    <xf numFmtId="175" fontId="105" fillId="44" borderId="57" xfId="0" applyFont="true" applyBorder="true" applyAlignment="true" applyProtection="false">
      <alignment horizontal="general" vertical="bottom" textRotation="0" wrapText="false" indent="0" shrinkToFit="false"/>
      <protection locked="true" hidden="false"/>
    </xf>
    <xf numFmtId="175" fontId="105" fillId="44" borderId="48" xfId="0" applyFont="true" applyBorder="true" applyAlignment="true" applyProtection="false">
      <alignment horizontal="general" vertical="bottom" textRotation="0" wrapText="false" indent="0" shrinkToFit="false"/>
      <protection locked="true" hidden="false"/>
    </xf>
    <xf numFmtId="175" fontId="105" fillId="44" borderId="58" xfId="0" applyFont="true" applyBorder="true" applyAlignment="true" applyProtection="false">
      <alignment horizontal="general" vertical="bottom" textRotation="0" wrapText="false" indent="0" shrinkToFit="false"/>
      <protection locked="true" hidden="false"/>
    </xf>
    <xf numFmtId="175" fontId="105" fillId="5" borderId="57" xfId="0" applyFont="true" applyBorder="true" applyAlignment="true" applyProtection="false">
      <alignment horizontal="general" vertical="bottom" textRotation="0" wrapText="false" indent="0" shrinkToFit="false"/>
      <protection locked="true" hidden="false"/>
    </xf>
    <xf numFmtId="175" fontId="105" fillId="5" borderId="48" xfId="0" applyFont="true" applyBorder="true" applyAlignment="true" applyProtection="false">
      <alignment horizontal="general" vertical="bottom" textRotation="0" wrapText="false" indent="0" shrinkToFit="false"/>
      <protection locked="true" hidden="false"/>
    </xf>
    <xf numFmtId="175" fontId="105" fillId="5" borderId="58" xfId="0" applyFont="true" applyBorder="true" applyAlignment="true" applyProtection="false">
      <alignment horizontal="general" vertical="bottom" textRotation="0" wrapText="false" indent="0" shrinkToFit="false"/>
      <protection locked="true" hidden="false"/>
    </xf>
    <xf numFmtId="175" fontId="105" fillId="12" borderId="57" xfId="0" applyFont="true" applyBorder="true" applyAlignment="true" applyProtection="false">
      <alignment horizontal="general" vertical="bottom" textRotation="0" wrapText="false" indent="0" shrinkToFit="false"/>
      <protection locked="true" hidden="false"/>
    </xf>
    <xf numFmtId="175" fontId="105" fillId="12" borderId="48" xfId="0" applyFont="true" applyBorder="true" applyAlignment="true" applyProtection="false">
      <alignment horizontal="general" vertical="bottom" textRotation="0" wrapText="false" indent="0" shrinkToFit="false"/>
      <protection locked="true" hidden="false"/>
    </xf>
    <xf numFmtId="175" fontId="105" fillId="12" borderId="60" xfId="0" applyFont="true" applyBorder="true" applyAlignment="true" applyProtection="false">
      <alignment horizontal="general" vertical="bottom" textRotation="0" wrapText="false" indent="0" shrinkToFit="false"/>
      <protection locked="true" hidden="false"/>
    </xf>
    <xf numFmtId="174" fontId="105" fillId="2" borderId="59" xfId="0" applyFont="true" applyBorder="true" applyAlignment="true" applyProtection="false">
      <alignment horizontal="general" vertical="bottom" textRotation="0" wrapText="false" indent="0" shrinkToFit="false"/>
      <protection locked="true" hidden="false"/>
    </xf>
    <xf numFmtId="174" fontId="105" fillId="2" borderId="48" xfId="0" applyFont="true" applyBorder="true" applyAlignment="true" applyProtection="false">
      <alignment horizontal="general" vertical="bottom" textRotation="0" wrapText="false" indent="0" shrinkToFit="false"/>
      <protection locked="true" hidden="false"/>
    </xf>
    <xf numFmtId="174" fontId="105" fillId="2" borderId="58" xfId="0" applyFont="true" applyBorder="true" applyAlignment="true" applyProtection="false">
      <alignment horizontal="general" vertical="bottom" textRotation="0" wrapText="false" indent="0" shrinkToFit="false"/>
      <protection locked="true" hidden="false"/>
    </xf>
    <xf numFmtId="177" fontId="105" fillId="0" borderId="61" xfId="0" applyFont="true" applyBorder="true" applyAlignment="true" applyProtection="false">
      <alignment horizontal="left" vertical="bottom" textRotation="0" wrapText="false" indent="0" shrinkToFit="false"/>
      <protection locked="true" hidden="false"/>
    </xf>
    <xf numFmtId="177" fontId="105" fillId="0" borderId="49" xfId="0" applyFont="true" applyBorder="true" applyAlignment="true" applyProtection="false">
      <alignment horizontal="left" vertical="bottom" textRotation="0" wrapText="false" indent="0" shrinkToFit="false"/>
      <protection locked="true" hidden="false"/>
    </xf>
    <xf numFmtId="175" fontId="105" fillId="2" borderId="13" xfId="0" applyFont="true" applyBorder="true" applyAlignment="true" applyProtection="false">
      <alignment horizontal="general" vertical="bottom" textRotation="0" wrapText="false" indent="0" shrinkToFit="false"/>
      <protection locked="true" hidden="false"/>
    </xf>
    <xf numFmtId="175" fontId="105" fillId="2" borderId="62" xfId="0" applyFont="true" applyBorder="true" applyAlignment="true" applyProtection="false">
      <alignment horizontal="general" vertical="bottom" textRotation="0" wrapText="false" indent="0" shrinkToFit="false"/>
      <protection locked="true" hidden="false"/>
    </xf>
    <xf numFmtId="175" fontId="105" fillId="43" borderId="50" xfId="0" applyFont="true" applyBorder="true" applyAlignment="true" applyProtection="false">
      <alignment horizontal="general" vertical="bottom" textRotation="0" wrapText="false" indent="0" shrinkToFit="false"/>
      <protection locked="true" hidden="false"/>
    </xf>
    <xf numFmtId="175" fontId="105" fillId="43" borderId="13" xfId="0" applyFont="true" applyBorder="true" applyAlignment="true" applyProtection="false">
      <alignment horizontal="general" vertical="bottom" textRotation="0" wrapText="false" indent="0" shrinkToFit="false"/>
      <protection locked="true" hidden="false"/>
    </xf>
    <xf numFmtId="175" fontId="105" fillId="43" borderId="62" xfId="0" applyFont="true" applyBorder="true" applyAlignment="true" applyProtection="false">
      <alignment horizontal="general" vertical="bottom" textRotation="0" wrapText="false" indent="0" shrinkToFit="false"/>
      <protection locked="true" hidden="false"/>
    </xf>
    <xf numFmtId="175" fontId="105" fillId="44" borderId="49" xfId="0" applyFont="true" applyBorder="true" applyAlignment="true" applyProtection="false">
      <alignment horizontal="general" vertical="bottom" textRotation="0" wrapText="false" indent="0" shrinkToFit="false"/>
      <protection locked="true" hidden="false"/>
    </xf>
    <xf numFmtId="175" fontId="105" fillId="44" borderId="13" xfId="0" applyFont="true" applyBorder="true" applyAlignment="true" applyProtection="false">
      <alignment horizontal="general" vertical="bottom" textRotation="0" wrapText="false" indent="0" shrinkToFit="false"/>
      <protection locked="true" hidden="false"/>
    </xf>
    <xf numFmtId="175" fontId="105" fillId="44" borderId="62" xfId="0" applyFont="true" applyBorder="true" applyAlignment="true" applyProtection="false">
      <alignment horizontal="general" vertical="bottom" textRotation="0" wrapText="false" indent="0" shrinkToFit="false"/>
      <protection locked="true" hidden="false"/>
    </xf>
    <xf numFmtId="175" fontId="105" fillId="5" borderId="49" xfId="0" applyFont="true" applyBorder="true" applyAlignment="true" applyProtection="false">
      <alignment horizontal="general" vertical="bottom" textRotation="0" wrapText="false" indent="0" shrinkToFit="false"/>
      <protection locked="true" hidden="false"/>
    </xf>
    <xf numFmtId="175" fontId="105" fillId="5" borderId="13" xfId="0" applyFont="true" applyBorder="true" applyAlignment="true" applyProtection="false">
      <alignment horizontal="general" vertical="bottom" textRotation="0" wrapText="false" indent="0" shrinkToFit="false"/>
      <protection locked="true" hidden="false"/>
    </xf>
    <xf numFmtId="175" fontId="105" fillId="5" borderId="62" xfId="0" applyFont="true" applyBorder="true" applyAlignment="true" applyProtection="false">
      <alignment horizontal="general" vertical="bottom" textRotation="0" wrapText="false" indent="0" shrinkToFit="false"/>
      <protection locked="true" hidden="false"/>
    </xf>
    <xf numFmtId="175" fontId="105" fillId="12" borderId="49" xfId="0" applyFont="true" applyBorder="true" applyAlignment="true" applyProtection="false">
      <alignment horizontal="general" vertical="bottom" textRotation="0" wrapText="false" indent="0" shrinkToFit="false"/>
      <protection locked="true" hidden="false"/>
    </xf>
    <xf numFmtId="175" fontId="105" fillId="12" borderId="13" xfId="0" applyFont="true" applyBorder="true" applyAlignment="true" applyProtection="false">
      <alignment horizontal="general" vertical="bottom" textRotation="0" wrapText="false" indent="0" shrinkToFit="false"/>
      <protection locked="true" hidden="false"/>
    </xf>
    <xf numFmtId="175" fontId="105" fillId="12" borderId="62" xfId="0" applyFont="true" applyBorder="true" applyAlignment="true" applyProtection="false">
      <alignment horizontal="general" vertical="bottom" textRotation="0" wrapText="false" indent="0" shrinkToFit="false"/>
      <protection locked="true" hidden="false"/>
    </xf>
    <xf numFmtId="174" fontId="105" fillId="2" borderId="50" xfId="0" applyFont="true" applyBorder="true" applyAlignment="true" applyProtection="false">
      <alignment horizontal="general" vertical="bottom" textRotation="0" wrapText="false" indent="0" shrinkToFit="false"/>
      <protection locked="true" hidden="false"/>
    </xf>
    <xf numFmtId="174" fontId="105" fillId="2" borderId="13" xfId="0" applyFont="true" applyBorder="true" applyAlignment="true" applyProtection="false">
      <alignment horizontal="general" vertical="bottom" textRotation="0" wrapText="false" indent="0" shrinkToFit="false"/>
      <protection locked="true" hidden="false"/>
    </xf>
    <xf numFmtId="174" fontId="105" fillId="2" borderId="62" xfId="0" applyFont="true" applyBorder="true" applyAlignment="true" applyProtection="false">
      <alignment horizontal="general" vertical="bottom" textRotation="0" wrapText="false" indent="0" shrinkToFit="false"/>
      <protection locked="true" hidden="false"/>
    </xf>
    <xf numFmtId="177" fontId="105" fillId="0" borderId="63" xfId="0" applyFont="true" applyBorder="true" applyAlignment="true" applyProtection="false">
      <alignment horizontal="left" vertical="bottom" textRotation="0" wrapText="false" indent="0" shrinkToFit="false"/>
      <protection locked="true" hidden="false"/>
    </xf>
    <xf numFmtId="177" fontId="105" fillId="0" borderId="64" xfId="0" applyFont="true" applyBorder="true" applyAlignment="true" applyProtection="false">
      <alignment horizontal="left" vertical="bottom" textRotation="0" wrapText="false" indent="0" shrinkToFit="false"/>
      <protection locked="true" hidden="false"/>
    </xf>
    <xf numFmtId="175" fontId="105" fillId="2" borderId="65" xfId="0" applyFont="true" applyBorder="true" applyAlignment="true" applyProtection="false">
      <alignment horizontal="general" vertical="bottom" textRotation="0" wrapText="false" indent="0" shrinkToFit="false"/>
      <protection locked="true" hidden="false"/>
    </xf>
    <xf numFmtId="175" fontId="105" fillId="2" borderId="66" xfId="0" applyFont="true" applyBorder="true" applyAlignment="true" applyProtection="false">
      <alignment horizontal="general" vertical="bottom" textRotation="0" wrapText="false" indent="0" shrinkToFit="false"/>
      <protection locked="true" hidden="false"/>
    </xf>
    <xf numFmtId="175" fontId="105" fillId="43" borderId="67" xfId="0" applyFont="true" applyBorder="true" applyAlignment="true" applyProtection="false">
      <alignment horizontal="general" vertical="bottom" textRotation="0" wrapText="false" indent="0" shrinkToFit="false"/>
      <protection locked="true" hidden="false"/>
    </xf>
    <xf numFmtId="175" fontId="105" fillId="43" borderId="65" xfId="0" applyFont="true" applyBorder="true" applyAlignment="true" applyProtection="false">
      <alignment horizontal="general" vertical="bottom" textRotation="0" wrapText="false" indent="0" shrinkToFit="false"/>
      <protection locked="true" hidden="false"/>
    </xf>
    <xf numFmtId="175" fontId="105" fillId="43" borderId="66" xfId="0" applyFont="true" applyBorder="true" applyAlignment="true" applyProtection="false">
      <alignment horizontal="general" vertical="bottom" textRotation="0" wrapText="false" indent="0" shrinkToFit="false"/>
      <protection locked="true" hidden="false"/>
    </xf>
    <xf numFmtId="175" fontId="105" fillId="44" borderId="64" xfId="0" applyFont="true" applyBorder="true" applyAlignment="true" applyProtection="false">
      <alignment horizontal="general" vertical="bottom" textRotation="0" wrapText="false" indent="0" shrinkToFit="false"/>
      <protection locked="true" hidden="false"/>
    </xf>
    <xf numFmtId="175" fontId="105" fillId="44" borderId="65" xfId="0" applyFont="true" applyBorder="true" applyAlignment="true" applyProtection="false">
      <alignment horizontal="general" vertical="bottom" textRotation="0" wrapText="false" indent="0" shrinkToFit="false"/>
      <protection locked="true" hidden="false"/>
    </xf>
    <xf numFmtId="175" fontId="105" fillId="44" borderId="66" xfId="0" applyFont="true" applyBorder="true" applyAlignment="true" applyProtection="false">
      <alignment horizontal="general" vertical="bottom" textRotation="0" wrapText="false" indent="0" shrinkToFit="false"/>
      <protection locked="true" hidden="false"/>
    </xf>
    <xf numFmtId="175" fontId="105" fillId="5" borderId="64" xfId="0" applyFont="true" applyBorder="true" applyAlignment="true" applyProtection="false">
      <alignment horizontal="general" vertical="bottom" textRotation="0" wrapText="false" indent="0" shrinkToFit="false"/>
      <protection locked="true" hidden="false"/>
    </xf>
    <xf numFmtId="175" fontId="105" fillId="5" borderId="65" xfId="0" applyFont="true" applyBorder="true" applyAlignment="true" applyProtection="false">
      <alignment horizontal="general" vertical="bottom" textRotation="0" wrapText="false" indent="0" shrinkToFit="false"/>
      <protection locked="true" hidden="false"/>
    </xf>
    <xf numFmtId="175" fontId="105" fillId="5" borderId="66" xfId="0" applyFont="true" applyBorder="true" applyAlignment="true" applyProtection="false">
      <alignment horizontal="general" vertical="bottom" textRotation="0" wrapText="false" indent="0" shrinkToFit="false"/>
      <protection locked="true" hidden="false"/>
    </xf>
    <xf numFmtId="175" fontId="105" fillId="12" borderId="64" xfId="0" applyFont="true" applyBorder="true" applyAlignment="true" applyProtection="false">
      <alignment horizontal="general" vertical="bottom" textRotation="0" wrapText="false" indent="0" shrinkToFit="false"/>
      <protection locked="true" hidden="false"/>
    </xf>
    <xf numFmtId="175" fontId="105" fillId="12" borderId="65" xfId="0" applyFont="true" applyBorder="true" applyAlignment="true" applyProtection="false">
      <alignment horizontal="general" vertical="bottom" textRotation="0" wrapText="false" indent="0" shrinkToFit="false"/>
      <protection locked="true" hidden="false"/>
    </xf>
    <xf numFmtId="175" fontId="105" fillId="12" borderId="66" xfId="0" applyFont="true" applyBorder="true" applyAlignment="true" applyProtection="false">
      <alignment horizontal="general" vertical="bottom" textRotation="0" wrapText="false" indent="0" shrinkToFit="false"/>
      <protection locked="true" hidden="false"/>
    </xf>
    <xf numFmtId="174" fontId="105" fillId="2" borderId="67" xfId="0" applyFont="true" applyBorder="true" applyAlignment="true" applyProtection="false">
      <alignment horizontal="general" vertical="bottom" textRotation="0" wrapText="false" indent="0" shrinkToFit="false"/>
      <protection locked="true" hidden="false"/>
    </xf>
    <xf numFmtId="174" fontId="105" fillId="2" borderId="65" xfId="0" applyFont="true" applyBorder="true" applyAlignment="true" applyProtection="false">
      <alignment horizontal="general" vertical="bottom" textRotation="0" wrapText="false" indent="0" shrinkToFit="false"/>
      <protection locked="true" hidden="false"/>
    </xf>
    <xf numFmtId="174" fontId="105" fillId="2" borderId="66" xfId="0" applyFont="true" applyBorder="true" applyAlignment="true" applyProtection="false">
      <alignment horizontal="general" vertical="bottom" textRotation="0" wrapText="false" indent="0" shrinkToFit="false"/>
      <protection locked="true" hidden="false"/>
    </xf>
    <xf numFmtId="177" fontId="105" fillId="0" borderId="68" xfId="0" applyFont="true" applyBorder="true" applyAlignment="true" applyProtection="false">
      <alignment horizontal="left" vertical="bottom" textRotation="0" wrapText="false" indent="0" shrinkToFit="false"/>
      <protection locked="true" hidden="false"/>
    </xf>
    <xf numFmtId="177" fontId="111" fillId="44" borderId="23" xfId="0" applyFont="true" applyBorder="true" applyAlignment="true" applyProtection="false">
      <alignment horizontal="left" vertical="bottom" textRotation="0" wrapText="false" indent="0" shrinkToFit="false"/>
      <protection locked="true" hidden="false"/>
    </xf>
    <xf numFmtId="177" fontId="105" fillId="0" borderId="26" xfId="0" applyFont="true" applyBorder="true" applyAlignment="true" applyProtection="false">
      <alignment horizontal="center" vertical="bottom" textRotation="0" wrapText="false" indent="0" shrinkToFit="false"/>
      <protection locked="true" hidden="false"/>
    </xf>
    <xf numFmtId="177" fontId="105" fillId="0" borderId="46" xfId="0" applyFont="true" applyBorder="true" applyAlignment="true" applyProtection="false">
      <alignment horizontal="general" vertical="bottom" textRotation="0" wrapText="false" indent="0" shrinkToFit="false"/>
      <protection locked="true" hidden="false"/>
    </xf>
    <xf numFmtId="177" fontId="105" fillId="0" borderId="47" xfId="0" applyFont="true" applyBorder="true" applyAlignment="true" applyProtection="false">
      <alignment horizontal="general" vertical="bottom" textRotation="0" wrapText="false" indent="0" shrinkToFit="false"/>
      <protection locked="true" hidden="false"/>
    </xf>
    <xf numFmtId="177" fontId="105" fillId="0" borderId="40" xfId="0" applyFont="true" applyBorder="true" applyAlignment="true" applyProtection="false">
      <alignment horizontal="general" vertical="bottom" textRotation="0" wrapText="false" indent="0" shrinkToFit="false"/>
      <protection locked="true" hidden="false"/>
    </xf>
    <xf numFmtId="177" fontId="105" fillId="2" borderId="46" xfId="0" applyFont="true" applyBorder="true" applyAlignment="true" applyProtection="false">
      <alignment horizontal="general" vertical="bottom" textRotation="0" wrapText="false" indent="0" shrinkToFit="false"/>
      <protection locked="true" hidden="false"/>
    </xf>
    <xf numFmtId="177" fontId="111" fillId="2" borderId="31" xfId="0" applyFont="true" applyBorder="true" applyAlignment="true" applyProtection="false">
      <alignment horizontal="left" vertical="bottom" textRotation="0" wrapText="false" indent="0" shrinkToFit="false"/>
      <protection locked="true" hidden="false"/>
    </xf>
    <xf numFmtId="177" fontId="105" fillId="2" borderId="12" xfId="0" applyFont="true" applyBorder="true" applyAlignment="true" applyProtection="false">
      <alignment horizontal="general" vertical="bottom" textRotation="0" wrapText="false" indent="0" shrinkToFit="false"/>
      <protection locked="true" hidden="false"/>
    </xf>
    <xf numFmtId="177" fontId="106" fillId="2" borderId="12" xfId="0" applyFont="true" applyBorder="true" applyAlignment="true" applyProtection="false">
      <alignment horizontal="general" vertical="bottom" textRotation="0" wrapText="false" indent="0" shrinkToFit="false"/>
      <protection locked="true" hidden="false"/>
    </xf>
    <xf numFmtId="177" fontId="105" fillId="2" borderId="60" xfId="0" applyFont="true" applyBorder="true" applyAlignment="true" applyProtection="false">
      <alignment horizontal="general" vertical="bottom" textRotation="0" wrapText="false" indent="0" shrinkToFit="false"/>
      <protection locked="true" hidden="false"/>
    </xf>
    <xf numFmtId="177" fontId="106" fillId="43" borderId="59" xfId="0" applyFont="true" applyBorder="true" applyAlignment="true" applyProtection="false">
      <alignment horizontal="general" vertical="bottom" textRotation="0" wrapText="false" indent="0" shrinkToFit="false"/>
      <protection locked="true" hidden="false"/>
    </xf>
    <xf numFmtId="177" fontId="105" fillId="43" borderId="48" xfId="0" applyFont="true" applyBorder="true" applyAlignment="true" applyProtection="false">
      <alignment horizontal="general" vertical="bottom" textRotation="0" wrapText="false" indent="0" shrinkToFit="false"/>
      <protection locked="true" hidden="false"/>
    </xf>
    <xf numFmtId="177" fontId="106" fillId="43" borderId="12" xfId="0" applyFont="true" applyBorder="true" applyAlignment="true" applyProtection="false">
      <alignment horizontal="general" vertical="bottom" textRotation="0" wrapText="false" indent="0" shrinkToFit="false"/>
      <protection locked="true" hidden="false"/>
    </xf>
    <xf numFmtId="177" fontId="105" fillId="43" borderId="58" xfId="0" applyFont="true" applyBorder="true" applyAlignment="true" applyProtection="false">
      <alignment horizontal="general" vertical="bottom" textRotation="0" wrapText="false" indent="0" shrinkToFit="false"/>
      <protection locked="true" hidden="false"/>
    </xf>
    <xf numFmtId="177" fontId="105" fillId="44" borderId="57" xfId="0" applyFont="true" applyBorder="true" applyAlignment="true" applyProtection="false">
      <alignment horizontal="general" vertical="bottom" textRotation="0" wrapText="false" indent="0" shrinkToFit="false"/>
      <protection locked="true" hidden="false"/>
    </xf>
    <xf numFmtId="177" fontId="105" fillId="44" borderId="48" xfId="0" applyFont="true" applyBorder="true" applyAlignment="true" applyProtection="false">
      <alignment horizontal="general" vertical="bottom" textRotation="0" wrapText="false" indent="0" shrinkToFit="false"/>
      <protection locked="true" hidden="false"/>
    </xf>
    <xf numFmtId="177" fontId="105" fillId="44" borderId="58" xfId="0" applyFont="true" applyBorder="true" applyAlignment="true" applyProtection="false">
      <alignment horizontal="general" vertical="bottom" textRotation="0" wrapText="false" indent="0" shrinkToFit="false"/>
      <protection locked="true" hidden="false"/>
    </xf>
    <xf numFmtId="177" fontId="105" fillId="5" borderId="69" xfId="0" applyFont="true" applyBorder="true" applyAlignment="true" applyProtection="false">
      <alignment horizontal="general" vertical="bottom" textRotation="0" wrapText="false" indent="0" shrinkToFit="false"/>
      <protection locked="true" hidden="false"/>
    </xf>
    <xf numFmtId="177" fontId="105" fillId="5" borderId="12" xfId="0" applyFont="true" applyBorder="true" applyAlignment="true" applyProtection="false">
      <alignment horizontal="general" vertical="bottom" textRotation="0" wrapText="false" indent="0" shrinkToFit="false"/>
      <protection locked="true" hidden="false"/>
    </xf>
    <xf numFmtId="177" fontId="105" fillId="5" borderId="60" xfId="0" applyFont="true" applyBorder="true" applyAlignment="true" applyProtection="false">
      <alignment horizontal="general" vertical="bottom" textRotation="0" wrapText="false" indent="0" shrinkToFit="false"/>
      <protection locked="true" hidden="false"/>
    </xf>
    <xf numFmtId="177" fontId="105" fillId="12" borderId="69" xfId="0" applyFont="true" applyBorder="true" applyAlignment="true" applyProtection="false">
      <alignment horizontal="general" vertical="bottom" textRotation="0" wrapText="false" indent="0" shrinkToFit="false"/>
      <protection locked="true" hidden="false"/>
    </xf>
    <xf numFmtId="177" fontId="105" fillId="12" borderId="12" xfId="0" applyFont="true" applyBorder="true" applyAlignment="true" applyProtection="false">
      <alignment horizontal="general" vertical="bottom" textRotation="0" wrapText="false" indent="0" shrinkToFit="false"/>
      <protection locked="true" hidden="false"/>
    </xf>
    <xf numFmtId="177" fontId="105" fillId="12" borderId="60" xfId="0" applyFont="true" applyBorder="true" applyAlignment="true" applyProtection="false">
      <alignment horizontal="general" vertical="bottom" textRotation="0" wrapText="false" indent="0" shrinkToFit="false"/>
      <protection locked="true" hidden="false"/>
    </xf>
    <xf numFmtId="177" fontId="105" fillId="2" borderId="19" xfId="0" applyFont="true" applyBorder="true" applyAlignment="true" applyProtection="false">
      <alignment horizontal="general" vertical="bottom" textRotation="0" wrapText="false" indent="0" shrinkToFit="false"/>
      <protection locked="true" hidden="false"/>
    </xf>
    <xf numFmtId="177" fontId="105" fillId="2" borderId="13" xfId="0" applyFont="true" applyBorder="true" applyAlignment="true" applyProtection="false">
      <alignment horizontal="general" vertical="bottom" textRotation="0" wrapText="false" indent="0" shrinkToFit="false"/>
      <protection locked="true" hidden="false"/>
    </xf>
    <xf numFmtId="177" fontId="105" fillId="2" borderId="62" xfId="0" applyFont="true" applyBorder="true" applyAlignment="true" applyProtection="false">
      <alignment horizontal="general" vertical="bottom" textRotation="0" wrapText="false" indent="0" shrinkToFit="false"/>
      <protection locked="true" hidden="false"/>
    </xf>
    <xf numFmtId="177" fontId="105" fillId="43" borderId="50" xfId="0" applyFont="true" applyBorder="true" applyAlignment="true" applyProtection="false">
      <alignment horizontal="general" vertical="bottom" textRotation="0" wrapText="false" indent="0" shrinkToFit="false"/>
      <protection locked="true" hidden="false"/>
    </xf>
    <xf numFmtId="177" fontId="105" fillId="43" borderId="13" xfId="0" applyFont="true" applyBorder="true" applyAlignment="true" applyProtection="false">
      <alignment horizontal="general" vertical="bottom" textRotation="0" wrapText="false" indent="0" shrinkToFit="false"/>
      <protection locked="true" hidden="false"/>
    </xf>
    <xf numFmtId="177" fontId="105" fillId="43" borderId="62" xfId="0" applyFont="true" applyBorder="true" applyAlignment="true" applyProtection="false">
      <alignment horizontal="general" vertical="bottom" textRotation="0" wrapText="false" indent="0" shrinkToFit="false"/>
      <protection locked="true" hidden="false"/>
    </xf>
    <xf numFmtId="177" fontId="105" fillId="44" borderId="49" xfId="0" applyFont="true" applyBorder="true" applyAlignment="true" applyProtection="false">
      <alignment horizontal="general" vertical="bottom" textRotation="0" wrapText="false" indent="0" shrinkToFit="false"/>
      <protection locked="true" hidden="false"/>
    </xf>
    <xf numFmtId="177" fontId="105" fillId="44" borderId="13" xfId="0" applyFont="true" applyBorder="true" applyAlignment="true" applyProtection="false">
      <alignment horizontal="general" vertical="bottom" textRotation="0" wrapText="false" indent="0" shrinkToFit="false"/>
      <protection locked="true" hidden="false"/>
    </xf>
    <xf numFmtId="177" fontId="105" fillId="44" borderId="62" xfId="0" applyFont="true" applyBorder="true" applyAlignment="true" applyProtection="false">
      <alignment horizontal="general" vertical="bottom" textRotation="0" wrapText="false" indent="0" shrinkToFit="false"/>
      <protection locked="true" hidden="false"/>
    </xf>
    <xf numFmtId="177" fontId="105" fillId="5" borderId="49" xfId="0" applyFont="true" applyBorder="true" applyAlignment="true" applyProtection="false">
      <alignment horizontal="general" vertical="bottom" textRotation="0" wrapText="false" indent="0" shrinkToFit="false"/>
      <protection locked="true" hidden="false"/>
    </xf>
    <xf numFmtId="177" fontId="105" fillId="5" borderId="13" xfId="0" applyFont="true" applyBorder="true" applyAlignment="true" applyProtection="false">
      <alignment horizontal="general" vertical="bottom" textRotation="0" wrapText="false" indent="0" shrinkToFit="false"/>
      <protection locked="true" hidden="false"/>
    </xf>
    <xf numFmtId="177" fontId="105" fillId="5" borderId="62" xfId="0" applyFont="true" applyBorder="true" applyAlignment="true" applyProtection="false">
      <alignment horizontal="general" vertical="bottom" textRotation="0" wrapText="false" indent="0" shrinkToFit="false"/>
      <protection locked="true" hidden="false"/>
    </xf>
    <xf numFmtId="177" fontId="105" fillId="12" borderId="49" xfId="0" applyFont="true" applyBorder="true" applyAlignment="true" applyProtection="false">
      <alignment horizontal="general" vertical="bottom" textRotation="0" wrapText="false" indent="0" shrinkToFit="false"/>
      <protection locked="true" hidden="false"/>
    </xf>
    <xf numFmtId="177" fontId="105" fillId="12" borderId="13" xfId="0" applyFont="true" applyBorder="true" applyAlignment="true" applyProtection="false">
      <alignment horizontal="general" vertical="bottom" textRotation="0" wrapText="false" indent="0" shrinkToFit="false"/>
      <protection locked="true" hidden="false"/>
    </xf>
    <xf numFmtId="177" fontId="105" fillId="12" borderId="62" xfId="0" applyFont="true" applyBorder="true" applyAlignment="true" applyProtection="false">
      <alignment horizontal="general" vertical="bottom" textRotation="0" wrapText="false" indent="0" shrinkToFit="false"/>
      <protection locked="true" hidden="false"/>
    </xf>
    <xf numFmtId="177" fontId="105" fillId="2" borderId="50" xfId="0" applyFont="true" applyBorder="true" applyAlignment="true" applyProtection="false">
      <alignment horizontal="general" vertical="bottom" textRotation="0" wrapText="false" indent="0" shrinkToFit="false"/>
      <protection locked="true" hidden="false"/>
    </xf>
    <xf numFmtId="177" fontId="105" fillId="2" borderId="49" xfId="0" applyFont="true" applyBorder="true" applyAlignment="true" applyProtection="false">
      <alignment horizontal="left" vertical="bottom" textRotation="0" wrapText="false" indent="0" shrinkToFit="false"/>
      <protection locked="true" hidden="false"/>
    </xf>
    <xf numFmtId="168" fontId="105" fillId="2" borderId="13" xfId="0" applyFont="true" applyBorder="true" applyAlignment="true" applyProtection="false">
      <alignment horizontal="general" vertical="bottom" textRotation="0" wrapText="false" indent="0" shrinkToFit="false"/>
      <protection locked="true" hidden="false"/>
    </xf>
    <xf numFmtId="168" fontId="105" fillId="2" borderId="62" xfId="0" applyFont="true" applyBorder="true" applyAlignment="true" applyProtection="false">
      <alignment horizontal="general" vertical="bottom" textRotation="0" wrapText="false" indent="0" shrinkToFit="false"/>
      <protection locked="true" hidden="false"/>
    </xf>
    <xf numFmtId="177" fontId="105" fillId="2" borderId="63" xfId="0" applyFont="true" applyBorder="true" applyAlignment="true" applyProtection="false">
      <alignment horizontal="left" vertical="bottom" textRotation="0" wrapText="false" indent="0" shrinkToFit="false"/>
      <protection locked="true" hidden="false"/>
    </xf>
    <xf numFmtId="177" fontId="105" fillId="2" borderId="65" xfId="0" applyFont="true" applyBorder="true" applyAlignment="true" applyProtection="false">
      <alignment horizontal="general" vertical="bottom" textRotation="0" wrapText="false" indent="0" shrinkToFit="false"/>
      <protection locked="true" hidden="false"/>
    </xf>
    <xf numFmtId="177" fontId="105" fillId="2" borderId="66" xfId="0" applyFont="true" applyBorder="true" applyAlignment="true" applyProtection="false">
      <alignment horizontal="general" vertical="bottom" textRotation="0" wrapText="false" indent="0" shrinkToFit="false"/>
      <protection locked="true" hidden="false"/>
    </xf>
    <xf numFmtId="177" fontId="105" fillId="43" borderId="67" xfId="0" applyFont="true" applyBorder="true" applyAlignment="true" applyProtection="false">
      <alignment horizontal="general" vertical="bottom" textRotation="0" wrapText="false" indent="0" shrinkToFit="false"/>
      <protection locked="true" hidden="false"/>
    </xf>
    <xf numFmtId="177" fontId="105" fillId="43" borderId="65" xfId="0" applyFont="true" applyBorder="true" applyAlignment="true" applyProtection="false">
      <alignment horizontal="general" vertical="bottom" textRotation="0" wrapText="false" indent="0" shrinkToFit="false"/>
      <protection locked="true" hidden="false"/>
    </xf>
    <xf numFmtId="177" fontId="105" fillId="43" borderId="66" xfId="0" applyFont="true" applyBorder="true" applyAlignment="true" applyProtection="false">
      <alignment horizontal="general" vertical="bottom" textRotation="0" wrapText="false" indent="0" shrinkToFit="false"/>
      <protection locked="true" hidden="false"/>
    </xf>
    <xf numFmtId="177" fontId="105" fillId="44" borderId="64" xfId="0" applyFont="true" applyBorder="true" applyAlignment="true" applyProtection="false">
      <alignment horizontal="general" vertical="bottom" textRotation="0" wrapText="false" indent="0" shrinkToFit="false"/>
      <protection locked="true" hidden="false"/>
    </xf>
    <xf numFmtId="177" fontId="105" fillId="44" borderId="65" xfId="0" applyFont="true" applyBorder="true" applyAlignment="true" applyProtection="false">
      <alignment horizontal="general" vertical="bottom" textRotation="0" wrapText="false" indent="0" shrinkToFit="false"/>
      <protection locked="true" hidden="false"/>
    </xf>
    <xf numFmtId="177" fontId="105" fillId="44" borderId="66" xfId="0" applyFont="true" applyBorder="true" applyAlignment="true" applyProtection="false">
      <alignment horizontal="general" vertical="bottom" textRotation="0" wrapText="false" indent="0" shrinkToFit="false"/>
      <protection locked="true" hidden="false"/>
    </xf>
    <xf numFmtId="177" fontId="105" fillId="5" borderId="64" xfId="0" applyFont="true" applyBorder="true" applyAlignment="true" applyProtection="false">
      <alignment horizontal="general" vertical="bottom" textRotation="0" wrapText="false" indent="0" shrinkToFit="false"/>
      <protection locked="true" hidden="false"/>
    </xf>
    <xf numFmtId="177" fontId="105" fillId="5" borderId="65" xfId="0" applyFont="true" applyBorder="true" applyAlignment="true" applyProtection="false">
      <alignment horizontal="general" vertical="bottom" textRotation="0" wrapText="false" indent="0" shrinkToFit="false"/>
      <protection locked="true" hidden="false"/>
    </xf>
    <xf numFmtId="177" fontId="105" fillId="5" borderId="66" xfId="0" applyFont="true" applyBorder="true" applyAlignment="true" applyProtection="false">
      <alignment horizontal="general" vertical="bottom" textRotation="0" wrapText="false" indent="0" shrinkToFit="false"/>
      <protection locked="true" hidden="false"/>
    </xf>
    <xf numFmtId="177" fontId="105" fillId="12" borderId="64" xfId="0" applyFont="true" applyBorder="true" applyAlignment="true" applyProtection="false">
      <alignment horizontal="general" vertical="bottom" textRotation="0" wrapText="false" indent="0" shrinkToFit="false"/>
      <protection locked="true" hidden="false"/>
    </xf>
    <xf numFmtId="177" fontId="105" fillId="12" borderId="65" xfId="0" applyFont="true" applyBorder="true" applyAlignment="true" applyProtection="false">
      <alignment horizontal="general" vertical="bottom" textRotation="0" wrapText="false" indent="0" shrinkToFit="false"/>
      <protection locked="true" hidden="false"/>
    </xf>
    <xf numFmtId="177" fontId="105" fillId="12" borderId="66" xfId="0" applyFont="true" applyBorder="true" applyAlignment="true" applyProtection="false">
      <alignment horizontal="general" vertical="bottom" textRotation="0" wrapText="false" indent="0" shrinkToFit="false"/>
      <protection locked="true" hidden="false"/>
    </xf>
    <xf numFmtId="177" fontId="105" fillId="2" borderId="67" xfId="0" applyFont="true" applyBorder="true" applyAlignment="true" applyProtection="false">
      <alignment horizontal="general" vertical="bottom" textRotation="0" wrapText="false" indent="0" shrinkToFit="false"/>
      <protection locked="true" hidden="false"/>
    </xf>
    <xf numFmtId="177" fontId="111" fillId="44" borderId="40" xfId="0" applyFont="true" applyBorder="true" applyAlignment="true" applyProtection="false">
      <alignment horizontal="left" vertical="bottom" textRotation="0" wrapText="false" indent="0" shrinkToFit="false"/>
      <protection locked="true" hidden="false"/>
    </xf>
    <xf numFmtId="177" fontId="105" fillId="2" borderId="11" xfId="0" applyFont="true" applyBorder="true" applyAlignment="true" applyProtection="false">
      <alignment horizontal="general" vertical="bottom" textRotation="0" wrapText="false" indent="0" shrinkToFit="false"/>
      <protection locked="true" hidden="false"/>
    </xf>
    <xf numFmtId="177" fontId="111" fillId="2" borderId="26" xfId="0" applyFont="true" applyBorder="true" applyAlignment="true" applyProtection="false">
      <alignment horizontal="left" vertical="bottom" textRotation="0" wrapText="false" indent="0" shrinkToFit="false"/>
      <protection locked="true" hidden="false"/>
    </xf>
    <xf numFmtId="177" fontId="105" fillId="2" borderId="48" xfId="0" applyFont="true" applyBorder="true" applyAlignment="true" applyProtection="false">
      <alignment horizontal="general" vertical="bottom" textRotation="0" wrapText="false" indent="0" shrinkToFit="false"/>
      <protection locked="true" hidden="false"/>
    </xf>
    <xf numFmtId="177" fontId="106" fillId="2" borderId="48" xfId="0" applyFont="true" applyBorder="true" applyAlignment="true" applyProtection="false">
      <alignment horizontal="general" vertical="bottom" textRotation="0" wrapText="false" indent="0" shrinkToFit="false"/>
      <protection locked="true" hidden="false"/>
    </xf>
    <xf numFmtId="177" fontId="106" fillId="43" borderId="19" xfId="0" applyFont="true" applyBorder="true" applyAlignment="true" applyProtection="false">
      <alignment horizontal="general" vertical="bottom" textRotation="0" wrapText="false" indent="0" shrinkToFit="false"/>
      <protection locked="true" hidden="false"/>
    </xf>
    <xf numFmtId="177" fontId="105" fillId="43" borderId="12" xfId="0" applyFont="true" applyBorder="true" applyAlignment="true" applyProtection="false">
      <alignment horizontal="general" vertical="bottom" textRotation="0" wrapText="false" indent="0" shrinkToFit="false"/>
      <protection locked="true" hidden="false"/>
    </xf>
    <xf numFmtId="177" fontId="105" fillId="43" borderId="60" xfId="0" applyFont="true" applyBorder="true" applyAlignment="true" applyProtection="false">
      <alignment horizontal="general" vertical="bottom" textRotation="0" wrapText="false" indent="0" shrinkToFit="false"/>
      <protection locked="true" hidden="false"/>
    </xf>
    <xf numFmtId="177" fontId="105" fillId="44" borderId="69" xfId="0" applyFont="true" applyBorder="true" applyAlignment="true" applyProtection="false">
      <alignment horizontal="general" vertical="bottom" textRotation="0" wrapText="false" indent="0" shrinkToFit="false"/>
      <protection locked="true" hidden="false"/>
    </xf>
    <xf numFmtId="177" fontId="105" fillId="44" borderId="12" xfId="0" applyFont="true" applyBorder="true" applyAlignment="true" applyProtection="false">
      <alignment horizontal="general" vertical="bottom" textRotation="0" wrapText="false" indent="0" shrinkToFit="false"/>
      <protection locked="true" hidden="false"/>
    </xf>
    <xf numFmtId="177" fontId="105" fillId="44" borderId="60" xfId="0" applyFont="true" applyBorder="true" applyAlignment="true" applyProtection="false">
      <alignment horizontal="general" vertical="bottom" textRotation="0" wrapText="false" indent="0" shrinkToFit="false"/>
      <protection locked="true" hidden="false"/>
    </xf>
    <xf numFmtId="177" fontId="112" fillId="43" borderId="13" xfId="0" applyFont="true" applyBorder="true" applyAlignment="true" applyProtection="false">
      <alignment horizontal="general" vertical="bottom" textRotation="0" wrapText="false" indent="0" shrinkToFit="false"/>
      <protection locked="true" hidden="false"/>
    </xf>
    <xf numFmtId="177" fontId="112" fillId="43" borderId="62" xfId="0" applyFont="true" applyBorder="true" applyAlignment="true" applyProtection="false">
      <alignment horizontal="general" vertical="bottom" textRotation="0" wrapText="false" indent="0" shrinkToFit="false"/>
      <protection locked="true" hidden="false"/>
    </xf>
    <xf numFmtId="177" fontId="113" fillId="2" borderId="13" xfId="0" applyFont="true" applyBorder="true" applyAlignment="true" applyProtection="false">
      <alignment horizontal="general" vertical="bottom" textRotation="0" wrapText="false" indent="0" shrinkToFit="false"/>
      <protection locked="true" hidden="false"/>
    </xf>
    <xf numFmtId="177" fontId="113" fillId="2" borderId="62" xfId="0" applyFont="true" applyBorder="true" applyAlignment="true" applyProtection="false">
      <alignment horizontal="general" vertical="bottom" textRotation="0" wrapText="false" indent="0" shrinkToFit="false"/>
      <protection locked="true" hidden="false"/>
    </xf>
    <xf numFmtId="177" fontId="113" fillId="43" borderId="50" xfId="0" applyFont="true" applyBorder="true" applyAlignment="true" applyProtection="false">
      <alignment horizontal="general" vertical="bottom" textRotation="0" wrapText="false" indent="0" shrinkToFit="false"/>
      <protection locked="true" hidden="false"/>
    </xf>
    <xf numFmtId="177" fontId="113" fillId="43" borderId="13" xfId="0" applyFont="true" applyBorder="true" applyAlignment="true" applyProtection="false">
      <alignment horizontal="general" vertical="bottom" textRotation="0" wrapText="false" indent="0" shrinkToFit="false"/>
      <protection locked="true" hidden="false"/>
    </xf>
    <xf numFmtId="177" fontId="113" fillId="43" borderId="62" xfId="0" applyFont="true" applyBorder="true" applyAlignment="true" applyProtection="false">
      <alignment horizontal="general" vertical="bottom" textRotation="0" wrapText="false" indent="0" shrinkToFit="false"/>
      <protection locked="true" hidden="false"/>
    </xf>
    <xf numFmtId="177" fontId="113" fillId="44" borderId="49" xfId="0" applyFont="true" applyBorder="true" applyAlignment="true" applyProtection="false">
      <alignment horizontal="general" vertical="bottom" textRotation="0" wrapText="false" indent="0" shrinkToFit="false"/>
      <protection locked="true" hidden="false"/>
    </xf>
    <xf numFmtId="177" fontId="113" fillId="44" borderId="13" xfId="0" applyFont="true" applyBorder="true" applyAlignment="true" applyProtection="false">
      <alignment horizontal="general" vertical="bottom" textRotation="0" wrapText="false" indent="0" shrinkToFit="false"/>
      <protection locked="true" hidden="false"/>
    </xf>
    <xf numFmtId="177" fontId="113" fillId="44" borderId="62" xfId="0" applyFont="true" applyBorder="true" applyAlignment="true" applyProtection="false">
      <alignment horizontal="general" vertical="bottom" textRotation="0" wrapText="false" indent="0" shrinkToFit="false"/>
      <protection locked="true" hidden="false"/>
    </xf>
    <xf numFmtId="177" fontId="113" fillId="5" borderId="49" xfId="0" applyFont="true" applyBorder="true" applyAlignment="true" applyProtection="false">
      <alignment horizontal="general" vertical="bottom" textRotation="0" wrapText="false" indent="0" shrinkToFit="false"/>
      <protection locked="true" hidden="false"/>
    </xf>
    <xf numFmtId="177" fontId="113" fillId="5" borderId="13" xfId="0" applyFont="true" applyBorder="true" applyAlignment="true" applyProtection="false">
      <alignment horizontal="general" vertical="bottom" textRotation="0" wrapText="false" indent="0" shrinkToFit="false"/>
      <protection locked="true" hidden="false"/>
    </xf>
    <xf numFmtId="177" fontId="113" fillId="5" borderId="62" xfId="0" applyFont="true" applyBorder="true" applyAlignment="true" applyProtection="false">
      <alignment horizontal="general" vertical="bottom" textRotation="0" wrapText="false" indent="0" shrinkToFit="false"/>
      <protection locked="true" hidden="false"/>
    </xf>
    <xf numFmtId="177" fontId="113" fillId="12" borderId="49" xfId="0" applyFont="true" applyBorder="true" applyAlignment="true" applyProtection="false">
      <alignment horizontal="general" vertical="bottom" textRotation="0" wrapText="false" indent="0" shrinkToFit="false"/>
      <protection locked="true" hidden="false"/>
    </xf>
    <xf numFmtId="177" fontId="113" fillId="12" borderId="13" xfId="0" applyFont="true" applyBorder="true" applyAlignment="true" applyProtection="false">
      <alignment horizontal="general" vertical="bottom" textRotation="0" wrapText="false" indent="0" shrinkToFit="false"/>
      <protection locked="true" hidden="false"/>
    </xf>
    <xf numFmtId="177" fontId="113" fillId="12" borderId="60" xfId="0" applyFont="true" applyBorder="true" applyAlignment="true" applyProtection="false">
      <alignment horizontal="general" vertical="bottom" textRotation="0" wrapText="false" indent="0" shrinkToFit="false"/>
      <protection locked="true" hidden="false"/>
    </xf>
    <xf numFmtId="168" fontId="105" fillId="43" borderId="67" xfId="0" applyFont="true" applyBorder="true" applyAlignment="true" applyProtection="false">
      <alignment horizontal="general" vertical="bottom" textRotation="0" wrapText="false" indent="0" shrinkToFit="false"/>
      <protection locked="true" hidden="false"/>
    </xf>
    <xf numFmtId="168" fontId="105" fillId="43" borderId="65" xfId="0" applyFont="true" applyBorder="true" applyAlignment="true" applyProtection="false">
      <alignment horizontal="general" vertical="bottom" textRotation="0" wrapText="false" indent="0" shrinkToFit="false"/>
      <protection locked="true" hidden="false"/>
    </xf>
    <xf numFmtId="168" fontId="105" fillId="43" borderId="66" xfId="0" applyFont="true" applyBorder="true" applyAlignment="true" applyProtection="false">
      <alignment horizontal="general" vertical="bottom" textRotation="0" wrapText="false" indent="0" shrinkToFit="false"/>
      <protection locked="true" hidden="false"/>
    </xf>
    <xf numFmtId="168" fontId="105" fillId="44" borderId="64" xfId="0" applyFont="true" applyBorder="true" applyAlignment="true" applyProtection="false">
      <alignment horizontal="general" vertical="bottom" textRotation="0" wrapText="false" indent="0" shrinkToFit="false"/>
      <protection locked="true" hidden="false"/>
    </xf>
    <xf numFmtId="168" fontId="105" fillId="44" borderId="65" xfId="0" applyFont="true" applyBorder="true" applyAlignment="true" applyProtection="false">
      <alignment horizontal="general" vertical="bottom" textRotation="0" wrapText="false" indent="0" shrinkToFit="false"/>
      <protection locked="true" hidden="false"/>
    </xf>
    <xf numFmtId="168" fontId="105" fillId="44" borderId="66" xfId="0" applyFont="true" applyBorder="true" applyAlignment="true" applyProtection="false">
      <alignment horizontal="general" vertical="bottom" textRotation="0" wrapText="false" indent="0" shrinkToFit="false"/>
      <protection locked="true" hidden="false"/>
    </xf>
    <xf numFmtId="168" fontId="105" fillId="5" borderId="64" xfId="0" applyFont="true" applyBorder="true" applyAlignment="true" applyProtection="false">
      <alignment horizontal="general" vertical="bottom" textRotation="0" wrapText="false" indent="0" shrinkToFit="false"/>
      <protection locked="true" hidden="false"/>
    </xf>
    <xf numFmtId="168" fontId="105" fillId="5" borderId="65" xfId="0" applyFont="true" applyBorder="true" applyAlignment="true" applyProtection="false">
      <alignment horizontal="general" vertical="bottom" textRotation="0" wrapText="false" indent="0" shrinkToFit="false"/>
      <protection locked="true" hidden="false"/>
    </xf>
    <xf numFmtId="168" fontId="105" fillId="5" borderId="66" xfId="0" applyFont="true" applyBorder="true" applyAlignment="true" applyProtection="false">
      <alignment horizontal="general" vertical="bottom" textRotation="0" wrapText="false" indent="0" shrinkToFit="false"/>
      <protection locked="true" hidden="false"/>
    </xf>
    <xf numFmtId="168" fontId="105" fillId="12" borderId="64" xfId="0" applyFont="true" applyBorder="true" applyAlignment="true" applyProtection="false">
      <alignment horizontal="general" vertical="bottom" textRotation="0" wrapText="false" indent="0" shrinkToFit="false"/>
      <protection locked="true" hidden="false"/>
    </xf>
    <xf numFmtId="168" fontId="105" fillId="12" borderId="65" xfId="0" applyFont="true" applyBorder="true" applyAlignment="true" applyProtection="false">
      <alignment horizontal="general" vertical="bottom" textRotation="0" wrapText="false" indent="0" shrinkToFit="false"/>
      <protection locked="true" hidden="false"/>
    </xf>
    <xf numFmtId="168" fontId="105" fillId="12" borderId="66" xfId="0" applyFont="true" applyBorder="true" applyAlignment="true" applyProtection="false">
      <alignment horizontal="general" vertical="bottom" textRotation="0" wrapText="false" indent="0" shrinkToFit="false"/>
      <protection locked="true" hidden="false"/>
    </xf>
    <xf numFmtId="177" fontId="114" fillId="0" borderId="23" xfId="0" applyFont="true" applyBorder="true" applyAlignment="true" applyProtection="false">
      <alignment horizontal="left" vertical="bottom" textRotation="0" wrapText="false" indent="0" shrinkToFit="false"/>
      <protection locked="true" hidden="false"/>
    </xf>
    <xf numFmtId="177" fontId="115" fillId="2" borderId="0" xfId="0" applyFont="true" applyBorder="false" applyAlignment="true" applyProtection="false">
      <alignment horizontal="general" vertical="bottom" textRotation="0" wrapText="false" indent="0" shrinkToFit="false"/>
      <protection locked="true" hidden="false"/>
    </xf>
    <xf numFmtId="177" fontId="115" fillId="2" borderId="18" xfId="0" applyFont="true" applyBorder="true" applyAlignment="true" applyProtection="false">
      <alignment horizontal="general" vertical="bottom" textRotation="0" wrapText="false" indent="0" shrinkToFit="false"/>
      <protection locked="true" hidden="false"/>
    </xf>
    <xf numFmtId="177" fontId="105" fillId="0" borderId="0" xfId="0" applyFont="true" applyBorder="false" applyAlignment="true" applyProtection="false">
      <alignment horizontal="general" vertical="bottom" textRotation="0" wrapText="false" indent="0" shrinkToFit="false"/>
      <protection locked="true" hidden="false"/>
    </xf>
    <xf numFmtId="177" fontId="105" fillId="0" borderId="18" xfId="0" applyFont="true" applyBorder="true" applyAlignment="true" applyProtection="false">
      <alignment horizontal="general" vertical="bottom" textRotation="0" wrapText="false" indent="0" shrinkToFit="false"/>
      <protection locked="true" hidden="false"/>
    </xf>
    <xf numFmtId="177" fontId="105" fillId="0" borderId="23" xfId="0" applyFont="true" applyBorder="true" applyAlignment="true" applyProtection="false">
      <alignment horizontal="general" vertical="bottom" textRotation="0" wrapText="false" indent="0" shrinkToFit="false"/>
      <protection locked="true" hidden="false"/>
    </xf>
    <xf numFmtId="177" fontId="115" fillId="0" borderId="18" xfId="0" applyFont="true" applyBorder="true" applyAlignment="true" applyProtection="false">
      <alignment horizontal="general" vertical="bottom" textRotation="0" wrapText="false" indent="0" shrinkToFit="false"/>
      <protection locked="true" hidden="false"/>
    </xf>
    <xf numFmtId="177" fontId="115" fillId="2" borderId="15" xfId="0" applyFont="true" applyBorder="true" applyAlignment="true" applyProtection="false">
      <alignment horizontal="general" vertical="bottom" textRotation="0" wrapText="false" indent="0" shrinkToFit="false"/>
      <protection locked="true" hidden="false"/>
    </xf>
    <xf numFmtId="177" fontId="105" fillId="2" borderId="15" xfId="0" applyFont="true" applyBorder="true" applyAlignment="true" applyProtection="false">
      <alignment horizontal="general" vertical="bottom" textRotation="0" wrapText="false" indent="0" shrinkToFit="false"/>
      <protection locked="true" hidden="false"/>
    </xf>
    <xf numFmtId="177" fontId="105" fillId="2" borderId="16" xfId="0" applyFont="true" applyBorder="true" applyAlignment="true" applyProtection="false">
      <alignment horizontal="general" vertical="bottom" textRotation="0" wrapText="false" indent="0" shrinkToFit="false"/>
      <protection locked="true" hidden="false"/>
    </xf>
    <xf numFmtId="177" fontId="114" fillId="0" borderId="31" xfId="0" applyFont="true" applyBorder="true" applyAlignment="true" applyProtection="false">
      <alignment horizontal="left" vertical="bottom" textRotation="0" wrapText="false" indent="0" shrinkToFit="false"/>
      <protection locked="true" hidden="false"/>
    </xf>
    <xf numFmtId="177" fontId="115" fillId="2" borderId="11" xfId="0" applyFont="true" applyBorder="true" applyAlignment="true" applyProtection="false">
      <alignment horizontal="general" vertical="bottom" textRotation="0" wrapText="false" indent="0" shrinkToFit="false"/>
      <protection locked="true" hidden="false"/>
    </xf>
    <xf numFmtId="177" fontId="105" fillId="2" borderId="20" xfId="0" applyFont="true" applyBorder="true" applyAlignment="true" applyProtection="false">
      <alignment horizontal="general" vertical="bottom" textRotation="0" wrapText="false" indent="0" shrinkToFit="false"/>
      <protection locked="true" hidden="false"/>
    </xf>
    <xf numFmtId="177" fontId="106" fillId="22" borderId="26" xfId="0" applyFont="true" applyBorder="true" applyAlignment="true" applyProtection="false">
      <alignment horizontal="left" vertical="bottom" textRotation="0" wrapText="false" indent="0" shrinkToFit="false"/>
      <protection locked="true" hidden="false"/>
    </xf>
    <xf numFmtId="177" fontId="111" fillId="2" borderId="40" xfId="0" applyFont="true" applyBorder="true" applyAlignment="true" applyProtection="false">
      <alignment horizontal="center" vertical="bottom" textRotation="0" wrapText="false" indent="0" shrinkToFit="false"/>
      <protection locked="true" hidden="false"/>
    </xf>
    <xf numFmtId="177" fontId="111" fillId="2" borderId="46" xfId="0" applyFont="true" applyBorder="true" applyAlignment="true" applyProtection="false">
      <alignment horizontal="center" vertical="bottom" textRotation="0" wrapText="false" indent="0" shrinkToFit="false"/>
      <protection locked="true" hidden="false"/>
    </xf>
    <xf numFmtId="177" fontId="111" fillId="0" borderId="47" xfId="0" applyFont="true" applyBorder="true" applyAlignment="true" applyProtection="false">
      <alignment horizontal="center" vertical="bottom" textRotation="0" wrapText="false" indent="0" shrinkToFit="false"/>
      <protection locked="true" hidden="false"/>
    </xf>
    <xf numFmtId="177" fontId="111" fillId="0" borderId="46" xfId="0" applyFont="true" applyBorder="true" applyAlignment="true" applyProtection="false">
      <alignment horizontal="center" vertical="bottom" textRotation="0" wrapText="false" indent="0" shrinkToFit="false"/>
      <protection locked="true" hidden="false"/>
    </xf>
    <xf numFmtId="177" fontId="111" fillId="0" borderId="40" xfId="0" applyFont="true" applyBorder="true" applyAlignment="true" applyProtection="false">
      <alignment horizontal="center" vertical="bottom" textRotation="0" wrapText="false" indent="0" shrinkToFit="false"/>
      <protection locked="true" hidden="false"/>
    </xf>
    <xf numFmtId="177" fontId="106" fillId="2" borderId="47" xfId="0" applyFont="true" applyBorder="true" applyAlignment="true" applyProtection="false">
      <alignment horizontal="center" vertical="bottom" textRotation="0" wrapText="false" indent="0" shrinkToFit="false"/>
      <protection locked="true" hidden="false"/>
    </xf>
    <xf numFmtId="177" fontId="106" fillId="2" borderId="26" xfId="0" applyFont="true" applyBorder="true" applyAlignment="true" applyProtection="false">
      <alignment horizontal="general" vertical="bottom" textRotation="0" wrapText="false" indent="0" shrinkToFit="false"/>
      <protection locked="true" hidden="false"/>
    </xf>
    <xf numFmtId="177" fontId="106" fillId="2" borderId="40" xfId="0" applyFont="true" applyBorder="true" applyAlignment="true" applyProtection="false">
      <alignment horizontal="general" vertical="bottom" textRotation="0" wrapText="false" indent="0" shrinkToFit="false"/>
      <protection locked="true" hidden="false"/>
    </xf>
    <xf numFmtId="177" fontId="106" fillId="22" borderId="18" xfId="0" applyFont="true" applyBorder="true" applyAlignment="true" applyProtection="false">
      <alignment horizontal="left" vertical="bottom" textRotation="0" wrapText="false" indent="0" shrinkToFit="false"/>
      <protection locked="true" hidden="false"/>
    </xf>
    <xf numFmtId="177" fontId="106" fillId="0" borderId="31" xfId="0" applyFont="true" applyBorder="true" applyAlignment="true" applyProtection="false">
      <alignment horizontal="left" vertical="bottom" textRotation="0" wrapText="true" indent="0" shrinkToFit="false"/>
      <protection locked="true" hidden="false"/>
    </xf>
    <xf numFmtId="177" fontId="105" fillId="2" borderId="18" xfId="0" applyFont="true" applyBorder="true" applyAlignment="true" applyProtection="false">
      <alignment horizontal="general" vertical="bottom" textRotation="0" wrapText="false" indent="0" shrinkToFit="false"/>
      <protection locked="true" hidden="false"/>
    </xf>
    <xf numFmtId="177" fontId="105" fillId="43" borderId="0" xfId="0" applyFont="true" applyBorder="false" applyAlignment="true" applyProtection="false">
      <alignment horizontal="general" vertical="bottom" textRotation="0" wrapText="false" indent="0" shrinkToFit="false"/>
      <protection locked="true" hidden="false"/>
    </xf>
    <xf numFmtId="177" fontId="105" fillId="43" borderId="18" xfId="0" applyFont="true" applyBorder="true" applyAlignment="true" applyProtection="false">
      <alignment horizontal="general" vertical="bottom" textRotation="0" wrapText="false" indent="0" shrinkToFit="false"/>
      <protection locked="true" hidden="false"/>
    </xf>
    <xf numFmtId="177" fontId="105" fillId="44" borderId="23" xfId="0" applyFont="true" applyBorder="true" applyAlignment="true" applyProtection="false">
      <alignment horizontal="general" vertical="bottom" textRotation="0" wrapText="false" indent="0" shrinkToFit="false"/>
      <protection locked="true" hidden="false"/>
    </xf>
    <xf numFmtId="177" fontId="105" fillId="44" borderId="0" xfId="0" applyFont="true" applyBorder="false" applyAlignment="true" applyProtection="false">
      <alignment horizontal="general" vertical="bottom" textRotation="0" wrapText="false" indent="0" shrinkToFit="false"/>
      <protection locked="true" hidden="false"/>
    </xf>
    <xf numFmtId="177" fontId="105" fillId="44" borderId="18" xfId="0" applyFont="true" applyBorder="true" applyAlignment="true" applyProtection="false">
      <alignment horizontal="general" vertical="bottom" textRotation="0" wrapText="false" indent="0" shrinkToFit="false"/>
      <protection locked="true" hidden="false"/>
    </xf>
    <xf numFmtId="177" fontId="105" fillId="5" borderId="23" xfId="0" applyFont="true" applyBorder="true" applyAlignment="true" applyProtection="false">
      <alignment horizontal="general" vertical="bottom" textRotation="0" wrapText="false" indent="0" shrinkToFit="false"/>
      <protection locked="true" hidden="false"/>
    </xf>
    <xf numFmtId="177" fontId="105" fillId="5" borderId="0" xfId="0" applyFont="true" applyBorder="false" applyAlignment="true" applyProtection="false">
      <alignment horizontal="general" vertical="bottom" textRotation="0" wrapText="false" indent="0" shrinkToFit="false"/>
      <protection locked="true" hidden="false"/>
    </xf>
    <xf numFmtId="177" fontId="105" fillId="5" borderId="18" xfId="0" applyFont="true" applyBorder="true" applyAlignment="true" applyProtection="false">
      <alignment horizontal="general" vertical="bottom" textRotation="0" wrapText="false" indent="0" shrinkToFit="false"/>
      <protection locked="true" hidden="false"/>
    </xf>
    <xf numFmtId="177" fontId="105" fillId="12" borderId="23" xfId="0" applyFont="true" applyBorder="true" applyAlignment="true" applyProtection="false">
      <alignment horizontal="general" vertical="bottom" textRotation="0" wrapText="false" indent="0" shrinkToFit="false"/>
      <protection locked="true" hidden="false"/>
    </xf>
    <xf numFmtId="177" fontId="105" fillId="12" borderId="0" xfId="0" applyFont="true" applyBorder="false" applyAlignment="true" applyProtection="false">
      <alignment horizontal="general" vertical="bottom" textRotation="0" wrapText="false" indent="0" shrinkToFit="false"/>
      <protection locked="true" hidden="false"/>
    </xf>
    <xf numFmtId="177" fontId="105" fillId="12" borderId="18" xfId="0" applyFont="true" applyBorder="true" applyAlignment="true" applyProtection="false">
      <alignment horizontal="general" vertical="bottom" textRotation="0" wrapText="false" indent="0" shrinkToFit="false"/>
      <protection locked="true" hidden="false"/>
    </xf>
    <xf numFmtId="177" fontId="105" fillId="2" borderId="32" xfId="0" applyFont="true" applyBorder="true" applyAlignment="true" applyProtection="false">
      <alignment horizontal="general" vertical="bottom" textRotation="0" wrapText="false" indent="0" shrinkToFit="false"/>
      <protection locked="true" hidden="false"/>
    </xf>
    <xf numFmtId="177" fontId="106" fillId="0" borderId="18" xfId="0" applyFont="true" applyBorder="true" applyAlignment="true" applyProtection="false">
      <alignment horizontal="left" vertical="bottom" textRotation="0" wrapText="true" indent="0" shrinkToFit="false"/>
      <protection locked="true" hidden="false"/>
    </xf>
    <xf numFmtId="177" fontId="105" fillId="2" borderId="31" xfId="0" applyFont="true" applyBorder="true" applyAlignment="true" applyProtection="false">
      <alignment horizontal="general" vertical="bottom" textRotation="0" wrapText="false" indent="0" shrinkToFit="false"/>
      <protection locked="true" hidden="false"/>
    </xf>
    <xf numFmtId="177" fontId="106" fillId="2" borderId="31" xfId="0" applyFont="true" applyBorder="true" applyAlignment="true" applyProtection="false">
      <alignment horizontal="general" vertical="bottom" textRotation="0" wrapText="false" indent="0" shrinkToFit="false"/>
      <protection locked="true" hidden="false"/>
    </xf>
    <xf numFmtId="177" fontId="109" fillId="0" borderId="37" xfId="0" applyFont="true" applyBorder="true" applyAlignment="true" applyProtection="false">
      <alignment horizontal="general" vertical="bottom" textRotation="0" wrapText="true" indent="0" shrinkToFit="false"/>
      <protection locked="true" hidden="false"/>
    </xf>
    <xf numFmtId="177" fontId="106" fillId="2" borderId="11" xfId="0" applyFont="true" applyBorder="true" applyAlignment="true" applyProtection="false">
      <alignment horizontal="general" vertical="bottom" textRotation="0" wrapText="false" indent="0" shrinkToFit="false"/>
      <protection locked="true" hidden="false"/>
    </xf>
    <xf numFmtId="177" fontId="106" fillId="2" borderId="20" xfId="0" applyFont="true" applyBorder="true" applyAlignment="true" applyProtection="false">
      <alignment horizontal="general" vertical="bottom" textRotation="0" wrapText="false" indent="0" shrinkToFit="false"/>
      <protection locked="true" hidden="false"/>
    </xf>
    <xf numFmtId="177" fontId="106" fillId="43" borderId="0" xfId="0" applyFont="true" applyBorder="false" applyAlignment="true" applyProtection="false">
      <alignment horizontal="general" vertical="bottom" textRotation="0" wrapText="false" indent="0" shrinkToFit="false"/>
      <protection locked="true" hidden="false"/>
    </xf>
    <xf numFmtId="177" fontId="106" fillId="43" borderId="18" xfId="0" applyFont="true" applyBorder="true" applyAlignment="true" applyProtection="false">
      <alignment horizontal="general" vertical="bottom" textRotation="0" wrapText="false" indent="0" shrinkToFit="false"/>
      <protection locked="true" hidden="false"/>
    </xf>
    <xf numFmtId="177" fontId="106" fillId="44" borderId="23" xfId="0" applyFont="true" applyBorder="true" applyAlignment="true" applyProtection="false">
      <alignment horizontal="general" vertical="bottom" textRotation="0" wrapText="false" indent="0" shrinkToFit="false"/>
      <protection locked="true" hidden="false"/>
    </xf>
    <xf numFmtId="177" fontId="106" fillId="44" borderId="0" xfId="0" applyFont="true" applyBorder="false" applyAlignment="true" applyProtection="false">
      <alignment horizontal="general" vertical="bottom" textRotation="0" wrapText="false" indent="0" shrinkToFit="false"/>
      <protection locked="true" hidden="false"/>
    </xf>
    <xf numFmtId="177" fontId="106" fillId="44" borderId="18" xfId="0" applyFont="true" applyBorder="true" applyAlignment="true" applyProtection="false">
      <alignment horizontal="general" vertical="bottom" textRotation="0" wrapText="false" indent="0" shrinkToFit="false"/>
      <protection locked="true" hidden="false"/>
    </xf>
    <xf numFmtId="177" fontId="106" fillId="5" borderId="23" xfId="0" applyFont="true" applyBorder="true" applyAlignment="true" applyProtection="false">
      <alignment horizontal="general" vertical="bottom" textRotation="0" wrapText="false" indent="0" shrinkToFit="false"/>
      <protection locked="true" hidden="false"/>
    </xf>
    <xf numFmtId="177" fontId="106" fillId="5" borderId="0" xfId="0" applyFont="true" applyBorder="false" applyAlignment="true" applyProtection="false">
      <alignment horizontal="general" vertical="bottom" textRotation="0" wrapText="false" indent="0" shrinkToFit="false"/>
      <protection locked="true" hidden="false"/>
    </xf>
    <xf numFmtId="177" fontId="106" fillId="5" borderId="18" xfId="0" applyFont="true" applyBorder="true" applyAlignment="true" applyProtection="false">
      <alignment horizontal="general" vertical="bottom" textRotation="0" wrapText="false" indent="0" shrinkToFit="false"/>
      <protection locked="true" hidden="false"/>
    </xf>
    <xf numFmtId="177" fontId="106" fillId="12" borderId="23" xfId="0" applyFont="true" applyBorder="true" applyAlignment="true" applyProtection="false">
      <alignment horizontal="general" vertical="bottom" textRotation="0" wrapText="false" indent="0" shrinkToFit="false"/>
      <protection locked="true" hidden="false"/>
    </xf>
    <xf numFmtId="177" fontId="106" fillId="12" borderId="0" xfId="0" applyFont="true" applyBorder="false" applyAlignment="true" applyProtection="false">
      <alignment horizontal="general" vertical="bottom" textRotation="0" wrapText="false" indent="0" shrinkToFit="false"/>
      <protection locked="true" hidden="false"/>
    </xf>
    <xf numFmtId="177" fontId="106" fillId="12" borderId="18" xfId="0" applyFont="true" applyBorder="true" applyAlignment="true" applyProtection="false">
      <alignment horizontal="general" vertical="bottom" textRotation="0" wrapText="false" indent="0" shrinkToFit="false"/>
      <protection locked="true" hidden="false"/>
    </xf>
    <xf numFmtId="177" fontId="106" fillId="2" borderId="18" xfId="0" applyFont="true" applyBorder="true" applyAlignment="true" applyProtection="false">
      <alignment horizontal="general" vertical="bottom" textRotation="0" wrapText="false" indent="0" shrinkToFit="false"/>
      <protection locked="true" hidden="false"/>
    </xf>
    <xf numFmtId="177" fontId="109" fillId="0" borderId="18" xfId="0" applyFont="true" applyBorder="true" applyAlignment="true" applyProtection="false">
      <alignment horizontal="general" vertical="bottom" textRotation="0" wrapText="true" indent="0" shrinkToFit="false"/>
      <protection locked="true" hidden="false"/>
    </xf>
    <xf numFmtId="164" fontId="106" fillId="0" borderId="0" xfId="0" applyFont="true" applyBorder="false" applyAlignment="true" applyProtection="false">
      <alignment horizontal="general" vertical="bottom" textRotation="0" wrapText="false" indent="0" shrinkToFit="false"/>
      <protection locked="true" hidden="false"/>
    </xf>
    <xf numFmtId="164" fontId="105" fillId="0" borderId="23" xfId="0" applyFont="true" applyBorder="true" applyAlignment="true" applyProtection="false">
      <alignment horizontal="left" vertical="bottom" textRotation="0" wrapText="false" indent="0" shrinkToFit="false"/>
      <protection locked="true" hidden="false"/>
    </xf>
    <xf numFmtId="164" fontId="105" fillId="2" borderId="18" xfId="0" applyFont="true" applyBorder="true" applyAlignment="true" applyProtection="false">
      <alignment horizontal="general" vertical="bottom" textRotation="0" wrapText="false" indent="0" shrinkToFit="false"/>
      <protection locked="true" hidden="false"/>
    </xf>
    <xf numFmtId="164" fontId="105" fillId="0" borderId="46" xfId="0" applyFont="true" applyBorder="true" applyAlignment="true" applyProtection="false">
      <alignment horizontal="general" vertical="bottom" textRotation="0" wrapText="false" indent="0" shrinkToFit="false"/>
      <protection locked="true" hidden="false"/>
    </xf>
    <xf numFmtId="164" fontId="105" fillId="0" borderId="47" xfId="0" applyFont="true" applyBorder="true" applyAlignment="true" applyProtection="false">
      <alignment horizontal="general" vertical="bottom" textRotation="0" wrapText="false" indent="0" shrinkToFit="false"/>
      <protection locked="true" hidden="false"/>
    </xf>
    <xf numFmtId="164" fontId="105" fillId="0" borderId="40" xfId="0" applyFont="true" applyBorder="true" applyAlignment="true" applyProtection="false">
      <alignment horizontal="general" vertical="bottom" textRotation="0" wrapText="false" indent="0" shrinkToFit="false"/>
      <protection locked="true" hidden="false"/>
    </xf>
    <xf numFmtId="164" fontId="105" fillId="2" borderId="31" xfId="0" applyFont="true" applyBorder="true" applyAlignment="true" applyProtection="false">
      <alignment horizontal="general" vertical="bottom" textRotation="0" wrapText="false" indent="0" shrinkToFit="false"/>
      <protection locked="true" hidden="false"/>
    </xf>
    <xf numFmtId="177" fontId="109" fillId="22" borderId="26" xfId="0" applyFont="true" applyBorder="true" applyAlignment="true" applyProtection="false">
      <alignment horizontal="general" vertical="bottom" textRotation="0" wrapText="true" indent="0" shrinkToFit="false"/>
      <protection locked="true" hidden="false"/>
    </xf>
    <xf numFmtId="177" fontId="113" fillId="0" borderId="32" xfId="0" applyFont="true" applyBorder="true" applyAlignment="true" applyProtection="false">
      <alignment horizontal="general" vertical="bottom" textRotation="0" wrapText="true" indent="0" shrinkToFit="false"/>
      <protection locked="true" hidden="false"/>
    </xf>
    <xf numFmtId="177" fontId="113" fillId="0" borderId="18" xfId="0" applyFont="true" applyBorder="true" applyAlignment="true" applyProtection="false">
      <alignment horizontal="general" vertical="bottom" textRotation="0" wrapText="true" indent="0" shrinkToFit="false"/>
      <protection locked="true" hidden="false"/>
    </xf>
    <xf numFmtId="177" fontId="113" fillId="0" borderId="31" xfId="0" applyFont="true" applyBorder="true" applyAlignment="true" applyProtection="false">
      <alignment horizontal="general" vertical="bottom" textRotation="0" wrapText="true" indent="0" shrinkToFit="false"/>
      <protection locked="true" hidden="false"/>
    </xf>
    <xf numFmtId="177" fontId="109" fillId="0" borderId="37" xfId="0" applyFont="true" applyBorder="true" applyAlignment="true" applyProtection="false">
      <alignment horizontal="left" vertical="bottom" textRotation="0" wrapText="true" indent="0" shrinkToFit="false"/>
      <protection locked="true" hidden="false"/>
    </xf>
    <xf numFmtId="177" fontId="109" fillId="0" borderId="18" xfId="0" applyFont="true" applyBorder="true" applyAlignment="true" applyProtection="false">
      <alignment horizontal="left" vertical="bottom" textRotation="0" wrapText="true" indent="0" shrinkToFit="false"/>
      <protection locked="true" hidden="false"/>
    </xf>
    <xf numFmtId="177" fontId="105" fillId="0" borderId="31" xfId="0" applyFont="true" applyBorder="true" applyAlignment="true" applyProtection="false">
      <alignment horizontal="general" vertical="bottom" textRotation="0" wrapText="false" indent="0" shrinkToFit="false"/>
      <protection locked="true" hidden="false"/>
    </xf>
    <xf numFmtId="177" fontId="106" fillId="2" borderId="22" xfId="0" applyFont="true" applyBorder="true" applyAlignment="true" applyProtection="false">
      <alignment horizontal="general" vertical="bottom" textRotation="0" wrapText="false" indent="0" shrinkToFit="false"/>
      <protection locked="true" hidden="false"/>
    </xf>
    <xf numFmtId="177" fontId="106" fillId="2" borderId="16" xfId="0" applyFont="true" applyBorder="true" applyAlignment="true" applyProtection="false">
      <alignment horizontal="general" vertical="bottom" textRotation="0" wrapText="false" indent="0" shrinkToFit="false"/>
      <protection locked="true" hidden="false"/>
    </xf>
    <xf numFmtId="177" fontId="105" fillId="0" borderId="32" xfId="0" applyFont="true" applyBorder="true" applyAlignment="true" applyProtection="false">
      <alignment horizontal="left" vertical="bottom" textRotation="0" wrapText="false" indent="0" shrinkToFit="false"/>
      <protection locked="true" hidden="false"/>
    </xf>
    <xf numFmtId="177" fontId="106" fillId="2" borderId="23" xfId="0" applyFont="true" applyBorder="true" applyAlignment="true" applyProtection="false">
      <alignment horizontal="general" vertical="bottom" textRotation="0" wrapText="false" indent="0" shrinkToFit="false"/>
      <protection locked="true" hidden="false"/>
    </xf>
    <xf numFmtId="177" fontId="106" fillId="2" borderId="0" xfId="0" applyFont="true" applyBorder="false" applyAlignment="true" applyProtection="false">
      <alignment horizontal="general" vertical="bottom" textRotation="0" wrapText="false" indent="0" shrinkToFit="false"/>
      <protection locked="true" hidden="false"/>
    </xf>
    <xf numFmtId="177" fontId="106" fillId="2" borderId="21" xfId="0" applyFont="true" applyBorder="true" applyAlignment="true" applyProtection="false">
      <alignment horizontal="general" vertical="bottom" textRotation="0" wrapText="false" indent="0" shrinkToFit="false"/>
      <protection locked="true" hidden="false"/>
    </xf>
    <xf numFmtId="177" fontId="106" fillId="43" borderId="11" xfId="0" applyFont="true" applyBorder="true" applyAlignment="true" applyProtection="false">
      <alignment horizontal="general" vertical="bottom" textRotation="0" wrapText="false" indent="0" shrinkToFit="false"/>
      <protection locked="true" hidden="false"/>
    </xf>
    <xf numFmtId="177" fontId="106" fillId="43" borderId="20" xfId="0" applyFont="true" applyBorder="true" applyAlignment="true" applyProtection="false">
      <alignment horizontal="general" vertical="bottom" textRotation="0" wrapText="false" indent="0" shrinkToFit="false"/>
      <protection locked="true" hidden="false"/>
    </xf>
    <xf numFmtId="177" fontId="106" fillId="44" borderId="21" xfId="0" applyFont="true" applyBorder="true" applyAlignment="true" applyProtection="false">
      <alignment horizontal="general" vertical="bottom" textRotation="0" wrapText="false" indent="0" shrinkToFit="false"/>
      <protection locked="true" hidden="false"/>
    </xf>
    <xf numFmtId="177" fontId="106" fillId="44" borderId="11" xfId="0" applyFont="true" applyBorder="true" applyAlignment="true" applyProtection="false">
      <alignment horizontal="general" vertical="bottom" textRotation="0" wrapText="false" indent="0" shrinkToFit="false"/>
      <protection locked="true" hidden="false"/>
    </xf>
    <xf numFmtId="177" fontId="106" fillId="44" borderId="20" xfId="0" applyFont="true" applyBorder="true" applyAlignment="true" applyProtection="false">
      <alignment horizontal="general" vertical="bottom" textRotation="0" wrapText="false" indent="0" shrinkToFit="false"/>
      <protection locked="true" hidden="false"/>
    </xf>
    <xf numFmtId="177" fontId="106" fillId="5" borderId="21" xfId="0" applyFont="true" applyBorder="true" applyAlignment="true" applyProtection="false">
      <alignment horizontal="general" vertical="bottom" textRotation="0" wrapText="false" indent="0" shrinkToFit="false"/>
      <protection locked="true" hidden="false"/>
    </xf>
    <xf numFmtId="177" fontId="106" fillId="5" borderId="11" xfId="0" applyFont="true" applyBorder="true" applyAlignment="true" applyProtection="false">
      <alignment horizontal="general" vertical="bottom" textRotation="0" wrapText="false" indent="0" shrinkToFit="false"/>
      <protection locked="true" hidden="false"/>
    </xf>
    <xf numFmtId="177" fontId="106" fillId="5" borderId="20" xfId="0" applyFont="true" applyBorder="true" applyAlignment="true" applyProtection="false">
      <alignment horizontal="general" vertical="bottom" textRotation="0" wrapText="false" indent="0" shrinkToFit="false"/>
      <protection locked="true" hidden="false"/>
    </xf>
    <xf numFmtId="177" fontId="106" fillId="12" borderId="21" xfId="0" applyFont="true" applyBorder="true" applyAlignment="true" applyProtection="false">
      <alignment horizontal="general" vertical="bottom" textRotation="0" wrapText="false" indent="0" shrinkToFit="false"/>
      <protection locked="true" hidden="false"/>
    </xf>
    <xf numFmtId="177" fontId="106" fillId="12" borderId="11" xfId="0" applyFont="true" applyBorder="true" applyAlignment="true" applyProtection="false">
      <alignment horizontal="general" vertical="bottom" textRotation="0" wrapText="false" indent="0" shrinkToFit="false"/>
      <protection locked="true" hidden="false"/>
    </xf>
    <xf numFmtId="177" fontId="105" fillId="12" borderId="11" xfId="0" applyFont="true" applyBorder="true" applyAlignment="true" applyProtection="false">
      <alignment horizontal="general" vertical="bottom" textRotation="0" wrapText="false" indent="0" shrinkToFit="false"/>
      <protection locked="true" hidden="false"/>
    </xf>
    <xf numFmtId="177" fontId="105" fillId="2" borderId="37" xfId="0" applyFont="true" applyBorder="true" applyAlignment="true" applyProtection="false">
      <alignment horizontal="general" vertical="bottom" textRotation="0" wrapText="false" indent="0" shrinkToFit="false"/>
      <protection locked="true" hidden="false"/>
    </xf>
    <xf numFmtId="177" fontId="105" fillId="5" borderId="22" xfId="0" applyFont="true" applyBorder="true" applyAlignment="true" applyProtection="false">
      <alignment horizontal="left" vertical="bottom" textRotation="0" wrapText="false" indent="0" shrinkToFit="false"/>
      <protection locked="true" hidden="false"/>
    </xf>
    <xf numFmtId="177" fontId="105" fillId="5" borderId="32" xfId="0" applyFont="true" applyBorder="true" applyAlignment="true" applyProtection="false">
      <alignment horizontal="left" vertical="bottom" textRotation="0" wrapText="false" indent="0" shrinkToFit="false"/>
      <protection locked="true" hidden="false"/>
    </xf>
    <xf numFmtId="177" fontId="105" fillId="5" borderId="31" xfId="0" applyFont="true" applyBorder="true" applyAlignment="true" applyProtection="false">
      <alignment horizontal="general" vertical="bottom" textRotation="0" wrapText="false" indent="0" shrinkToFit="false"/>
      <protection locked="true" hidden="false"/>
    </xf>
    <xf numFmtId="177" fontId="105" fillId="5" borderId="23" xfId="0" applyFont="true" applyBorder="true" applyAlignment="true" applyProtection="false">
      <alignment horizontal="left" vertical="bottom" textRotation="0" wrapText="false" indent="0" shrinkToFit="false"/>
      <protection locked="true" hidden="false"/>
    </xf>
    <xf numFmtId="177" fontId="106" fillId="0" borderId="0" xfId="0" applyFont="true" applyBorder="false" applyAlignment="true" applyProtection="false">
      <alignment horizontal="general" vertical="bottom" textRotation="0" wrapText="false" indent="0" shrinkToFit="false"/>
      <protection locked="true" hidden="false"/>
    </xf>
    <xf numFmtId="177" fontId="106" fillId="0" borderId="18" xfId="0" applyFont="true" applyBorder="true" applyAlignment="true" applyProtection="false">
      <alignment horizontal="general" vertical="bottom" textRotation="0" wrapText="false" indent="0" shrinkToFit="false"/>
      <protection locked="true" hidden="false"/>
    </xf>
    <xf numFmtId="177" fontId="106" fillId="0" borderId="23" xfId="0" applyFont="true" applyBorder="true" applyAlignment="true" applyProtection="false">
      <alignment horizontal="general" vertical="bottom" textRotation="0" wrapText="false" indent="0" shrinkToFit="false"/>
      <protection locked="true" hidden="false"/>
    </xf>
    <xf numFmtId="177" fontId="105" fillId="5" borderId="31" xfId="0" applyFont="true" applyBorder="true" applyAlignment="true" applyProtection="false">
      <alignment horizontal="left" vertical="bottom" textRotation="0" wrapText="false" indent="0" shrinkToFit="false"/>
      <protection locked="true" hidden="false"/>
    </xf>
    <xf numFmtId="177" fontId="106" fillId="5" borderId="21" xfId="0" applyFont="true" applyBorder="true" applyAlignment="true" applyProtection="false">
      <alignment horizontal="left" vertical="bottom" textRotation="0" wrapText="false" indent="0" shrinkToFit="false"/>
      <protection locked="true" hidden="false"/>
    </xf>
    <xf numFmtId="176" fontId="106" fillId="5" borderId="11" xfId="0" applyFont="true" applyBorder="true" applyAlignment="true" applyProtection="false">
      <alignment horizontal="right" vertical="bottom" textRotation="0" wrapText="false" indent="0" shrinkToFit="false"/>
      <protection locked="true" hidden="false"/>
    </xf>
    <xf numFmtId="176" fontId="106" fillId="5" borderId="20" xfId="0" applyFont="true" applyBorder="true" applyAlignment="true" applyProtection="false">
      <alignment horizontal="right" vertical="bottom" textRotation="0" wrapText="false" indent="0" shrinkToFit="false"/>
      <protection locked="true" hidden="false"/>
    </xf>
    <xf numFmtId="176" fontId="106" fillId="5" borderId="21" xfId="0" applyFont="true" applyBorder="true" applyAlignment="true" applyProtection="false">
      <alignment horizontal="right" vertical="bottom" textRotation="0" wrapText="false" indent="0" shrinkToFit="false"/>
      <protection locked="true" hidden="false"/>
    </xf>
    <xf numFmtId="177" fontId="115" fillId="0" borderId="23" xfId="0" applyFont="true" applyBorder="true" applyAlignment="true" applyProtection="false">
      <alignment horizontal="left" vertical="bottom" textRotation="0" wrapText="false" indent="0" shrinkToFit="false"/>
      <protection locked="true" hidden="false"/>
    </xf>
    <xf numFmtId="177" fontId="111" fillId="0" borderId="0" xfId="0" applyFont="true" applyBorder="false" applyAlignment="true" applyProtection="false">
      <alignment horizontal="center" vertical="bottom" textRotation="0" wrapText="false" indent="0" shrinkToFit="false"/>
      <protection locked="true" hidden="false"/>
    </xf>
    <xf numFmtId="177" fontId="111" fillId="0" borderId="18" xfId="0" applyFont="true" applyBorder="true" applyAlignment="true" applyProtection="false">
      <alignment horizontal="center" vertical="bottom" textRotation="0" wrapText="false" indent="0" shrinkToFit="false"/>
      <protection locked="true" hidden="false"/>
    </xf>
    <xf numFmtId="177" fontId="111" fillId="0" borderId="15" xfId="0" applyFont="true" applyBorder="true" applyAlignment="true" applyProtection="false">
      <alignment horizontal="center" vertical="bottom" textRotation="0" wrapText="false" indent="0" shrinkToFit="false"/>
      <protection locked="true" hidden="false"/>
    </xf>
    <xf numFmtId="177" fontId="111" fillId="0" borderId="16" xfId="0" applyFont="true" applyBorder="true" applyAlignment="true" applyProtection="false">
      <alignment horizontal="center" vertical="bottom" textRotation="0" wrapText="false" indent="0" shrinkToFit="false"/>
      <protection locked="true" hidden="false"/>
    </xf>
    <xf numFmtId="177" fontId="111" fillId="0" borderId="22" xfId="0" applyFont="true" applyBorder="true" applyAlignment="true" applyProtection="false">
      <alignment horizontal="center" vertical="bottom" textRotation="0" wrapText="false" indent="0" shrinkToFit="false"/>
      <protection locked="true" hidden="false"/>
    </xf>
    <xf numFmtId="177" fontId="111" fillId="0" borderId="0" xfId="0" applyFont="true" applyBorder="false" applyAlignment="true" applyProtection="false">
      <alignment horizontal="general" vertical="bottom" textRotation="0" wrapText="false" indent="0" shrinkToFit="false"/>
      <protection locked="true" hidden="false"/>
    </xf>
    <xf numFmtId="177" fontId="115" fillId="0" borderId="31" xfId="0" applyFont="true" applyBorder="true" applyAlignment="true" applyProtection="false">
      <alignment horizontal="left" vertical="bottom" textRotation="0" wrapText="false" indent="0" shrinkToFit="false"/>
      <protection locked="true" hidden="false"/>
    </xf>
    <xf numFmtId="164" fontId="116" fillId="0" borderId="0" xfId="0" applyFont="true" applyBorder="false" applyAlignment="true" applyProtection="false">
      <alignment horizontal="general" vertical="bottom" textRotation="0" wrapText="false" indent="0" shrinkToFit="false"/>
      <protection locked="true" hidden="false"/>
    </xf>
    <xf numFmtId="177" fontId="111" fillId="0" borderId="21" xfId="0" applyFont="true" applyBorder="true" applyAlignment="true" applyProtection="false">
      <alignment horizontal="left" vertical="bottom" textRotation="0" wrapText="false" indent="0" shrinkToFit="false"/>
      <protection locked="true" hidden="false"/>
    </xf>
    <xf numFmtId="177" fontId="111" fillId="0" borderId="11" xfId="0" applyFont="true" applyBorder="true" applyAlignment="true" applyProtection="false">
      <alignment horizontal="general" vertical="bottom" textRotation="0" wrapText="false" indent="0" shrinkToFit="false"/>
      <protection locked="true" hidden="false"/>
    </xf>
    <xf numFmtId="177" fontId="111" fillId="0" borderId="20" xfId="0" applyFont="true" applyBorder="true" applyAlignment="true" applyProtection="false">
      <alignment horizontal="general" vertical="bottom" textRotation="0" wrapText="false" indent="0" shrinkToFit="false"/>
      <protection locked="true" hidden="false"/>
    </xf>
    <xf numFmtId="177" fontId="111" fillId="0" borderId="21" xfId="0" applyFont="true" applyBorder="true" applyAlignment="true" applyProtection="false">
      <alignment horizontal="general" vertical="bottom" textRotation="0" wrapText="false" indent="0" shrinkToFit="false"/>
      <protection locked="true" hidden="false"/>
    </xf>
    <xf numFmtId="177" fontId="106" fillId="0" borderId="11" xfId="0" applyFont="true" applyBorder="true" applyAlignment="true" applyProtection="false">
      <alignment horizontal="general" vertical="bottom" textRotation="0" wrapText="false" indent="0" shrinkToFit="false"/>
      <protection locked="true" hidden="false"/>
    </xf>
    <xf numFmtId="177" fontId="111" fillId="0" borderId="37" xfId="0" applyFont="true" applyBorder="true" applyAlignment="true" applyProtection="false">
      <alignment horizontal="left" vertical="bottom" textRotation="0" wrapText="false" indent="0" shrinkToFit="false"/>
      <protection locked="true" hidden="false"/>
    </xf>
    <xf numFmtId="164" fontId="117" fillId="0" borderId="0" xfId="0" applyFont="true" applyBorder="false" applyAlignment="true" applyProtection="false">
      <alignment horizontal="general" vertical="bottom" textRotation="0" wrapText="false" indent="0" shrinkToFit="false"/>
      <protection locked="true" hidden="false"/>
    </xf>
    <xf numFmtId="177" fontId="118" fillId="0" borderId="0" xfId="0" applyFont="true" applyBorder="false" applyAlignment="true" applyProtection="false">
      <alignment horizontal="general" vertical="bottom" textRotation="0" wrapText="false" indent="0" shrinkToFit="false"/>
      <protection locked="true" hidden="false"/>
    </xf>
    <xf numFmtId="177" fontId="116" fillId="0" borderId="0" xfId="0" applyFont="true" applyBorder="false" applyAlignment="true" applyProtection="false">
      <alignment horizontal="general" vertical="bottom" textRotation="0" wrapText="false" indent="0" shrinkToFit="false"/>
      <protection locked="true" hidden="false"/>
    </xf>
    <xf numFmtId="164" fontId="118" fillId="0" borderId="0" xfId="0" applyFont="true" applyBorder="false" applyAlignment="true" applyProtection="false">
      <alignment horizontal="general" vertical="bottom" textRotation="0" wrapText="false" indent="0" shrinkToFit="false"/>
      <protection locked="true" hidden="false"/>
    </xf>
    <xf numFmtId="177" fontId="111" fillId="0" borderId="23" xfId="0" applyFont="true" applyBorder="true" applyAlignment="true" applyProtection="false">
      <alignment horizontal="left" vertical="bottom" textRotation="0" wrapText="false" indent="0" shrinkToFit="false"/>
      <protection locked="true" hidden="false"/>
    </xf>
    <xf numFmtId="177" fontId="115" fillId="0" borderId="0" xfId="0" applyFont="true" applyBorder="false" applyAlignment="true" applyProtection="false">
      <alignment horizontal="center" vertical="bottom" textRotation="0" wrapText="false" indent="0" shrinkToFit="false"/>
      <protection locked="true" hidden="false"/>
    </xf>
    <xf numFmtId="177" fontId="115" fillId="0" borderId="18" xfId="0" applyFont="true" applyBorder="true" applyAlignment="true" applyProtection="false">
      <alignment horizontal="center" vertical="bottom" textRotation="0" wrapText="false" indent="0" shrinkToFit="false"/>
      <protection locked="true" hidden="false"/>
    </xf>
    <xf numFmtId="177" fontId="115" fillId="0" borderId="23" xfId="0" applyFont="true" applyBorder="true" applyAlignment="true" applyProtection="false">
      <alignment horizontal="center" vertical="bottom" textRotation="0" wrapText="false" indent="0" shrinkToFit="false"/>
      <protection locked="true" hidden="false"/>
    </xf>
    <xf numFmtId="177" fontId="115" fillId="0" borderId="41" xfId="0" applyFont="true" applyBorder="true" applyAlignment="true" applyProtection="false">
      <alignment horizontal="center" vertical="bottom" textRotation="0" wrapText="false" indent="0" shrinkToFit="false"/>
      <protection locked="true" hidden="false"/>
    </xf>
    <xf numFmtId="177" fontId="115" fillId="0" borderId="13" xfId="0" applyFont="true" applyBorder="true" applyAlignment="true" applyProtection="false">
      <alignment horizontal="center" vertical="bottom" textRotation="0" wrapText="false" indent="0" shrinkToFit="false"/>
      <protection locked="true" hidden="false"/>
    </xf>
    <xf numFmtId="164" fontId="116" fillId="0" borderId="18" xfId="0" applyFont="true" applyBorder="true" applyAlignment="true" applyProtection="false">
      <alignment horizontal="general" vertical="bottom" textRotation="0" wrapText="false" indent="0" shrinkToFit="false"/>
      <protection locked="true" hidden="false"/>
    </xf>
    <xf numFmtId="167" fontId="115" fillId="0" borderId="13" xfId="0" applyFont="true" applyBorder="true" applyAlignment="true" applyProtection="false">
      <alignment horizontal="center" vertical="bottom" textRotation="0" wrapText="false" indent="0" shrinkToFit="false"/>
      <protection locked="true" hidden="false"/>
    </xf>
    <xf numFmtId="176" fontId="115" fillId="0" borderId="13" xfId="0" applyFont="true" applyBorder="true" applyAlignment="true" applyProtection="false">
      <alignment horizontal="center" vertical="bottom" textRotation="0" wrapText="false" indent="0" shrinkToFit="false"/>
      <protection locked="true" hidden="false"/>
    </xf>
    <xf numFmtId="168" fontId="105" fillId="0" borderId="0" xfId="0" applyFont="true" applyBorder="false" applyAlignment="true" applyProtection="false">
      <alignment horizontal="general" vertical="bottom" textRotation="0" wrapText="false" indent="0" shrinkToFit="false"/>
      <protection locked="true" hidden="false"/>
    </xf>
    <xf numFmtId="168" fontId="105" fillId="0" borderId="18" xfId="0" applyFont="true" applyBorder="true" applyAlignment="true" applyProtection="false">
      <alignment horizontal="general" vertical="bottom" textRotation="0" wrapText="false" indent="0" shrinkToFit="false"/>
      <protection locked="true" hidden="false"/>
    </xf>
    <xf numFmtId="168" fontId="115" fillId="0" borderId="0" xfId="0" applyFont="true" applyBorder="false" applyAlignment="true" applyProtection="false">
      <alignment horizontal="center" vertical="bottom" textRotation="0" wrapText="false" indent="0" shrinkToFit="false"/>
      <protection locked="true" hidden="false"/>
    </xf>
    <xf numFmtId="177" fontId="115" fillId="0" borderId="21" xfId="0" applyFont="true" applyBorder="true" applyAlignment="true" applyProtection="false">
      <alignment horizontal="left" vertical="bottom" textRotation="0" wrapText="false" indent="0" shrinkToFit="false"/>
      <protection locked="true" hidden="false"/>
    </xf>
    <xf numFmtId="177" fontId="115" fillId="0" borderId="11" xfId="0" applyFont="true" applyBorder="true" applyAlignment="true" applyProtection="false">
      <alignment horizontal="center" vertical="bottom" textRotation="0" wrapText="false" indent="0" shrinkToFit="false"/>
      <protection locked="true" hidden="false"/>
    </xf>
    <xf numFmtId="177" fontId="115" fillId="0" borderId="20" xfId="0" applyFont="true" applyBorder="true" applyAlignment="true" applyProtection="false">
      <alignment horizontal="center" vertical="bottom" textRotation="0" wrapText="false" indent="0" shrinkToFit="false"/>
      <protection locked="true" hidden="false"/>
    </xf>
    <xf numFmtId="177" fontId="115" fillId="0" borderId="21" xfId="0" applyFont="true" applyBorder="true" applyAlignment="true" applyProtection="false">
      <alignment horizontal="center" vertical="bottom" textRotation="0" wrapText="false" indent="0" shrinkToFit="false"/>
      <protection locked="true" hidden="false"/>
    </xf>
    <xf numFmtId="177" fontId="115" fillId="0" borderId="0" xfId="0" applyFont="true" applyBorder="false" applyAlignment="true" applyProtection="false">
      <alignment horizontal="left" vertical="bottom" textRotation="0" wrapText="false" indent="0" shrinkToFit="false"/>
      <protection locked="true" hidden="false"/>
    </xf>
    <xf numFmtId="177" fontId="111" fillId="0" borderId="0" xfId="0" applyFont="true" applyBorder="false" applyAlignment="true" applyProtection="false">
      <alignment horizontal="left" vertical="bottom" textRotation="0" wrapText="false" indent="0" shrinkToFit="false"/>
      <protection locked="true" hidden="false"/>
    </xf>
    <xf numFmtId="177" fontId="115" fillId="0" borderId="0" xfId="0" applyFont="true" applyBorder="false" applyAlignment="true" applyProtection="false">
      <alignment horizontal="right" vertical="bottom" textRotation="0" wrapText="false" indent="0" shrinkToFit="false"/>
      <protection locked="true" hidden="false"/>
    </xf>
    <xf numFmtId="177" fontId="111" fillId="0" borderId="0" xfId="0" applyFont="true" applyBorder="false" applyAlignment="true" applyProtection="false">
      <alignment horizontal="right" vertical="bottom" textRotation="0" wrapText="false" indent="0" shrinkToFit="false"/>
      <protection locked="true" hidden="false"/>
    </xf>
    <xf numFmtId="164" fontId="119" fillId="47" borderId="0" xfId="0" applyFont="true" applyBorder="false" applyAlignment="true" applyProtection="false">
      <alignment horizontal="general" vertical="bottom" textRotation="0" wrapText="false" indent="0" shrinkToFit="false"/>
      <protection locked="true" hidden="false"/>
    </xf>
    <xf numFmtId="177" fontId="120" fillId="47" borderId="40" xfId="0" applyFont="true" applyBorder="true" applyAlignment="true" applyProtection="false">
      <alignment horizontal="center" vertical="bottom" textRotation="0" wrapText="false" indent="0" shrinkToFit="false"/>
      <protection locked="true" hidden="false"/>
    </xf>
    <xf numFmtId="177" fontId="120" fillId="47" borderId="46" xfId="0" applyFont="true" applyBorder="true" applyAlignment="true" applyProtection="false">
      <alignment horizontal="center" vertical="bottom" textRotation="0" wrapText="false" indent="0" shrinkToFit="false"/>
      <protection locked="true" hidden="false"/>
    </xf>
    <xf numFmtId="177" fontId="120" fillId="47" borderId="47" xfId="0" applyFont="true" applyBorder="true" applyAlignment="true" applyProtection="false">
      <alignment horizontal="center" vertical="bottom" textRotation="0" wrapText="false" indent="0" shrinkToFit="false"/>
      <protection locked="true" hidden="false"/>
    </xf>
    <xf numFmtId="168" fontId="105" fillId="0" borderId="22" xfId="0" applyFont="true" applyBorder="true" applyAlignment="true" applyProtection="false">
      <alignment horizontal="general" vertical="bottom" textRotation="0" wrapText="false" indent="0" shrinkToFit="false"/>
      <protection locked="true" hidden="false"/>
    </xf>
    <xf numFmtId="168" fontId="105" fillId="0" borderId="15" xfId="0" applyFont="true" applyBorder="true" applyAlignment="true" applyProtection="false">
      <alignment horizontal="general" vertical="bottom" textRotation="0" wrapText="false" indent="0" shrinkToFit="false"/>
      <protection locked="true" hidden="false"/>
    </xf>
    <xf numFmtId="168" fontId="105" fillId="0" borderId="16" xfId="0" applyFont="true" applyBorder="true" applyAlignment="true" applyProtection="false">
      <alignment horizontal="general" vertical="bottom" textRotation="0" wrapText="false" indent="0" shrinkToFit="false"/>
      <protection locked="true" hidden="false"/>
    </xf>
    <xf numFmtId="168" fontId="105" fillId="0" borderId="23" xfId="0" applyFont="true" applyBorder="true" applyAlignment="true" applyProtection="false">
      <alignment horizontal="general" vertical="bottom" textRotation="0" wrapText="false" indent="0" shrinkToFit="false"/>
      <protection locked="true" hidden="false"/>
    </xf>
    <xf numFmtId="168" fontId="105" fillId="0" borderId="21" xfId="0" applyFont="true" applyBorder="true" applyAlignment="true" applyProtection="false">
      <alignment horizontal="general" vertical="bottom" textRotation="0" wrapText="false" indent="0" shrinkToFit="false"/>
      <protection locked="true" hidden="false"/>
    </xf>
    <xf numFmtId="168" fontId="105" fillId="0" borderId="11" xfId="0" applyFont="true" applyBorder="true" applyAlignment="true" applyProtection="false">
      <alignment horizontal="general" vertical="bottom" textRotation="0" wrapText="false" indent="0" shrinkToFit="false"/>
      <protection locked="true" hidden="false"/>
    </xf>
    <xf numFmtId="168" fontId="105" fillId="0" borderId="20" xfId="0" applyFont="true" applyBorder="true" applyAlignment="true" applyProtection="false">
      <alignment horizontal="general" vertical="bottom" textRotation="0" wrapText="false" indent="0" shrinkToFit="false"/>
      <protection locked="true" hidden="false"/>
    </xf>
    <xf numFmtId="168" fontId="105" fillId="2" borderId="0" xfId="0" applyFont="true" applyBorder="false" applyAlignment="true" applyProtection="false">
      <alignment horizontal="general" vertical="bottom" textRotation="0" wrapText="false" indent="0" shrinkToFit="false"/>
      <protection locked="true" hidden="false"/>
    </xf>
    <xf numFmtId="168" fontId="106" fillId="0" borderId="40" xfId="0" applyFont="true" applyBorder="true" applyAlignment="true" applyProtection="false">
      <alignment horizontal="general" vertical="bottom" textRotation="0" wrapText="false" indent="0" shrinkToFit="false"/>
      <protection locked="true" hidden="false"/>
    </xf>
    <xf numFmtId="168" fontId="106" fillId="0" borderId="46" xfId="0" applyFont="true" applyBorder="true" applyAlignment="true" applyProtection="false">
      <alignment horizontal="general" vertical="bottom" textRotation="0" wrapText="false" indent="0" shrinkToFit="false"/>
      <protection locked="true" hidden="false"/>
    </xf>
    <xf numFmtId="168" fontId="106" fillId="0" borderId="47" xfId="0" applyFont="true" applyBorder="true" applyAlignment="true" applyProtection="false">
      <alignment horizontal="general" vertical="bottom" textRotation="0" wrapText="false" indent="0" shrinkToFit="false"/>
      <protection locked="true" hidden="false"/>
    </xf>
    <xf numFmtId="168" fontId="106" fillId="0" borderId="0" xfId="0" applyFont="true" applyBorder="false" applyAlignment="true" applyProtection="false">
      <alignment horizontal="general" vertical="bottom" textRotation="0" wrapText="false" indent="0" shrinkToFit="false"/>
      <protection locked="true" hidden="false"/>
    </xf>
    <xf numFmtId="164" fontId="121" fillId="0" borderId="0" xfId="0" applyFont="true" applyBorder="false" applyAlignment="true" applyProtection="false">
      <alignment horizontal="general" vertical="bottom" textRotation="0" wrapText="false" indent="0" shrinkToFit="false"/>
      <protection locked="true" hidden="false"/>
    </xf>
    <xf numFmtId="177" fontId="122" fillId="0" borderId="32" xfId="0" applyFont="true" applyBorder="true" applyAlignment="true" applyProtection="false">
      <alignment horizontal="general" vertical="bottom" textRotation="0" wrapText="false" indent="0" shrinkToFit="false"/>
      <protection locked="true" hidden="false"/>
    </xf>
    <xf numFmtId="177" fontId="122" fillId="2" borderId="46" xfId="0" applyFont="true" applyBorder="true" applyAlignment="true" applyProtection="false">
      <alignment horizontal="general" vertical="bottom" textRotation="0" wrapText="false" indent="0" shrinkToFit="false"/>
      <protection locked="true" hidden="false"/>
    </xf>
    <xf numFmtId="177" fontId="122" fillId="2" borderId="47" xfId="0" applyFont="true" applyBorder="true" applyAlignment="true" applyProtection="false">
      <alignment horizontal="general" vertical="bottom" textRotation="0" wrapText="false" indent="0" shrinkToFit="false"/>
      <protection locked="true" hidden="false"/>
    </xf>
    <xf numFmtId="177" fontId="122" fillId="43" borderId="40" xfId="0" applyFont="true" applyBorder="true" applyAlignment="true" applyProtection="false">
      <alignment horizontal="general" vertical="bottom" textRotation="0" wrapText="false" indent="0" shrinkToFit="false"/>
      <protection locked="true" hidden="false"/>
    </xf>
    <xf numFmtId="177" fontId="122" fillId="43" borderId="46" xfId="0" applyFont="true" applyBorder="true" applyAlignment="true" applyProtection="false">
      <alignment horizontal="general" vertical="bottom" textRotation="0" wrapText="false" indent="0" shrinkToFit="false"/>
      <protection locked="true" hidden="false"/>
    </xf>
    <xf numFmtId="177" fontId="122" fillId="43" borderId="47" xfId="0" applyFont="true" applyBorder="true" applyAlignment="true" applyProtection="false">
      <alignment horizontal="general" vertical="bottom" textRotation="0" wrapText="false" indent="0" shrinkToFit="false"/>
      <protection locked="true" hidden="false"/>
    </xf>
    <xf numFmtId="177" fontId="122" fillId="44" borderId="40" xfId="0" applyFont="true" applyBorder="true" applyAlignment="true" applyProtection="false">
      <alignment horizontal="general" vertical="bottom" textRotation="0" wrapText="false" indent="0" shrinkToFit="false"/>
      <protection locked="true" hidden="false"/>
    </xf>
    <xf numFmtId="177" fontId="122" fillId="44" borderId="46" xfId="0" applyFont="true" applyBorder="true" applyAlignment="true" applyProtection="false">
      <alignment horizontal="general" vertical="bottom" textRotation="0" wrapText="false" indent="0" shrinkToFit="false"/>
      <protection locked="true" hidden="false"/>
    </xf>
    <xf numFmtId="177" fontId="122" fillId="44" borderId="47" xfId="0" applyFont="true" applyBorder="true" applyAlignment="true" applyProtection="false">
      <alignment horizontal="general" vertical="bottom" textRotation="0" wrapText="false" indent="0" shrinkToFit="false"/>
      <protection locked="true" hidden="false"/>
    </xf>
    <xf numFmtId="177" fontId="122" fillId="5" borderId="40" xfId="0" applyFont="true" applyBorder="true" applyAlignment="true" applyProtection="false">
      <alignment horizontal="general" vertical="bottom" textRotation="0" wrapText="false" indent="0" shrinkToFit="false"/>
      <protection locked="true" hidden="false"/>
    </xf>
    <xf numFmtId="177" fontId="122" fillId="5" borderId="46" xfId="0" applyFont="true" applyBorder="true" applyAlignment="true" applyProtection="false">
      <alignment horizontal="general" vertical="bottom" textRotation="0" wrapText="false" indent="0" shrinkToFit="false"/>
      <protection locked="true" hidden="false"/>
    </xf>
    <xf numFmtId="177" fontId="122" fillId="5" borderId="47" xfId="0" applyFont="true" applyBorder="true" applyAlignment="true" applyProtection="false">
      <alignment horizontal="general" vertical="bottom" textRotation="0" wrapText="false" indent="0" shrinkToFit="false"/>
      <protection locked="true" hidden="false"/>
    </xf>
    <xf numFmtId="177" fontId="122" fillId="12" borderId="40" xfId="0" applyFont="true" applyBorder="true" applyAlignment="true" applyProtection="false">
      <alignment horizontal="general" vertical="bottom" textRotation="0" wrapText="false" indent="0" shrinkToFit="false"/>
      <protection locked="true" hidden="false"/>
    </xf>
    <xf numFmtId="177" fontId="122" fillId="12" borderId="46" xfId="0" applyFont="true" applyBorder="true" applyAlignment="true" applyProtection="false">
      <alignment horizontal="general" vertical="bottom" textRotation="0" wrapText="false" indent="0" shrinkToFit="false"/>
      <protection locked="true" hidden="false"/>
    </xf>
    <xf numFmtId="177" fontId="122" fillId="12" borderId="47" xfId="0" applyFont="true" applyBorder="true" applyAlignment="true" applyProtection="false">
      <alignment horizontal="general" vertical="bottom" textRotation="0" wrapText="false" indent="0" shrinkToFit="false"/>
      <protection locked="true" hidden="false"/>
    </xf>
    <xf numFmtId="177" fontId="122" fillId="2" borderId="26" xfId="0" applyFont="true" applyBorder="true" applyAlignment="true" applyProtection="false">
      <alignment horizontal="general" vertical="bottom" textRotation="0" wrapText="false" indent="0" shrinkToFit="false"/>
      <protection locked="true" hidden="false"/>
    </xf>
    <xf numFmtId="164" fontId="122" fillId="0" borderId="0" xfId="0" applyFont="true" applyBorder="false" applyAlignment="true" applyProtection="false">
      <alignment horizontal="general" vertical="bottom" textRotation="0" wrapText="false" indent="0" shrinkToFit="false"/>
      <protection locked="true" hidden="false"/>
    </xf>
    <xf numFmtId="177" fontId="121" fillId="0" borderId="31" xfId="0" applyFont="true" applyBorder="true" applyAlignment="true" applyProtection="false">
      <alignment horizontal="general" vertical="bottom" textRotation="0" wrapText="false" indent="0" shrinkToFit="false"/>
      <protection locked="true" hidden="false"/>
    </xf>
    <xf numFmtId="177" fontId="121" fillId="2" borderId="15" xfId="0" applyFont="true" applyBorder="true" applyAlignment="true" applyProtection="false">
      <alignment horizontal="general" vertical="bottom" textRotation="0" wrapText="false" indent="0" shrinkToFit="false"/>
      <protection locked="true" hidden="false"/>
    </xf>
    <xf numFmtId="177" fontId="121" fillId="2" borderId="16" xfId="0" applyFont="true" applyBorder="true" applyAlignment="true" applyProtection="false">
      <alignment horizontal="general" vertical="bottom" textRotation="0" wrapText="false" indent="0" shrinkToFit="false"/>
      <protection locked="true" hidden="false"/>
    </xf>
    <xf numFmtId="177" fontId="121" fillId="43" borderId="22" xfId="0" applyFont="true" applyBorder="true" applyAlignment="true" applyProtection="false">
      <alignment horizontal="general" vertical="bottom" textRotation="0" wrapText="false" indent="0" shrinkToFit="false"/>
      <protection locked="true" hidden="false"/>
    </xf>
    <xf numFmtId="177" fontId="121" fillId="43" borderId="15" xfId="0" applyFont="true" applyBorder="true" applyAlignment="true" applyProtection="false">
      <alignment horizontal="general" vertical="bottom" textRotation="0" wrapText="false" indent="0" shrinkToFit="false"/>
      <protection locked="true" hidden="false"/>
    </xf>
    <xf numFmtId="177" fontId="121" fillId="43" borderId="16" xfId="0" applyFont="true" applyBorder="true" applyAlignment="true" applyProtection="false">
      <alignment horizontal="general" vertical="bottom" textRotation="0" wrapText="false" indent="0" shrinkToFit="false"/>
      <protection locked="true" hidden="false"/>
    </xf>
    <xf numFmtId="177" fontId="121" fillId="44" borderId="22" xfId="0" applyFont="true" applyBorder="true" applyAlignment="true" applyProtection="false">
      <alignment horizontal="general" vertical="bottom" textRotation="0" wrapText="false" indent="0" shrinkToFit="false"/>
      <protection locked="true" hidden="false"/>
    </xf>
    <xf numFmtId="177" fontId="121" fillId="44" borderId="15" xfId="0" applyFont="true" applyBorder="true" applyAlignment="true" applyProtection="false">
      <alignment horizontal="general" vertical="bottom" textRotation="0" wrapText="false" indent="0" shrinkToFit="false"/>
      <protection locked="true" hidden="false"/>
    </xf>
    <xf numFmtId="177" fontId="121" fillId="44" borderId="16" xfId="0" applyFont="true" applyBorder="true" applyAlignment="true" applyProtection="false">
      <alignment horizontal="general" vertical="bottom" textRotation="0" wrapText="false" indent="0" shrinkToFit="false"/>
      <protection locked="true" hidden="false"/>
    </xf>
    <xf numFmtId="177" fontId="121" fillId="5" borderId="22" xfId="0" applyFont="true" applyBorder="true" applyAlignment="true" applyProtection="false">
      <alignment horizontal="general" vertical="bottom" textRotation="0" wrapText="false" indent="0" shrinkToFit="false"/>
      <protection locked="true" hidden="false"/>
    </xf>
    <xf numFmtId="177" fontId="121" fillId="5" borderId="15" xfId="0" applyFont="true" applyBorder="true" applyAlignment="true" applyProtection="false">
      <alignment horizontal="general" vertical="bottom" textRotation="0" wrapText="false" indent="0" shrinkToFit="false"/>
      <protection locked="true" hidden="false"/>
    </xf>
    <xf numFmtId="177" fontId="121" fillId="5" borderId="16" xfId="0" applyFont="true" applyBorder="true" applyAlignment="true" applyProtection="false">
      <alignment horizontal="general" vertical="bottom" textRotation="0" wrapText="false" indent="0" shrinkToFit="false"/>
      <protection locked="true" hidden="false"/>
    </xf>
    <xf numFmtId="177" fontId="121" fillId="12" borderId="22" xfId="0" applyFont="true" applyBorder="true" applyAlignment="true" applyProtection="false">
      <alignment horizontal="general" vertical="bottom" textRotation="0" wrapText="false" indent="0" shrinkToFit="false"/>
      <protection locked="true" hidden="false"/>
    </xf>
    <xf numFmtId="177" fontId="121" fillId="12" borderId="15" xfId="0" applyFont="true" applyBorder="true" applyAlignment="true" applyProtection="false">
      <alignment horizontal="general" vertical="bottom" textRotation="0" wrapText="false" indent="0" shrinkToFit="false"/>
      <protection locked="true" hidden="false"/>
    </xf>
    <xf numFmtId="177" fontId="121" fillId="12" borderId="16" xfId="0" applyFont="true" applyBorder="true" applyAlignment="true" applyProtection="false">
      <alignment horizontal="general" vertical="bottom" textRotation="0" wrapText="false" indent="0" shrinkToFit="false"/>
      <protection locked="true" hidden="false"/>
    </xf>
    <xf numFmtId="177" fontId="121" fillId="2" borderId="31" xfId="0" applyFont="true" applyBorder="true" applyAlignment="true" applyProtection="false">
      <alignment horizontal="general" vertical="bottom" textRotation="0" wrapText="false" indent="0" shrinkToFit="false"/>
      <protection locked="true" hidden="false"/>
    </xf>
    <xf numFmtId="177" fontId="121" fillId="0" borderId="31" xfId="0" applyFont="true" applyBorder="true" applyAlignment="true" applyProtection="false">
      <alignment horizontal="left" vertical="bottom" textRotation="0" wrapText="false" indent="1" shrinkToFit="false"/>
      <protection locked="true" hidden="false"/>
    </xf>
    <xf numFmtId="177" fontId="121" fillId="2" borderId="0" xfId="0" applyFont="true" applyBorder="false" applyAlignment="true" applyProtection="false">
      <alignment horizontal="general" vertical="bottom" textRotation="0" wrapText="false" indent="0" shrinkToFit="false"/>
      <protection locked="true" hidden="false"/>
    </xf>
    <xf numFmtId="177" fontId="121" fillId="2" borderId="18" xfId="0" applyFont="true" applyBorder="true" applyAlignment="true" applyProtection="false">
      <alignment horizontal="general" vertical="bottom" textRotation="0" wrapText="false" indent="0" shrinkToFit="false"/>
      <protection locked="true" hidden="false"/>
    </xf>
    <xf numFmtId="177" fontId="121" fillId="43" borderId="23" xfId="0" applyFont="true" applyBorder="true" applyAlignment="true" applyProtection="false">
      <alignment horizontal="general" vertical="bottom" textRotation="0" wrapText="false" indent="0" shrinkToFit="false"/>
      <protection locked="true" hidden="false"/>
    </xf>
    <xf numFmtId="177" fontId="121" fillId="43" borderId="0" xfId="0" applyFont="true" applyBorder="false" applyAlignment="true" applyProtection="false">
      <alignment horizontal="general" vertical="bottom" textRotation="0" wrapText="false" indent="0" shrinkToFit="false"/>
      <protection locked="true" hidden="false"/>
    </xf>
    <xf numFmtId="177" fontId="121" fillId="43" borderId="18" xfId="0" applyFont="true" applyBorder="true" applyAlignment="true" applyProtection="false">
      <alignment horizontal="general" vertical="bottom" textRotation="0" wrapText="false" indent="0" shrinkToFit="false"/>
      <protection locked="true" hidden="false"/>
    </xf>
    <xf numFmtId="177" fontId="121" fillId="44" borderId="23" xfId="0" applyFont="true" applyBorder="true" applyAlignment="true" applyProtection="false">
      <alignment horizontal="general" vertical="bottom" textRotation="0" wrapText="false" indent="0" shrinkToFit="false"/>
      <protection locked="true" hidden="false"/>
    </xf>
    <xf numFmtId="177" fontId="121" fillId="44" borderId="0" xfId="0" applyFont="true" applyBorder="false" applyAlignment="true" applyProtection="false">
      <alignment horizontal="general" vertical="bottom" textRotation="0" wrapText="false" indent="0" shrinkToFit="false"/>
      <protection locked="true" hidden="false"/>
    </xf>
    <xf numFmtId="177" fontId="121" fillId="44" borderId="18" xfId="0" applyFont="true" applyBorder="true" applyAlignment="true" applyProtection="false">
      <alignment horizontal="general" vertical="bottom" textRotation="0" wrapText="false" indent="0" shrinkToFit="false"/>
      <protection locked="true" hidden="false"/>
    </xf>
    <xf numFmtId="177" fontId="121" fillId="5" borderId="23" xfId="0" applyFont="true" applyBorder="true" applyAlignment="true" applyProtection="false">
      <alignment horizontal="general" vertical="bottom" textRotation="0" wrapText="false" indent="0" shrinkToFit="false"/>
      <protection locked="true" hidden="false"/>
    </xf>
    <xf numFmtId="177" fontId="121" fillId="5" borderId="0" xfId="0" applyFont="true" applyBorder="false" applyAlignment="true" applyProtection="false">
      <alignment horizontal="general" vertical="bottom" textRotation="0" wrapText="false" indent="0" shrinkToFit="false"/>
      <protection locked="true" hidden="false"/>
    </xf>
    <xf numFmtId="177" fontId="121" fillId="5" borderId="18" xfId="0" applyFont="true" applyBorder="true" applyAlignment="true" applyProtection="false">
      <alignment horizontal="general" vertical="bottom" textRotation="0" wrapText="false" indent="0" shrinkToFit="false"/>
      <protection locked="true" hidden="false"/>
    </xf>
    <xf numFmtId="177" fontId="121" fillId="12" borderId="23" xfId="0" applyFont="true" applyBorder="true" applyAlignment="true" applyProtection="false">
      <alignment horizontal="general" vertical="bottom" textRotation="0" wrapText="false" indent="0" shrinkToFit="false"/>
      <protection locked="true" hidden="false"/>
    </xf>
    <xf numFmtId="177" fontId="121" fillId="12" borderId="0" xfId="0" applyFont="true" applyBorder="false" applyAlignment="true" applyProtection="false">
      <alignment horizontal="general" vertical="bottom" textRotation="0" wrapText="false" indent="0" shrinkToFit="false"/>
      <protection locked="true" hidden="false"/>
    </xf>
    <xf numFmtId="177" fontId="121" fillId="12" borderId="18" xfId="0" applyFont="true" applyBorder="true" applyAlignment="true" applyProtection="false">
      <alignment horizontal="general" vertical="bottom" textRotation="0" wrapText="false" indent="0" shrinkToFit="false"/>
      <protection locked="true" hidden="false"/>
    </xf>
    <xf numFmtId="177" fontId="121" fillId="2" borderId="11" xfId="0" applyFont="true" applyBorder="true" applyAlignment="true" applyProtection="false">
      <alignment horizontal="general" vertical="bottom" textRotation="0" wrapText="false" indent="0" shrinkToFit="false"/>
      <protection locked="true" hidden="false"/>
    </xf>
    <xf numFmtId="177" fontId="121" fillId="2" borderId="20" xfId="0" applyFont="true" applyBorder="true" applyAlignment="true" applyProtection="false">
      <alignment horizontal="general" vertical="bottom" textRotation="0" wrapText="false" indent="0" shrinkToFit="false"/>
      <protection locked="true" hidden="false"/>
    </xf>
    <xf numFmtId="177" fontId="121" fillId="43" borderId="21" xfId="0" applyFont="true" applyBorder="true" applyAlignment="true" applyProtection="false">
      <alignment horizontal="general" vertical="bottom" textRotation="0" wrapText="false" indent="0" shrinkToFit="false"/>
      <protection locked="true" hidden="false"/>
    </xf>
    <xf numFmtId="177" fontId="121" fillId="43" borderId="11" xfId="0" applyFont="true" applyBorder="true" applyAlignment="true" applyProtection="false">
      <alignment horizontal="general" vertical="bottom" textRotation="0" wrapText="false" indent="0" shrinkToFit="false"/>
      <protection locked="true" hidden="false"/>
    </xf>
    <xf numFmtId="177" fontId="121" fillId="43" borderId="20" xfId="0" applyFont="true" applyBorder="true" applyAlignment="true" applyProtection="false">
      <alignment horizontal="general" vertical="bottom" textRotation="0" wrapText="false" indent="0" shrinkToFit="false"/>
      <protection locked="true" hidden="false"/>
    </xf>
    <xf numFmtId="177" fontId="121" fillId="44" borderId="21" xfId="0" applyFont="true" applyBorder="true" applyAlignment="true" applyProtection="false">
      <alignment horizontal="general" vertical="bottom" textRotation="0" wrapText="false" indent="0" shrinkToFit="false"/>
      <protection locked="true" hidden="false"/>
    </xf>
    <xf numFmtId="177" fontId="121" fillId="44" borderId="11" xfId="0" applyFont="true" applyBorder="true" applyAlignment="true" applyProtection="false">
      <alignment horizontal="general" vertical="bottom" textRotation="0" wrapText="false" indent="0" shrinkToFit="false"/>
      <protection locked="true" hidden="false"/>
    </xf>
    <xf numFmtId="177" fontId="121" fillId="44" borderId="20" xfId="0" applyFont="true" applyBorder="true" applyAlignment="true" applyProtection="false">
      <alignment horizontal="general" vertical="bottom" textRotation="0" wrapText="false" indent="0" shrinkToFit="false"/>
      <protection locked="true" hidden="false"/>
    </xf>
    <xf numFmtId="177" fontId="121" fillId="5" borderId="21" xfId="0" applyFont="true" applyBorder="true" applyAlignment="true" applyProtection="false">
      <alignment horizontal="general" vertical="bottom" textRotation="0" wrapText="false" indent="0" shrinkToFit="false"/>
      <protection locked="true" hidden="false"/>
    </xf>
    <xf numFmtId="177" fontId="121" fillId="5" borderId="11" xfId="0" applyFont="true" applyBorder="true" applyAlignment="true" applyProtection="false">
      <alignment horizontal="general" vertical="bottom" textRotation="0" wrapText="false" indent="0" shrinkToFit="false"/>
      <protection locked="true" hidden="false"/>
    </xf>
    <xf numFmtId="177" fontId="121" fillId="5" borderId="20" xfId="0" applyFont="true" applyBorder="true" applyAlignment="true" applyProtection="false">
      <alignment horizontal="general" vertical="bottom" textRotation="0" wrapText="false" indent="0" shrinkToFit="false"/>
      <protection locked="true" hidden="false"/>
    </xf>
    <xf numFmtId="177" fontId="121" fillId="12" borderId="21" xfId="0" applyFont="true" applyBorder="true" applyAlignment="true" applyProtection="false">
      <alignment horizontal="general" vertical="bottom" textRotation="0" wrapText="false" indent="0" shrinkToFit="false"/>
      <protection locked="true" hidden="false"/>
    </xf>
    <xf numFmtId="177" fontId="121" fillId="12" borderId="11" xfId="0" applyFont="true" applyBorder="true" applyAlignment="true" applyProtection="false">
      <alignment horizontal="general" vertical="bottom" textRotation="0" wrapText="false" indent="0" shrinkToFit="false"/>
      <protection locked="true" hidden="false"/>
    </xf>
    <xf numFmtId="177" fontId="121" fillId="12" borderId="20" xfId="0" applyFont="true" applyBorder="true" applyAlignment="true" applyProtection="false">
      <alignment horizontal="general" vertical="bottom" textRotation="0" wrapText="false" indent="0" shrinkToFit="false"/>
      <protection locked="true" hidden="false"/>
    </xf>
    <xf numFmtId="177" fontId="122" fillId="0" borderId="31" xfId="0" applyFont="true" applyBorder="true" applyAlignment="true" applyProtection="false">
      <alignment horizontal="general" vertical="bottom" textRotation="0" wrapText="false" indent="0" shrinkToFit="false"/>
      <protection locked="true" hidden="false"/>
    </xf>
    <xf numFmtId="177" fontId="122" fillId="0" borderId="26" xfId="0" applyFont="true" applyBorder="true" applyAlignment="true" applyProtection="false">
      <alignment horizontal="general" vertical="bottom" textRotation="0" wrapText="false" indent="0" shrinkToFit="false"/>
      <protection locked="true" hidden="false"/>
    </xf>
    <xf numFmtId="164" fontId="121" fillId="0" borderId="31" xfId="0" applyFont="true" applyBorder="true" applyAlignment="true" applyProtection="false">
      <alignment horizontal="general" vertical="bottom" textRotation="0" wrapText="false" indent="0" shrinkToFit="false"/>
      <protection locked="true" hidden="false"/>
    </xf>
    <xf numFmtId="164" fontId="121" fillId="2" borderId="0" xfId="0" applyFont="true" applyBorder="false" applyAlignment="true" applyProtection="false">
      <alignment horizontal="general" vertical="bottom" textRotation="0" wrapText="false" indent="0" shrinkToFit="false"/>
      <protection locked="true" hidden="false"/>
    </xf>
    <xf numFmtId="164" fontId="121" fillId="2" borderId="18" xfId="0" applyFont="true" applyBorder="true" applyAlignment="true" applyProtection="false">
      <alignment horizontal="general" vertical="bottom" textRotation="0" wrapText="false" indent="0" shrinkToFit="false"/>
      <protection locked="true" hidden="false"/>
    </xf>
    <xf numFmtId="164" fontId="121" fillId="43" borderId="23" xfId="0" applyFont="true" applyBorder="true" applyAlignment="true" applyProtection="false">
      <alignment horizontal="general" vertical="bottom" textRotation="0" wrapText="false" indent="0" shrinkToFit="false"/>
      <protection locked="true" hidden="false"/>
    </xf>
    <xf numFmtId="164" fontId="121" fillId="43" borderId="0" xfId="0" applyFont="true" applyBorder="false" applyAlignment="true" applyProtection="false">
      <alignment horizontal="general" vertical="bottom" textRotation="0" wrapText="false" indent="0" shrinkToFit="false"/>
      <protection locked="true" hidden="false"/>
    </xf>
    <xf numFmtId="164" fontId="121" fillId="43" borderId="18" xfId="0" applyFont="true" applyBorder="true" applyAlignment="true" applyProtection="false">
      <alignment horizontal="general" vertical="bottom" textRotation="0" wrapText="false" indent="0" shrinkToFit="false"/>
      <protection locked="true" hidden="false"/>
    </xf>
    <xf numFmtId="164" fontId="121" fillId="44" borderId="23" xfId="0" applyFont="true" applyBorder="true" applyAlignment="true" applyProtection="false">
      <alignment horizontal="general" vertical="bottom" textRotation="0" wrapText="false" indent="0" shrinkToFit="false"/>
      <protection locked="true" hidden="false"/>
    </xf>
    <xf numFmtId="164" fontId="121" fillId="44" borderId="0" xfId="0" applyFont="true" applyBorder="false" applyAlignment="true" applyProtection="false">
      <alignment horizontal="general" vertical="bottom" textRotation="0" wrapText="false" indent="0" shrinkToFit="false"/>
      <protection locked="true" hidden="false"/>
    </xf>
    <xf numFmtId="164" fontId="121" fillId="44" borderId="18" xfId="0" applyFont="true" applyBorder="true" applyAlignment="true" applyProtection="false">
      <alignment horizontal="general" vertical="bottom" textRotation="0" wrapText="false" indent="0" shrinkToFit="false"/>
      <protection locked="true" hidden="false"/>
    </xf>
    <xf numFmtId="164" fontId="121" fillId="5" borderId="23" xfId="0" applyFont="true" applyBorder="true" applyAlignment="true" applyProtection="false">
      <alignment horizontal="general" vertical="bottom" textRotation="0" wrapText="false" indent="0" shrinkToFit="false"/>
      <protection locked="true" hidden="false"/>
    </xf>
    <xf numFmtId="164" fontId="121" fillId="5" borderId="0" xfId="0" applyFont="true" applyBorder="false" applyAlignment="true" applyProtection="false">
      <alignment horizontal="general" vertical="bottom" textRotation="0" wrapText="false" indent="0" shrinkToFit="false"/>
      <protection locked="true" hidden="false"/>
    </xf>
    <xf numFmtId="164" fontId="121" fillId="5" borderId="18" xfId="0" applyFont="true" applyBorder="true" applyAlignment="true" applyProtection="false">
      <alignment horizontal="general" vertical="bottom" textRotation="0" wrapText="false" indent="0" shrinkToFit="false"/>
      <protection locked="true" hidden="false"/>
    </xf>
    <xf numFmtId="164" fontId="121" fillId="12" borderId="23" xfId="0" applyFont="true" applyBorder="true" applyAlignment="true" applyProtection="false">
      <alignment horizontal="general" vertical="bottom" textRotation="0" wrapText="false" indent="0" shrinkToFit="false"/>
      <protection locked="true" hidden="false"/>
    </xf>
    <xf numFmtId="164" fontId="121" fillId="12" borderId="0" xfId="0" applyFont="true" applyBorder="false" applyAlignment="true" applyProtection="false">
      <alignment horizontal="general" vertical="bottom" textRotation="0" wrapText="false" indent="0" shrinkToFit="false"/>
      <protection locked="true" hidden="false"/>
    </xf>
    <xf numFmtId="164" fontId="121" fillId="12" borderId="18" xfId="0" applyFont="true" applyBorder="true" applyAlignment="true" applyProtection="false">
      <alignment horizontal="general" vertical="bottom" textRotation="0" wrapText="false" indent="0" shrinkToFit="false"/>
      <protection locked="true" hidden="false"/>
    </xf>
    <xf numFmtId="164" fontId="121" fillId="2" borderId="31" xfId="0" applyFont="true" applyBorder="true" applyAlignment="true" applyProtection="false">
      <alignment horizontal="general" vertical="bottom" textRotation="0" wrapText="false" indent="0" shrinkToFit="false"/>
      <protection locked="true" hidden="false"/>
    </xf>
    <xf numFmtId="177" fontId="121" fillId="2" borderId="32" xfId="0" applyFont="true" applyBorder="true" applyAlignment="true" applyProtection="false">
      <alignment horizontal="general" vertical="bottom" textRotation="0" wrapText="false" indent="0" shrinkToFit="false"/>
      <protection locked="true" hidden="false"/>
    </xf>
    <xf numFmtId="164" fontId="121" fillId="2" borderId="11" xfId="0" applyFont="true" applyBorder="true" applyAlignment="true" applyProtection="false">
      <alignment horizontal="general" vertical="bottom" textRotation="0" wrapText="false" indent="0" shrinkToFit="false"/>
      <protection locked="true" hidden="false"/>
    </xf>
    <xf numFmtId="164" fontId="121" fillId="2" borderId="20" xfId="0" applyFont="true" applyBorder="true" applyAlignment="true" applyProtection="false">
      <alignment horizontal="general" vertical="bottom" textRotation="0" wrapText="false" indent="0" shrinkToFit="false"/>
      <protection locked="true" hidden="false"/>
    </xf>
    <xf numFmtId="164" fontId="121" fillId="43" borderId="21" xfId="0" applyFont="true" applyBorder="true" applyAlignment="true" applyProtection="false">
      <alignment horizontal="general" vertical="bottom" textRotation="0" wrapText="false" indent="0" shrinkToFit="false"/>
      <protection locked="true" hidden="false"/>
    </xf>
    <xf numFmtId="164" fontId="121" fillId="43" borderId="11" xfId="0" applyFont="true" applyBorder="true" applyAlignment="true" applyProtection="false">
      <alignment horizontal="general" vertical="bottom" textRotation="0" wrapText="false" indent="0" shrinkToFit="false"/>
      <protection locked="true" hidden="false"/>
    </xf>
    <xf numFmtId="164" fontId="121" fillId="43" borderId="20" xfId="0" applyFont="true" applyBorder="true" applyAlignment="true" applyProtection="false">
      <alignment horizontal="general" vertical="bottom" textRotation="0" wrapText="false" indent="0" shrinkToFit="false"/>
      <protection locked="true" hidden="false"/>
    </xf>
    <xf numFmtId="164" fontId="121" fillId="44" borderId="21" xfId="0" applyFont="true" applyBorder="true" applyAlignment="true" applyProtection="false">
      <alignment horizontal="general" vertical="bottom" textRotation="0" wrapText="false" indent="0" shrinkToFit="false"/>
      <protection locked="true" hidden="false"/>
    </xf>
    <xf numFmtId="164" fontId="121" fillId="44" borderId="11" xfId="0" applyFont="true" applyBorder="true" applyAlignment="true" applyProtection="false">
      <alignment horizontal="general" vertical="bottom" textRotation="0" wrapText="false" indent="0" shrinkToFit="false"/>
      <protection locked="true" hidden="false"/>
    </xf>
    <xf numFmtId="164" fontId="121" fillId="44" borderId="20" xfId="0" applyFont="true" applyBorder="true" applyAlignment="true" applyProtection="false">
      <alignment horizontal="general" vertical="bottom" textRotation="0" wrapText="false" indent="0" shrinkToFit="false"/>
      <protection locked="true" hidden="false"/>
    </xf>
    <xf numFmtId="164" fontId="121" fillId="5" borderId="21" xfId="0" applyFont="true" applyBorder="true" applyAlignment="true" applyProtection="false">
      <alignment horizontal="general" vertical="bottom" textRotation="0" wrapText="false" indent="0" shrinkToFit="false"/>
      <protection locked="true" hidden="false"/>
    </xf>
    <xf numFmtId="164" fontId="121" fillId="5" borderId="11" xfId="0" applyFont="true" applyBorder="true" applyAlignment="true" applyProtection="false">
      <alignment horizontal="general" vertical="bottom" textRotation="0" wrapText="false" indent="0" shrinkToFit="false"/>
      <protection locked="true" hidden="false"/>
    </xf>
    <xf numFmtId="164" fontId="121" fillId="5" borderId="20" xfId="0" applyFont="true" applyBorder="true" applyAlignment="true" applyProtection="false">
      <alignment horizontal="general" vertical="bottom" textRotation="0" wrapText="false" indent="0" shrinkToFit="false"/>
      <protection locked="true" hidden="false"/>
    </xf>
    <xf numFmtId="164" fontId="121" fillId="12" borderId="21" xfId="0" applyFont="true" applyBorder="true" applyAlignment="true" applyProtection="false">
      <alignment horizontal="general" vertical="bottom" textRotation="0" wrapText="false" indent="0" shrinkToFit="false"/>
      <protection locked="true" hidden="false"/>
    </xf>
    <xf numFmtId="164" fontId="121" fillId="12" borderId="11" xfId="0" applyFont="true" applyBorder="true" applyAlignment="true" applyProtection="false">
      <alignment horizontal="general" vertical="bottom" textRotation="0" wrapText="false" indent="0" shrinkToFit="false"/>
      <protection locked="true" hidden="false"/>
    </xf>
    <xf numFmtId="164" fontId="121" fillId="12" borderId="20" xfId="0" applyFont="true" applyBorder="true" applyAlignment="true" applyProtection="false">
      <alignment horizontal="general" vertical="bottom" textRotation="0" wrapText="false" indent="0" shrinkToFit="false"/>
      <protection locked="true" hidden="false"/>
    </xf>
    <xf numFmtId="177" fontId="122" fillId="0" borderId="46" xfId="0" applyFont="true" applyBorder="true" applyAlignment="true" applyProtection="false">
      <alignment horizontal="general" vertical="bottom" textRotation="0" wrapText="false" indent="0" shrinkToFit="false"/>
      <protection locked="true" hidden="false"/>
    </xf>
    <xf numFmtId="177" fontId="122" fillId="0" borderId="47" xfId="0" applyFont="true" applyBorder="true" applyAlignment="true" applyProtection="false">
      <alignment horizontal="general" vertical="bottom" textRotation="0" wrapText="false" indent="0" shrinkToFit="false"/>
      <protection locked="true" hidden="false"/>
    </xf>
    <xf numFmtId="177" fontId="122" fillId="0" borderId="40" xfId="0" applyFont="true" applyBorder="true" applyAlignment="true" applyProtection="false">
      <alignment horizontal="general" vertical="bottom" textRotation="0" wrapText="false" indent="0" shrinkToFit="false"/>
      <protection locked="true" hidden="false"/>
    </xf>
    <xf numFmtId="177" fontId="121" fillId="0" borderId="0" xfId="0" applyFont="true" applyBorder="false" applyAlignment="true" applyProtection="false">
      <alignment horizontal="general" vertical="bottom" textRotation="0" wrapText="false" indent="0" shrinkToFit="false"/>
      <protection locked="true" hidden="false"/>
    </xf>
    <xf numFmtId="177" fontId="121" fillId="0" borderId="18" xfId="0" applyFont="true" applyBorder="true" applyAlignment="true" applyProtection="false">
      <alignment horizontal="general" vertical="bottom" textRotation="0" wrapText="false" indent="0" shrinkToFit="false"/>
      <protection locked="true" hidden="false"/>
    </xf>
    <xf numFmtId="177" fontId="121" fillId="0" borderId="23" xfId="0" applyFont="true" applyBorder="true" applyAlignment="true" applyProtection="false">
      <alignment horizontal="general" vertical="bottom" textRotation="0" wrapText="false" indent="0" shrinkToFit="false"/>
      <protection locked="true" hidden="false"/>
    </xf>
    <xf numFmtId="177" fontId="122" fillId="44" borderId="37" xfId="0" applyFont="true" applyBorder="true" applyAlignment="true" applyProtection="false">
      <alignment horizontal="left" vertical="bottom" textRotation="0" wrapText="false" indent="0" shrinkToFit="false"/>
      <protection locked="true" hidden="false"/>
    </xf>
    <xf numFmtId="177" fontId="122" fillId="2" borderId="11" xfId="0" applyFont="true" applyBorder="true" applyAlignment="true" applyProtection="false">
      <alignment horizontal="left" vertical="bottom" textRotation="0" wrapText="false" indent="3" shrinkToFit="false"/>
      <protection locked="true" hidden="false"/>
    </xf>
    <xf numFmtId="177" fontId="122" fillId="44" borderId="11" xfId="0" applyFont="true" applyBorder="true" applyAlignment="true" applyProtection="false">
      <alignment horizontal="general" vertical="bottom" textRotation="0" wrapText="false" indent="0" shrinkToFit="false"/>
      <protection locked="true" hidden="false"/>
    </xf>
    <xf numFmtId="177" fontId="122" fillId="2" borderId="11" xfId="0" applyFont="true" applyBorder="true" applyAlignment="true" applyProtection="false">
      <alignment horizontal="general" vertical="bottom" textRotation="0" wrapText="false" indent="0" shrinkToFit="false"/>
      <protection locked="true" hidden="false"/>
    </xf>
    <xf numFmtId="177" fontId="122" fillId="2" borderId="20" xfId="0" applyFont="true" applyBorder="true" applyAlignment="true" applyProtection="false">
      <alignment horizontal="general" vertical="bottom" textRotation="0" wrapText="false" indent="0" shrinkToFit="false"/>
      <protection locked="true" hidden="false"/>
    </xf>
    <xf numFmtId="177" fontId="122" fillId="43" borderId="21" xfId="0" applyFont="true" applyBorder="true" applyAlignment="true" applyProtection="false">
      <alignment horizontal="general" vertical="bottom" textRotation="0" wrapText="false" indent="0" shrinkToFit="false"/>
      <protection locked="true" hidden="false"/>
    </xf>
    <xf numFmtId="177" fontId="122" fillId="43" borderId="11" xfId="0" applyFont="true" applyBorder="true" applyAlignment="true" applyProtection="false">
      <alignment horizontal="general" vertical="bottom" textRotation="0" wrapText="false" indent="0" shrinkToFit="false"/>
      <protection locked="true" hidden="false"/>
    </xf>
    <xf numFmtId="177" fontId="122" fillId="43" borderId="20" xfId="0" applyFont="true" applyBorder="true" applyAlignment="true" applyProtection="false">
      <alignment horizontal="general" vertical="bottom" textRotation="0" wrapText="false" indent="0" shrinkToFit="false"/>
      <protection locked="true" hidden="false"/>
    </xf>
    <xf numFmtId="177" fontId="122" fillId="44" borderId="21" xfId="0" applyFont="true" applyBorder="true" applyAlignment="true" applyProtection="false">
      <alignment horizontal="general" vertical="bottom" textRotation="0" wrapText="false" indent="0" shrinkToFit="false"/>
      <protection locked="true" hidden="false"/>
    </xf>
    <xf numFmtId="177" fontId="122" fillId="44" borderId="20" xfId="0" applyFont="true" applyBorder="true" applyAlignment="true" applyProtection="false">
      <alignment horizontal="general" vertical="bottom" textRotation="0" wrapText="false" indent="0" shrinkToFit="false"/>
      <protection locked="true" hidden="false"/>
    </xf>
    <xf numFmtId="177" fontId="122" fillId="5" borderId="21" xfId="0" applyFont="true" applyBorder="true" applyAlignment="true" applyProtection="false">
      <alignment horizontal="general" vertical="bottom" textRotation="0" wrapText="false" indent="0" shrinkToFit="false"/>
      <protection locked="true" hidden="false"/>
    </xf>
    <xf numFmtId="177" fontId="122" fillId="5" borderId="11" xfId="0" applyFont="true" applyBorder="true" applyAlignment="true" applyProtection="false">
      <alignment horizontal="general" vertical="bottom" textRotation="0" wrapText="false" indent="0" shrinkToFit="false"/>
      <protection locked="true" hidden="false"/>
    </xf>
    <xf numFmtId="177" fontId="122" fillId="5" borderId="20" xfId="0" applyFont="true" applyBorder="true" applyAlignment="true" applyProtection="false">
      <alignment horizontal="general" vertical="bottom" textRotation="0" wrapText="false" indent="0" shrinkToFit="false"/>
      <protection locked="true" hidden="false"/>
    </xf>
    <xf numFmtId="177" fontId="122" fillId="12" borderId="21" xfId="0" applyFont="true" applyBorder="true" applyAlignment="true" applyProtection="false">
      <alignment horizontal="general" vertical="bottom" textRotation="0" wrapText="false" indent="0" shrinkToFit="false"/>
      <protection locked="true" hidden="false"/>
    </xf>
    <xf numFmtId="177" fontId="122" fillId="12" borderId="11" xfId="0" applyFont="true" applyBorder="true" applyAlignment="true" applyProtection="false">
      <alignment horizontal="general" vertical="bottom" textRotation="0" wrapText="false" indent="0" shrinkToFit="false"/>
      <protection locked="true" hidden="false"/>
    </xf>
    <xf numFmtId="177" fontId="122" fillId="12" borderId="20" xfId="0" applyFont="true" applyBorder="true" applyAlignment="true" applyProtection="false">
      <alignment horizontal="general" vertical="bottom" textRotation="0" wrapText="false" indent="0" shrinkToFit="false"/>
      <protection locked="true" hidden="false"/>
    </xf>
    <xf numFmtId="177" fontId="122" fillId="2" borderId="21" xfId="0" applyFont="true" applyBorder="true" applyAlignment="true" applyProtection="false">
      <alignment horizontal="general" vertical="bottom" textRotation="0" wrapText="false" indent="0" shrinkToFit="false"/>
      <protection locked="true" hidden="false"/>
    </xf>
    <xf numFmtId="164" fontId="25" fillId="16" borderId="0" xfId="0" applyFont="true" applyBorder="true" applyAlignment="true" applyProtection="false">
      <alignment horizontal="center" vertical="center" textRotation="0" wrapText="false" indent="0" shrinkToFit="false"/>
      <protection locked="true" hidden="false"/>
    </xf>
    <xf numFmtId="164" fontId="8" fillId="17" borderId="0" xfId="0" applyFont="true" applyBorder="true" applyAlignment="true" applyProtection="false">
      <alignment horizontal="left" vertical="center" textRotation="0" wrapText="false" indent="1" shrinkToFit="false"/>
      <protection locked="true" hidden="false"/>
    </xf>
    <xf numFmtId="168" fontId="26" fillId="0" borderId="0" xfId="0" applyFont="true" applyBorder="false" applyAlignment="true" applyProtection="false">
      <alignment horizontal="general" vertical="bottom" textRotation="0" wrapText="false" indent="0" shrinkToFit="false"/>
      <protection locked="true" hidden="false"/>
    </xf>
    <xf numFmtId="168" fontId="27" fillId="18" borderId="0" xfId="0" applyFont="true" applyBorder="false" applyAlignment="true" applyProtection="false">
      <alignment horizontal="general" vertical="bottom" textRotation="0" wrapText="false" indent="0" shrinkToFit="false"/>
      <protection locked="true" hidden="false"/>
    </xf>
    <xf numFmtId="164" fontId="30" fillId="0" borderId="0" xfId="0" applyFont="true" applyBorder="true" applyAlignment="true" applyProtection="false">
      <alignment horizontal="general" vertical="bottom" textRotation="0" wrapText="false" indent="0" shrinkToFit="false"/>
      <protection locked="true" hidden="false"/>
    </xf>
    <xf numFmtId="164" fontId="123" fillId="48" borderId="0" xfId="0" applyFont="true" applyBorder="true" applyAlignment="true" applyProtection="false">
      <alignment horizontal="center" vertical="center" textRotation="0" wrapText="true" indent="0" shrinkToFit="false"/>
      <protection locked="true" hidden="false"/>
    </xf>
    <xf numFmtId="164" fontId="85" fillId="19" borderId="0" xfId="0" applyFont="true" applyBorder="false" applyAlignment="true" applyProtection="false">
      <alignment horizontal="center" vertical="center" textRotation="0" wrapText="true" indent="0" shrinkToFit="false"/>
      <protection locked="true" hidden="false"/>
    </xf>
    <xf numFmtId="164" fontId="124" fillId="17" borderId="0" xfId="0" applyFont="true" applyBorder="true" applyAlignment="true" applyProtection="false">
      <alignment horizontal="left" vertical="center" textRotation="0" wrapText="true" indent="0" shrinkToFit="false"/>
      <protection locked="true" hidden="false"/>
    </xf>
    <xf numFmtId="185" fontId="29" fillId="0" borderId="0" xfId="0" applyFont="true" applyBorder="false" applyAlignment="true" applyProtection="false">
      <alignment horizontal="center" vertical="bottom" textRotation="0" wrapText="false" indent="0" shrinkToFit="false"/>
      <protection locked="true" hidden="false"/>
    </xf>
    <xf numFmtId="164" fontId="90" fillId="0" borderId="70" xfId="0" applyFont="true" applyBorder="true" applyAlignment="true" applyProtection="false">
      <alignment horizontal="left" vertical="center" textRotation="0" wrapText="true" indent="0" shrinkToFit="false"/>
      <protection locked="true" hidden="false"/>
    </xf>
    <xf numFmtId="164" fontId="125" fillId="49" borderId="70" xfId="0" applyFont="true" applyBorder="true" applyAlignment="true" applyProtection="false">
      <alignment horizontal="center" vertical="center" textRotation="0" wrapText="true" indent="0" shrinkToFit="false"/>
      <protection locked="true" hidden="false"/>
    </xf>
    <xf numFmtId="164" fontId="126" fillId="40" borderId="70" xfId="0" applyFont="true" applyBorder="true" applyAlignment="true" applyProtection="false">
      <alignment horizontal="center" vertical="center" textRotation="0" wrapText="true" indent="0" shrinkToFit="false"/>
      <protection locked="true" hidden="false"/>
    </xf>
    <xf numFmtId="185" fontId="0" fillId="0" borderId="70" xfId="0" applyFont="false" applyBorder="true" applyAlignment="true" applyProtection="false">
      <alignment horizontal="center" vertical="center" textRotation="0" wrapText="true" indent="0" shrinkToFit="false"/>
      <protection locked="true" hidden="false"/>
    </xf>
    <xf numFmtId="183" fontId="29" fillId="0" borderId="0" xfId="0" applyFont="true" applyBorder="false" applyAlignment="true" applyProtection="false">
      <alignment horizontal="center" vertical="bottom" textRotation="0" wrapText="false" indent="0" shrinkToFit="false"/>
      <protection locked="true" hidden="false"/>
    </xf>
    <xf numFmtId="164" fontId="0" fillId="0" borderId="70" xfId="0" applyFont="false" applyBorder="true" applyAlignment="true" applyProtection="false">
      <alignment horizontal="center" vertical="center" textRotation="0" wrapText="true" indent="0" shrinkToFit="false"/>
      <protection locked="true" hidden="false"/>
    </xf>
    <xf numFmtId="183" fontId="0" fillId="0" borderId="70" xfId="0" applyFont="false" applyBorder="true" applyAlignment="true" applyProtection="false">
      <alignment horizontal="center" vertical="center" textRotation="0" wrapText="true" indent="0" shrinkToFit="false"/>
      <protection locked="tru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27" fillId="49" borderId="70" xfId="0" applyFont="true" applyBorder="true" applyAlignment="true" applyProtection="false">
      <alignment horizontal="center" vertical="center" textRotation="0" wrapText="true" indent="0" shrinkToFit="false"/>
      <protection locked="true" hidden="false"/>
    </xf>
    <xf numFmtId="164" fontId="90" fillId="0" borderId="70" xfId="0" applyFont="true" applyBorder="true" applyAlignment="true" applyProtection="false">
      <alignment horizontal="center" vertical="center" textRotation="0" wrapText="true" indent="0" shrinkToFit="false"/>
      <protection locked="true" hidden="false"/>
    </xf>
    <xf numFmtId="164" fontId="30" fillId="0" borderId="0" xfId="0" applyFont="true" applyBorder="true" applyAlignment="true" applyProtection="false">
      <alignment horizontal="general" vertical="top" textRotation="0" wrapText="true" indent="0" shrinkToFit="false"/>
      <protection locked="true" hidden="false"/>
    </xf>
    <xf numFmtId="164" fontId="128" fillId="0" borderId="0" xfId="0" applyFont="true" applyBorder="true" applyAlignment="true" applyProtection="false">
      <alignment horizontal="left" vertical="center" textRotation="0" wrapText="true" indent="0" shrinkToFit="false"/>
      <protection locked="true" hidden="false"/>
    </xf>
    <xf numFmtId="164" fontId="129" fillId="2" borderId="0" xfId="0" applyFont="true" applyBorder="false" applyAlignment="true" applyProtection="false">
      <alignment horizontal="general" vertical="bottom" textRotation="0" wrapText="false" indent="0" shrinkToFit="false"/>
      <protection locked="true" hidden="false"/>
    </xf>
    <xf numFmtId="164" fontId="130" fillId="2" borderId="0" xfId="0" applyFont="true" applyBorder="false" applyAlignment="true" applyProtection="false">
      <alignment horizontal="general" vertical="bottom" textRotation="0" wrapText="false" indent="0" shrinkToFit="false"/>
      <protection locked="true" hidden="false"/>
    </xf>
    <xf numFmtId="168" fontId="130" fillId="2" borderId="0" xfId="0" applyFont="true" applyBorder="false" applyAlignment="true" applyProtection="false">
      <alignment horizontal="general" vertical="bottom" textRotation="0" wrapText="false" indent="0" shrinkToFit="false"/>
      <protection locked="true" hidden="false"/>
    </xf>
    <xf numFmtId="164" fontId="130" fillId="2" borderId="0" xfId="0" applyFont="true" applyBorder="false" applyAlignment="true" applyProtection="false">
      <alignment horizontal="right" vertical="bottom" textRotation="0" wrapText="false" indent="0" shrinkToFit="false"/>
      <protection locked="true" hidden="false"/>
    </xf>
    <xf numFmtId="164" fontId="131" fillId="2" borderId="0" xfId="0" applyFont="true" applyBorder="false" applyAlignment="true" applyProtection="false">
      <alignment horizontal="right" vertical="bottom" textRotation="0" wrapText="false" indent="0" shrinkToFit="false"/>
      <protection locked="true" hidden="false"/>
    </xf>
    <xf numFmtId="164" fontId="129" fillId="2" borderId="0" xfId="0" applyFont="true" applyBorder="false" applyAlignment="true" applyProtection="false">
      <alignment horizontal="right" vertical="bottom" textRotation="0" wrapText="false" indent="0" shrinkToFit="false"/>
      <protection locked="true" hidden="false"/>
    </xf>
    <xf numFmtId="164" fontId="131" fillId="2" borderId="0" xfId="0" applyFont="true" applyBorder="false" applyAlignment="true" applyProtection="false">
      <alignment horizontal="general" vertical="bottom" textRotation="0" wrapText="false" indent="0" shrinkToFit="false"/>
      <protection locked="true" hidden="false"/>
    </xf>
    <xf numFmtId="164" fontId="107" fillId="2" borderId="0" xfId="0" applyFont="true" applyBorder="false" applyAlignment="true" applyProtection="false">
      <alignment horizontal="right" vertical="bottom" textRotation="0" wrapText="false" indent="0" shrinkToFit="false"/>
      <protection locked="true" hidden="false"/>
    </xf>
    <xf numFmtId="164" fontId="107" fillId="0" borderId="0" xfId="0" applyFont="true" applyBorder="false" applyAlignment="true" applyProtection="false">
      <alignment horizontal="general" vertical="bottom" textRotation="0" wrapText="false" indent="0" shrinkToFit="false"/>
      <protection locked="true" hidden="false"/>
    </xf>
    <xf numFmtId="164" fontId="130" fillId="2" borderId="0" xfId="0" applyFont="true" applyBorder="false" applyAlignment="true" applyProtection="false">
      <alignment horizontal="center" vertical="bottom" textRotation="0" wrapText="false" indent="0" shrinkToFit="false"/>
      <protection locked="true" hidden="false"/>
    </xf>
    <xf numFmtId="164" fontId="129" fillId="2" borderId="0" xfId="0" applyFont="true" applyBorder="false" applyAlignment="true" applyProtection="false">
      <alignment horizontal="center" vertical="bottom" textRotation="0" wrapText="false" indent="0" shrinkToFit="false"/>
      <protection locked="true" hidden="false"/>
    </xf>
    <xf numFmtId="164" fontId="107" fillId="0" borderId="0" xfId="0" applyFont="true" applyBorder="false" applyAlignment="true" applyProtection="false">
      <alignment horizontal="left" vertical="bottom" textRotation="0" wrapText="false" indent="0" shrinkToFit="false"/>
      <protection locked="true" hidden="false"/>
    </xf>
    <xf numFmtId="164" fontId="130" fillId="0" borderId="0" xfId="0" applyFont="true" applyBorder="false" applyAlignment="true" applyProtection="false">
      <alignment horizontal="general" vertical="bottom" textRotation="0" wrapText="false" indent="0" shrinkToFit="false"/>
      <protection locked="true" hidden="false"/>
    </xf>
    <xf numFmtId="177" fontId="132" fillId="28" borderId="15" xfId="0" applyFont="true" applyBorder="true" applyAlignment="true" applyProtection="false">
      <alignment horizontal="center" vertical="center" textRotation="90" wrapText="false" indent="0" shrinkToFit="false"/>
      <protection locked="true" hidden="false"/>
    </xf>
    <xf numFmtId="177" fontId="133" fillId="2" borderId="71" xfId="0" applyFont="true" applyBorder="true" applyAlignment="true" applyProtection="false">
      <alignment horizontal="center" vertical="bottom" textRotation="0" wrapText="false" indent="0" shrinkToFit="false"/>
      <protection locked="true" hidden="false"/>
    </xf>
    <xf numFmtId="177" fontId="134" fillId="2" borderId="0" xfId="0" applyFont="true" applyBorder="false" applyAlignment="true" applyProtection="false">
      <alignment horizontal="general" vertical="bottom" textRotation="0" wrapText="false" indent="0" shrinkToFit="false"/>
      <protection locked="true" hidden="false"/>
    </xf>
    <xf numFmtId="177" fontId="134" fillId="0" borderId="15" xfId="0" applyFont="true" applyBorder="true" applyAlignment="true" applyProtection="false">
      <alignment horizontal="general" vertical="bottom" textRotation="0" wrapText="false" indent="0" shrinkToFit="false"/>
      <protection locked="true" hidden="false"/>
    </xf>
    <xf numFmtId="177" fontId="134" fillId="2" borderId="15" xfId="0" applyFont="true" applyBorder="true" applyAlignment="true" applyProtection="false">
      <alignment horizontal="right" vertical="bottom" textRotation="0" wrapText="false" indent="1" shrinkToFit="false"/>
      <protection locked="true" hidden="false"/>
    </xf>
    <xf numFmtId="177" fontId="134" fillId="2" borderId="16" xfId="0" applyFont="true" applyBorder="true" applyAlignment="true" applyProtection="false">
      <alignment horizontal="right" vertical="bottom" textRotation="0" wrapText="false" indent="1" shrinkToFit="false"/>
      <protection locked="true" hidden="false"/>
    </xf>
    <xf numFmtId="177" fontId="134" fillId="2" borderId="0" xfId="0" applyFont="true" applyBorder="false" applyAlignment="true" applyProtection="false">
      <alignment horizontal="center" vertical="bottom" textRotation="0" wrapText="false" indent="0" shrinkToFit="false"/>
      <protection locked="true" hidden="false"/>
    </xf>
    <xf numFmtId="164" fontId="135" fillId="28" borderId="15" xfId="0" applyFont="true" applyBorder="true" applyAlignment="true" applyProtection="false">
      <alignment horizontal="center" vertical="center" textRotation="90" wrapText="false" indent="0" shrinkToFit="false"/>
      <protection locked="true" hidden="false"/>
    </xf>
    <xf numFmtId="177" fontId="136" fillId="0" borderId="15" xfId="0" applyFont="true" applyBorder="true" applyAlignment="true" applyProtection="false">
      <alignment horizontal="general" vertical="bottom" textRotation="0" wrapText="false" indent="0" shrinkToFit="false"/>
      <protection locked="true" hidden="false"/>
    </xf>
    <xf numFmtId="177" fontId="136" fillId="2" borderId="15" xfId="0" applyFont="true" applyBorder="true" applyAlignment="true" applyProtection="false">
      <alignment horizontal="center" vertical="bottom" textRotation="0" wrapText="false" indent="0" shrinkToFit="false"/>
      <protection locked="true" hidden="false"/>
    </xf>
    <xf numFmtId="177" fontId="136" fillId="2" borderId="16" xfId="0" applyFont="true" applyBorder="true" applyAlignment="true" applyProtection="false">
      <alignment horizontal="center" vertical="bottom" textRotation="0" wrapText="false" indent="0" shrinkToFit="false"/>
      <protection locked="true" hidden="false"/>
    </xf>
    <xf numFmtId="177" fontId="134" fillId="2" borderId="0" xfId="0" applyFont="true" applyBorder="false" applyAlignment="true" applyProtection="false">
      <alignment horizontal="right" vertical="bottom" textRotation="0" wrapText="false" indent="1" shrinkToFit="false"/>
      <protection locked="true" hidden="false"/>
    </xf>
    <xf numFmtId="177" fontId="136" fillId="0" borderId="72" xfId="0" applyFont="true" applyBorder="true" applyAlignment="true" applyProtection="false">
      <alignment horizontal="general" vertical="bottom" textRotation="0" wrapText="false" indent="0" shrinkToFit="false"/>
      <protection locked="true" hidden="false"/>
    </xf>
    <xf numFmtId="177" fontId="136" fillId="2" borderId="72" xfId="0" applyFont="true" applyBorder="true" applyAlignment="true" applyProtection="false">
      <alignment horizontal="right" vertical="bottom" textRotation="0" wrapText="false" indent="1" shrinkToFit="false"/>
      <protection locked="true" hidden="false"/>
    </xf>
    <xf numFmtId="177" fontId="136" fillId="2" borderId="71" xfId="0" applyFont="true" applyBorder="true" applyAlignment="true" applyProtection="false">
      <alignment horizontal="right" vertical="bottom" textRotation="0" wrapText="false" indent="1" shrinkToFit="false"/>
      <protection locked="true" hidden="false"/>
    </xf>
    <xf numFmtId="177" fontId="134" fillId="0" borderId="22" xfId="0" applyFont="true" applyBorder="true" applyAlignment="true" applyProtection="false">
      <alignment horizontal="general" vertical="bottom" textRotation="0" wrapText="false" indent="0" shrinkToFit="false"/>
      <protection locked="true" hidden="false"/>
    </xf>
    <xf numFmtId="177" fontId="136" fillId="0" borderId="22" xfId="0" applyFont="true" applyBorder="true" applyAlignment="true" applyProtection="false">
      <alignment horizontal="general" vertical="bottom" textRotation="0" wrapText="false" indent="0" shrinkToFit="false"/>
      <protection locked="true" hidden="false"/>
    </xf>
    <xf numFmtId="177" fontId="136" fillId="0" borderId="32" xfId="0" applyFont="true" applyBorder="true" applyAlignment="true" applyProtection="false">
      <alignment horizontal="general" vertical="bottom" textRotation="0" wrapText="false" indent="0" shrinkToFit="false"/>
      <protection locked="true" hidden="false"/>
    </xf>
    <xf numFmtId="177" fontId="132" fillId="28" borderId="26" xfId="0" applyFont="true" applyBorder="true" applyAlignment="true" applyProtection="false">
      <alignment horizontal="center" vertical="center" textRotation="90" wrapText="false" indent="0" shrinkToFit="false"/>
      <protection locked="true" hidden="false"/>
    </xf>
    <xf numFmtId="177" fontId="134" fillId="0" borderId="15" xfId="0" applyFont="true" applyBorder="true" applyAlignment="true" applyProtection="false">
      <alignment horizontal="center" vertical="bottom" textRotation="0" wrapText="false" indent="0" shrinkToFit="false"/>
      <protection locked="true" hidden="false"/>
    </xf>
    <xf numFmtId="177" fontId="134" fillId="2" borderId="15" xfId="0" applyFont="true" applyBorder="true" applyAlignment="true" applyProtection="false">
      <alignment horizontal="center" vertical="bottom" textRotation="0" wrapText="false" indent="0" shrinkToFit="false"/>
      <protection locked="true" hidden="false"/>
    </xf>
    <xf numFmtId="177" fontId="134" fillId="2" borderId="16" xfId="0" applyFont="true" applyBorder="true" applyAlignment="true" applyProtection="false">
      <alignment horizontal="center" vertical="bottom" textRotation="0" wrapText="false" indent="0" shrinkToFit="false"/>
      <protection locked="true" hidden="false"/>
    </xf>
    <xf numFmtId="177" fontId="134" fillId="2" borderId="0" xfId="0" applyFont="true" applyBorder="false" applyAlignment="true" applyProtection="false">
      <alignment horizontal="right" vertical="bottom" textRotation="0" wrapText="true" indent="0" shrinkToFit="false"/>
      <protection locked="true" hidden="false"/>
    </xf>
    <xf numFmtId="177" fontId="134" fillId="7" borderId="15" xfId="0" applyFont="true" applyBorder="true" applyAlignment="true" applyProtection="false">
      <alignment horizontal="general" vertical="bottom" textRotation="0" wrapText="false" indent="0" shrinkToFit="false"/>
      <protection locked="true" hidden="false"/>
    </xf>
    <xf numFmtId="177" fontId="132" fillId="28" borderId="40" xfId="0" applyFont="true" applyBorder="true" applyAlignment="true" applyProtection="false">
      <alignment horizontal="center" vertical="center" textRotation="90" wrapText="false" indent="0" shrinkToFit="false"/>
      <protection locked="true" hidden="false"/>
    </xf>
    <xf numFmtId="177" fontId="134" fillId="0" borderId="15" xfId="0" applyFont="true" applyBorder="true" applyAlignment="true" applyProtection="false">
      <alignment horizontal="left" vertical="bottom" textRotation="0" wrapText="false" indent="0" shrinkToFit="false"/>
      <protection locked="true" hidden="false"/>
    </xf>
    <xf numFmtId="177" fontId="132" fillId="28" borderId="46" xfId="0" applyFont="true" applyBorder="true" applyAlignment="true" applyProtection="false">
      <alignment horizontal="center" vertical="center" textRotation="90" wrapText="false" indent="0" shrinkToFit="false"/>
      <protection locked="true" hidden="false"/>
    </xf>
    <xf numFmtId="177" fontId="132" fillId="28" borderId="71" xfId="0" applyFont="true" applyBorder="true" applyAlignment="true" applyProtection="false">
      <alignment horizontal="center" vertical="bottom" textRotation="0" wrapText="false" indent="0" shrinkToFit="false"/>
      <protection locked="true" hidden="false"/>
    </xf>
    <xf numFmtId="177" fontId="130" fillId="2" borderId="0" xfId="0" applyFont="true" applyBorder="false" applyAlignment="true" applyProtection="false">
      <alignment horizontal="general" vertical="bottom" textRotation="0" wrapText="false" indent="0" shrinkToFit="false"/>
      <protection locked="true" hidden="false"/>
    </xf>
    <xf numFmtId="177" fontId="134" fillId="0" borderId="73" xfId="0" applyFont="true" applyBorder="true" applyAlignment="true" applyProtection="false">
      <alignment horizontal="general" vertical="bottom" textRotation="0" wrapText="false" indent="0" shrinkToFit="false"/>
      <protection locked="true" hidden="false"/>
    </xf>
    <xf numFmtId="177" fontId="34" fillId="2" borderId="73" xfId="0" applyFont="true" applyBorder="true" applyAlignment="true" applyProtection="false">
      <alignment horizontal="right" vertical="bottom" textRotation="0" wrapText="false" indent="1" shrinkToFit="false"/>
      <protection locked="true" hidden="false"/>
    </xf>
    <xf numFmtId="177" fontId="34" fillId="2" borderId="74" xfId="0" applyFont="true" applyBorder="true" applyAlignment="true" applyProtection="false">
      <alignment horizontal="right" vertical="bottom" textRotation="0" wrapText="false" indent="1" shrinkToFit="false"/>
      <protection locked="true" hidden="false"/>
    </xf>
    <xf numFmtId="177" fontId="134" fillId="0" borderId="72" xfId="0" applyFont="true" applyBorder="true" applyAlignment="true" applyProtection="false">
      <alignment horizontal="general" vertical="bottom" textRotation="0" wrapText="false" indent="0" shrinkToFit="false"/>
      <protection locked="true" hidden="false"/>
    </xf>
    <xf numFmtId="177" fontId="34" fillId="2" borderId="72" xfId="0" applyFont="true" applyBorder="true" applyAlignment="true" applyProtection="false">
      <alignment horizontal="right" vertical="bottom" textRotation="0" wrapText="false" indent="1" shrinkToFit="false"/>
      <protection locked="true" hidden="false"/>
    </xf>
    <xf numFmtId="177" fontId="137" fillId="50" borderId="0" xfId="0" applyFont="true" applyBorder="true" applyAlignment="true" applyProtection="false">
      <alignment horizontal="center" vertical="center" textRotation="90" wrapText="false" indent="0" shrinkToFit="false"/>
      <protection locked="true" hidden="false"/>
    </xf>
    <xf numFmtId="177" fontId="135" fillId="0" borderId="0" xfId="0" applyFont="true" applyBorder="false" applyAlignment="true" applyProtection="false">
      <alignment horizontal="general" vertical="bottom" textRotation="0" wrapText="false" indent="0" shrinkToFit="false"/>
      <protection locked="true" hidden="false"/>
    </xf>
    <xf numFmtId="177" fontId="132" fillId="28" borderId="13" xfId="0" applyFont="true" applyBorder="true" applyAlignment="true" applyProtection="false">
      <alignment horizontal="center" vertical="center" textRotation="90" wrapText="false" indent="0" shrinkToFit="false"/>
      <protection locked="true" hidden="false"/>
    </xf>
    <xf numFmtId="177" fontId="134" fillId="2" borderId="72" xfId="0" applyFont="true" applyBorder="true" applyAlignment="true" applyProtection="false">
      <alignment horizontal="right" vertical="bottom" textRotation="0" wrapText="false" indent="1" shrinkToFit="false"/>
      <protection locked="true" hidden="false"/>
    </xf>
    <xf numFmtId="177" fontId="134" fillId="2" borderId="71" xfId="0" applyFont="true" applyBorder="true" applyAlignment="true" applyProtection="false">
      <alignment horizontal="right" vertical="bottom" textRotation="0" wrapText="false" indent="1" shrinkToFit="false"/>
      <protection locked="true" hidden="false"/>
    </xf>
    <xf numFmtId="177" fontId="132" fillId="28" borderId="40" xfId="0" applyFont="true" applyBorder="true" applyAlignment="true" applyProtection="false">
      <alignment horizontal="center" vertical="center" textRotation="90" wrapText="true" indent="0" shrinkToFit="false"/>
      <protection locked="true" hidden="false"/>
    </xf>
    <xf numFmtId="177" fontId="138" fillId="2" borderId="72" xfId="0" applyFont="true" applyBorder="true" applyAlignment="true" applyProtection="false">
      <alignment horizontal="right" vertical="bottom" textRotation="0" wrapText="false" indent="1" shrinkToFit="false"/>
      <protection locked="true" hidden="false"/>
    </xf>
    <xf numFmtId="177" fontId="138" fillId="2" borderId="71" xfId="0" applyFont="true" applyBorder="true" applyAlignment="true" applyProtection="false">
      <alignment horizontal="right" vertical="bottom" textRotation="0" wrapText="false" indent="1" shrinkToFit="false"/>
      <protection locked="true" hidden="false"/>
    </xf>
    <xf numFmtId="177" fontId="135" fillId="0" borderId="72" xfId="0" applyFont="true" applyBorder="true" applyAlignment="true" applyProtection="false">
      <alignment horizontal="general" vertical="bottom" textRotation="0" wrapText="false" indent="0" shrinkToFit="false"/>
      <protection locked="true" hidden="false"/>
    </xf>
    <xf numFmtId="164" fontId="134" fillId="2" borderId="0" xfId="0" applyFont="true" applyBorder="false" applyAlignment="true" applyProtection="false">
      <alignment horizontal="general" vertical="bottom" textRotation="0" wrapText="false" indent="0" shrinkToFit="false"/>
      <protection locked="true" hidden="false"/>
    </xf>
    <xf numFmtId="177" fontId="107" fillId="7" borderId="75" xfId="0" applyFont="true" applyBorder="true" applyAlignment="true" applyProtection="false">
      <alignment horizontal="left" vertical="bottom" textRotation="0" wrapText="false" indent="1" shrinkToFit="false"/>
      <protection locked="true" hidden="false"/>
    </xf>
    <xf numFmtId="177" fontId="107" fillId="2" borderId="76" xfId="0" applyFont="true" applyBorder="true" applyAlignment="true" applyProtection="false">
      <alignment horizontal="general" vertical="bottom" textRotation="0" wrapText="false" indent="0" shrinkToFit="false"/>
      <protection locked="true" hidden="false"/>
    </xf>
    <xf numFmtId="177" fontId="107" fillId="7" borderId="77" xfId="0" applyFont="true" applyBorder="true" applyAlignment="true" applyProtection="false">
      <alignment horizontal="left" vertical="bottom" textRotation="0" wrapText="false" indent="0" shrinkToFit="false"/>
      <protection locked="true" hidden="false"/>
    </xf>
    <xf numFmtId="177" fontId="107" fillId="2" borderId="78" xfId="0" applyFont="true" applyBorder="true" applyAlignment="true" applyProtection="false">
      <alignment horizontal="right" vertical="bottom" textRotation="0" wrapText="false" indent="1" shrinkToFit="false"/>
      <protection locked="true" hidden="false"/>
    </xf>
    <xf numFmtId="177" fontId="107" fillId="2" borderId="73" xfId="0" applyFont="true" applyBorder="true" applyAlignment="true" applyProtection="false">
      <alignment horizontal="right" vertical="bottom" textRotation="0" wrapText="false" indent="1" shrinkToFit="false"/>
      <protection locked="true" hidden="false"/>
    </xf>
    <xf numFmtId="177" fontId="107" fillId="2" borderId="74" xfId="0" applyFont="true" applyBorder="true" applyAlignment="true" applyProtection="false">
      <alignment horizontal="right" vertical="bottom" textRotation="0" wrapText="false" indent="1" shrinkToFit="false"/>
      <protection locked="true" hidden="false"/>
    </xf>
    <xf numFmtId="177" fontId="107" fillId="2" borderId="0" xfId="0" applyFont="true" applyBorder="false" applyAlignment="true" applyProtection="false">
      <alignment horizontal="right" vertical="bottom" textRotation="0" wrapText="false" indent="1" shrinkToFit="false"/>
      <protection locked="true" hidden="false"/>
    </xf>
    <xf numFmtId="177" fontId="138" fillId="7" borderId="77" xfId="0" applyFont="true" applyBorder="true" applyAlignment="true" applyProtection="false">
      <alignment horizontal="left" vertical="bottom" textRotation="0" wrapText="false" indent="0" shrinkToFit="false"/>
      <protection locked="true" hidden="false"/>
    </xf>
    <xf numFmtId="177" fontId="138" fillId="2" borderId="78" xfId="0" applyFont="true" applyBorder="true" applyAlignment="true" applyProtection="false">
      <alignment horizontal="right" vertical="bottom" textRotation="0" wrapText="false" indent="0" shrinkToFit="false"/>
      <protection locked="true" hidden="false"/>
    </xf>
    <xf numFmtId="177" fontId="138" fillId="2" borderId="73" xfId="0" applyFont="true" applyBorder="true" applyAlignment="true" applyProtection="false">
      <alignment horizontal="right" vertical="bottom" textRotation="0" wrapText="false" indent="0" shrinkToFit="false"/>
      <protection locked="true" hidden="false"/>
    </xf>
    <xf numFmtId="177" fontId="138" fillId="2" borderId="74" xfId="0" applyFont="true" applyBorder="true" applyAlignment="true" applyProtection="false">
      <alignment horizontal="right" vertical="bottom" textRotation="0" wrapText="false" indent="0" shrinkToFit="false"/>
      <protection locked="true" hidden="false"/>
    </xf>
    <xf numFmtId="177" fontId="134" fillId="7" borderId="77" xfId="0" applyFont="true" applyBorder="true" applyAlignment="true" applyProtection="false">
      <alignment horizontal="left" vertical="bottom" textRotation="0" wrapText="false" indent="0" shrinkToFit="false"/>
      <protection locked="true" hidden="false"/>
    </xf>
    <xf numFmtId="177" fontId="136" fillId="7" borderId="75" xfId="0" applyFont="true" applyBorder="true" applyAlignment="true" applyProtection="false">
      <alignment horizontal="left" vertical="bottom" textRotation="0" wrapText="false" indent="0" shrinkToFit="false"/>
      <protection locked="true" hidden="false"/>
    </xf>
    <xf numFmtId="177" fontId="138" fillId="2" borderId="75" xfId="0" applyFont="true" applyBorder="true" applyAlignment="true" applyProtection="false">
      <alignment horizontal="right" vertical="bottom" textRotation="0" wrapText="false" indent="1" shrinkToFit="false"/>
      <protection locked="true" hidden="false"/>
    </xf>
    <xf numFmtId="177" fontId="138" fillId="2" borderId="76" xfId="0" applyFont="true" applyBorder="true" applyAlignment="true" applyProtection="false">
      <alignment horizontal="right" vertical="bottom" textRotation="0" wrapText="false" indent="1" shrinkToFit="false"/>
      <protection locked="true" hidden="false"/>
    </xf>
    <xf numFmtId="177" fontId="130" fillId="2" borderId="0" xfId="0" applyFont="true" applyBorder="false" applyAlignment="true" applyProtection="false">
      <alignment horizontal="right" vertical="bottom" textRotation="0" wrapText="false" indent="0" shrinkToFit="false"/>
      <protection locked="true" hidden="false"/>
    </xf>
    <xf numFmtId="177" fontId="136" fillId="7" borderId="77" xfId="0" applyFont="true" applyBorder="true" applyAlignment="true" applyProtection="false">
      <alignment horizontal="left" vertical="bottom" textRotation="0" wrapText="false" indent="0" shrinkToFit="false"/>
      <protection locked="true" hidden="false"/>
    </xf>
    <xf numFmtId="177" fontId="134" fillId="7" borderId="78" xfId="0" applyFont="true" applyBorder="true" applyAlignment="true" applyProtection="false">
      <alignment horizontal="left" vertical="bottom" textRotation="0" wrapText="false" indent="0" shrinkToFit="false"/>
      <protection locked="true" hidden="false"/>
    </xf>
    <xf numFmtId="177" fontId="134" fillId="2" borderId="73" xfId="0" applyFont="true" applyBorder="true" applyAlignment="true" applyProtection="false">
      <alignment horizontal="right" vertical="bottom" textRotation="0" wrapText="false" indent="1" shrinkToFit="false"/>
      <protection locked="true" hidden="false"/>
    </xf>
    <xf numFmtId="177" fontId="134" fillId="2" borderId="74" xfId="0" applyFont="true" applyBorder="true" applyAlignment="true" applyProtection="false">
      <alignment horizontal="right" vertical="bottom" textRotation="0" wrapText="false" indent="1" shrinkToFit="false"/>
      <protection locked="true" hidden="false"/>
    </xf>
    <xf numFmtId="177" fontId="134" fillId="7" borderId="77" xfId="0" applyFont="true" applyBorder="true" applyAlignment="true" applyProtection="false">
      <alignment horizontal="general" vertical="bottom" textRotation="0" wrapText="false" indent="0" shrinkToFit="false"/>
      <protection locked="true" hidden="false"/>
    </xf>
    <xf numFmtId="177" fontId="107" fillId="0" borderId="78" xfId="0" applyFont="true" applyBorder="true" applyAlignment="true" applyProtection="false">
      <alignment horizontal="right" vertical="bottom" textRotation="0" wrapText="false" indent="0" shrinkToFit="false"/>
      <protection locked="true" hidden="false"/>
    </xf>
    <xf numFmtId="177" fontId="107" fillId="2" borderId="73" xfId="0" applyFont="true" applyBorder="true" applyAlignment="true" applyProtection="false">
      <alignment horizontal="right" vertical="bottom" textRotation="0" wrapText="false" indent="0" shrinkToFit="false"/>
      <protection locked="true" hidden="false"/>
    </xf>
    <xf numFmtId="177" fontId="107" fillId="2" borderId="74" xfId="0" applyFont="true" applyBorder="true" applyAlignment="true" applyProtection="false">
      <alignment horizontal="right" vertical="bottom" textRotation="0" wrapText="false" indent="0" shrinkToFit="false"/>
      <protection locked="true" hidden="false"/>
    </xf>
    <xf numFmtId="177" fontId="134" fillId="7" borderId="78" xfId="0" applyFont="true" applyBorder="true" applyAlignment="true" applyProtection="false">
      <alignment horizontal="general" vertical="bottom" textRotation="0" wrapText="false" indent="0" shrinkToFit="false"/>
      <protection locked="true" hidden="false"/>
    </xf>
    <xf numFmtId="177" fontId="107" fillId="2" borderId="78" xfId="0" applyFont="true" applyBorder="true" applyAlignment="true" applyProtection="false">
      <alignment horizontal="right" vertical="bottom" textRotation="0" wrapText="false" indent="0" shrinkToFit="false"/>
      <protection locked="true" hidden="false"/>
    </xf>
    <xf numFmtId="177" fontId="138" fillId="2" borderId="22" xfId="0" applyFont="true" applyBorder="true" applyAlignment="true" applyProtection="false">
      <alignment horizontal="right" vertical="bottom" textRotation="0" wrapText="false" indent="0" shrinkToFit="false"/>
      <protection locked="true" hidden="false"/>
    </xf>
    <xf numFmtId="177" fontId="138" fillId="2" borderId="15" xfId="0" applyFont="true" applyBorder="true" applyAlignment="true" applyProtection="false">
      <alignment horizontal="right" vertical="bottom" textRotation="0" wrapText="false" indent="0" shrinkToFit="false"/>
      <protection locked="true" hidden="false"/>
    </xf>
    <xf numFmtId="177" fontId="138" fillId="2" borderId="16" xfId="0" applyFont="true" applyBorder="true" applyAlignment="true" applyProtection="false">
      <alignment horizontal="right" vertical="bottom" textRotation="0" wrapText="false" indent="0" shrinkToFit="false"/>
      <protection locked="true" hidden="false"/>
    </xf>
    <xf numFmtId="177" fontId="134" fillId="0" borderId="77" xfId="0" applyFont="true" applyBorder="true" applyAlignment="true" applyProtection="false">
      <alignment horizontal="left" vertical="bottom" textRotation="0" wrapText="false" indent="0" shrinkToFit="false"/>
      <protection locked="true" hidden="false"/>
    </xf>
    <xf numFmtId="177" fontId="134" fillId="0" borderId="75" xfId="0" applyFont="true" applyBorder="true" applyAlignment="true" applyProtection="false">
      <alignment horizontal="general" vertical="bottom" textRotation="0" wrapText="false" indent="0" shrinkToFit="false"/>
      <protection locked="true" hidden="false"/>
    </xf>
    <xf numFmtId="177" fontId="134" fillId="2" borderId="75" xfId="0" applyFont="true" applyBorder="true" applyAlignment="true" applyProtection="false">
      <alignment horizontal="right" vertical="bottom" textRotation="0" wrapText="false" indent="1" shrinkToFit="false"/>
      <protection locked="true" hidden="false"/>
    </xf>
    <xf numFmtId="177" fontId="134" fillId="2" borderId="76" xfId="0" applyFont="true" applyBorder="true" applyAlignment="true" applyProtection="false">
      <alignment horizontal="right" vertical="bottom" textRotation="0" wrapText="false" indent="1" shrinkToFit="false"/>
      <protection locked="true" hidden="false"/>
    </xf>
    <xf numFmtId="177" fontId="134" fillId="0" borderId="79" xfId="0" applyFont="true" applyBorder="true" applyAlignment="true" applyProtection="false">
      <alignment horizontal="general" vertical="bottom" textRotation="0" wrapText="false" indent="0" shrinkToFit="false"/>
      <protection locked="true" hidden="false"/>
    </xf>
    <xf numFmtId="177" fontId="107" fillId="2" borderId="79" xfId="0" applyFont="true" applyBorder="true" applyAlignment="true" applyProtection="false">
      <alignment horizontal="right" vertical="bottom" textRotation="0" wrapText="false" indent="1" shrinkToFit="false"/>
      <protection locked="true" hidden="false"/>
    </xf>
    <xf numFmtId="177" fontId="107" fillId="2" borderId="80" xfId="0" applyFont="true" applyBorder="true" applyAlignment="true" applyProtection="false">
      <alignment horizontal="right" vertical="bottom" textRotation="0" wrapText="false" indent="1" shrinkToFit="false"/>
      <protection locked="true" hidden="false"/>
    </xf>
    <xf numFmtId="177" fontId="107" fillId="2" borderId="75" xfId="0" applyFont="true" applyBorder="true" applyAlignment="true" applyProtection="false">
      <alignment horizontal="right" vertical="bottom" textRotation="0" wrapText="false" indent="1" shrinkToFit="false"/>
      <protection locked="true" hidden="false"/>
    </xf>
    <xf numFmtId="177" fontId="107" fillId="2" borderId="76" xfId="0" applyFont="true" applyBorder="true" applyAlignment="true" applyProtection="false">
      <alignment horizontal="right" vertical="bottom" textRotation="0" wrapText="false" indent="1" shrinkToFit="false"/>
      <protection locked="true" hidden="false"/>
    </xf>
    <xf numFmtId="177" fontId="138" fillId="2" borderId="79" xfId="0" applyFont="true" applyBorder="true" applyAlignment="true" applyProtection="false">
      <alignment horizontal="right" vertical="bottom" textRotation="0" wrapText="false" indent="1" shrinkToFit="false"/>
      <protection locked="true" hidden="false"/>
    </xf>
    <xf numFmtId="177" fontId="138" fillId="2" borderId="80" xfId="0" applyFont="true" applyBorder="true" applyAlignment="true" applyProtection="false">
      <alignment horizontal="right" vertical="bottom" textRotation="0" wrapText="false" indent="1" shrinkToFit="false"/>
      <protection locked="true" hidden="false"/>
    </xf>
    <xf numFmtId="177" fontId="135" fillId="0" borderId="79" xfId="0" applyFont="true" applyBorder="true" applyAlignment="true" applyProtection="false">
      <alignment horizontal="general" vertical="bottom" textRotation="0" wrapText="false" indent="0" shrinkToFit="false"/>
      <protection locked="true" hidden="false"/>
    </xf>
    <xf numFmtId="177" fontId="107" fillId="7" borderId="79" xfId="0" applyFont="true" applyBorder="true" applyAlignment="true" applyProtection="false">
      <alignment horizontal="left" vertical="bottom" textRotation="0" wrapText="false" indent="1" shrinkToFit="false"/>
      <protection locked="true" hidden="false"/>
    </xf>
    <xf numFmtId="177" fontId="107" fillId="2" borderId="80" xfId="0" applyFont="true" applyBorder="true" applyAlignment="true" applyProtection="false">
      <alignment horizontal="general" vertical="bottom" textRotation="0" wrapText="false" indent="0" shrinkToFit="false"/>
      <protection locked="true" hidden="false"/>
    </xf>
    <xf numFmtId="177" fontId="107" fillId="7" borderId="55" xfId="0" applyFont="true" applyBorder="true" applyAlignment="true" applyProtection="false">
      <alignment horizontal="left" vertical="bottom" textRotation="0" wrapText="false" indent="1" shrinkToFit="false"/>
      <protection locked="true" hidden="false"/>
    </xf>
    <xf numFmtId="176" fontId="107" fillId="2" borderId="81" xfId="0" applyFont="true" applyBorder="true" applyAlignment="true" applyProtection="false">
      <alignment horizontal="right" vertical="bottom" textRotation="0" wrapText="false" indent="1" shrinkToFit="false"/>
      <protection locked="true" hidden="false"/>
    </xf>
    <xf numFmtId="176" fontId="107" fillId="2" borderId="79" xfId="0" applyFont="true" applyBorder="true" applyAlignment="true" applyProtection="false">
      <alignment horizontal="right" vertical="bottom" textRotation="0" wrapText="false" indent="1" shrinkToFit="false"/>
      <protection locked="true" hidden="false"/>
    </xf>
    <xf numFmtId="176" fontId="107" fillId="2" borderId="80" xfId="0" applyFont="true" applyBorder="true" applyAlignment="true" applyProtection="false">
      <alignment horizontal="right" vertical="bottom" textRotation="0" wrapText="false" indent="1" shrinkToFit="false"/>
      <protection locked="true" hidden="false"/>
    </xf>
    <xf numFmtId="177" fontId="107" fillId="2" borderId="0" xfId="0" applyFont="true" applyBorder="false" applyAlignment="true" applyProtection="false">
      <alignment horizontal="right" vertical="bottom" textRotation="0" wrapText="false" indent="2" shrinkToFit="false"/>
      <protection locked="true" hidden="false"/>
    </xf>
    <xf numFmtId="177" fontId="138" fillId="7" borderId="55" xfId="0" applyFont="true" applyBorder="true" applyAlignment="true" applyProtection="false">
      <alignment horizontal="left" vertical="bottom" textRotation="0" wrapText="false" indent="1" shrinkToFit="false"/>
      <protection locked="true" hidden="false"/>
    </xf>
    <xf numFmtId="176" fontId="138" fillId="2" borderId="81" xfId="0" applyFont="true" applyBorder="true" applyAlignment="true" applyProtection="false">
      <alignment horizontal="right" vertical="bottom" textRotation="0" wrapText="false" indent="0" shrinkToFit="false"/>
      <protection locked="true" hidden="false"/>
    </xf>
    <xf numFmtId="176" fontId="138" fillId="2" borderId="79" xfId="0" applyFont="true" applyBorder="true" applyAlignment="true" applyProtection="false">
      <alignment horizontal="right" vertical="bottom" textRotation="0" wrapText="false" indent="0" shrinkToFit="false"/>
      <protection locked="true" hidden="false"/>
    </xf>
    <xf numFmtId="176" fontId="138" fillId="2" borderId="80" xfId="0" applyFont="true" applyBorder="true" applyAlignment="true" applyProtection="false">
      <alignment horizontal="right" vertical="bottom" textRotation="0" wrapText="false" indent="0" shrinkToFit="false"/>
      <protection locked="true" hidden="false"/>
    </xf>
    <xf numFmtId="177" fontId="134" fillId="7" borderId="55" xfId="0" applyFont="true" applyBorder="true" applyAlignment="true" applyProtection="false">
      <alignment horizontal="left" vertical="bottom" textRotation="0" wrapText="false" indent="1" shrinkToFit="false"/>
      <protection locked="true" hidden="false"/>
    </xf>
    <xf numFmtId="177" fontId="107" fillId="2" borderId="81" xfId="0" applyFont="true" applyBorder="true" applyAlignment="true" applyProtection="false">
      <alignment horizontal="right" vertical="bottom" textRotation="0" wrapText="false" indent="1" shrinkToFit="false"/>
      <protection locked="true" hidden="false"/>
    </xf>
    <xf numFmtId="177" fontId="136" fillId="7" borderId="79" xfId="0" applyFont="true" applyBorder="true" applyAlignment="true" applyProtection="false">
      <alignment horizontal="left" vertical="bottom" textRotation="0" wrapText="false" indent="1" shrinkToFit="false"/>
      <protection locked="true" hidden="false"/>
    </xf>
    <xf numFmtId="177" fontId="134" fillId="7" borderId="82" xfId="0" applyFont="true" applyBorder="true" applyAlignment="true" applyProtection="false">
      <alignment horizontal="left" vertical="bottom" textRotation="0" wrapText="false" indent="1" shrinkToFit="false"/>
      <protection locked="true" hidden="false"/>
    </xf>
    <xf numFmtId="176" fontId="107" fillId="2" borderId="83" xfId="0" applyFont="true" applyBorder="true" applyAlignment="true" applyProtection="false">
      <alignment horizontal="right" vertical="bottom" textRotation="0" wrapText="false" indent="1" shrinkToFit="false"/>
      <protection locked="true" hidden="false"/>
    </xf>
    <xf numFmtId="176" fontId="107" fillId="2" borderId="75" xfId="0" applyFont="true" applyBorder="true" applyAlignment="true" applyProtection="false">
      <alignment horizontal="right" vertical="bottom" textRotation="0" wrapText="false" indent="1" shrinkToFit="false"/>
      <protection locked="true" hidden="false"/>
    </xf>
    <xf numFmtId="176" fontId="107" fillId="2" borderId="76" xfId="0" applyFont="true" applyBorder="true" applyAlignment="true" applyProtection="false">
      <alignment horizontal="right" vertical="bottom" textRotation="0" wrapText="false" indent="1" shrinkToFit="false"/>
      <protection locked="true" hidden="false"/>
    </xf>
    <xf numFmtId="176" fontId="136" fillId="7" borderId="55" xfId="0" applyFont="true" applyBorder="true" applyAlignment="true" applyProtection="false">
      <alignment horizontal="left" vertical="bottom" textRotation="0" wrapText="false" indent="1" shrinkToFit="false"/>
      <protection locked="true" hidden="false"/>
    </xf>
    <xf numFmtId="177" fontId="134" fillId="7" borderId="81" xfId="0" applyFont="true" applyBorder="true" applyAlignment="true" applyProtection="false">
      <alignment horizontal="general" vertical="bottom" textRotation="0" wrapText="false" indent="0" shrinkToFit="false"/>
      <protection locked="true" hidden="false"/>
    </xf>
    <xf numFmtId="177" fontId="138" fillId="7" borderId="55" xfId="0" applyFont="true" applyBorder="true" applyAlignment="true" applyProtection="false">
      <alignment horizontal="general" vertical="bottom" textRotation="0" wrapText="false" indent="0" shrinkToFit="false"/>
      <protection locked="true" hidden="false"/>
    </xf>
    <xf numFmtId="177" fontId="138" fillId="2" borderId="81" xfId="0" applyFont="true" applyBorder="true" applyAlignment="true" applyProtection="false">
      <alignment horizontal="right" vertical="bottom" textRotation="0" wrapText="false" indent="0" shrinkToFit="false"/>
      <protection locked="true" hidden="false"/>
    </xf>
    <xf numFmtId="177" fontId="138" fillId="2" borderId="79" xfId="0" applyFont="true" applyBorder="true" applyAlignment="true" applyProtection="false">
      <alignment horizontal="right" vertical="bottom" textRotation="0" wrapText="false" indent="0" shrinkToFit="false"/>
      <protection locked="true" hidden="false"/>
    </xf>
    <xf numFmtId="177" fontId="138" fillId="2" borderId="80" xfId="0" applyFont="true" applyBorder="true" applyAlignment="true" applyProtection="false">
      <alignment horizontal="right" vertical="bottom" textRotation="0" wrapText="false" indent="0" shrinkToFit="false"/>
      <protection locked="true" hidden="false"/>
    </xf>
    <xf numFmtId="177" fontId="107" fillId="7" borderId="55" xfId="0" applyFont="true" applyBorder="true" applyAlignment="true" applyProtection="false">
      <alignment horizontal="general" vertical="bottom" textRotation="0" wrapText="false" indent="0" shrinkToFit="false"/>
      <protection locked="true" hidden="false"/>
    </xf>
    <xf numFmtId="177" fontId="107" fillId="0" borderId="81" xfId="0" applyFont="true" applyBorder="true" applyAlignment="true" applyProtection="false">
      <alignment horizontal="right" vertical="bottom" textRotation="0" wrapText="false" indent="0" shrinkToFit="false"/>
      <protection locked="true" hidden="false"/>
    </xf>
    <xf numFmtId="177" fontId="107" fillId="2" borderId="79" xfId="0" applyFont="true" applyBorder="true" applyAlignment="true" applyProtection="false">
      <alignment horizontal="right" vertical="bottom" textRotation="0" wrapText="false" indent="0" shrinkToFit="false"/>
      <protection locked="true" hidden="false"/>
    </xf>
    <xf numFmtId="177" fontId="107" fillId="2" borderId="80" xfId="0" applyFont="true" applyBorder="true" applyAlignment="true" applyProtection="false">
      <alignment horizontal="right" vertical="bottom" textRotation="0" wrapText="false" indent="0" shrinkToFit="false"/>
      <protection locked="true" hidden="false"/>
    </xf>
    <xf numFmtId="177" fontId="134" fillId="7" borderId="55" xfId="0" applyFont="true" applyBorder="true" applyAlignment="true" applyProtection="false">
      <alignment horizontal="general" vertical="bottom" textRotation="0" wrapText="false" indent="0" shrinkToFit="false"/>
      <protection locked="true" hidden="false"/>
    </xf>
    <xf numFmtId="177" fontId="134" fillId="7" borderId="81" xfId="0" applyFont="true" applyBorder="true" applyAlignment="true" applyProtection="false">
      <alignment horizontal="left" vertical="bottom" textRotation="0" wrapText="false" indent="1" shrinkToFit="false"/>
      <protection locked="true" hidden="false"/>
    </xf>
    <xf numFmtId="177" fontId="107" fillId="2" borderId="84" xfId="0" applyFont="true" applyBorder="true" applyAlignment="true" applyProtection="false">
      <alignment horizontal="right" vertical="bottom" textRotation="0" wrapText="false" indent="0" shrinkToFit="false"/>
      <protection locked="true" hidden="false"/>
    </xf>
    <xf numFmtId="177" fontId="107" fillId="2" borderId="85" xfId="0" applyFont="true" applyBorder="true" applyAlignment="true" applyProtection="false">
      <alignment horizontal="right" vertical="bottom" textRotation="0" wrapText="false" indent="0" shrinkToFit="false"/>
      <protection locked="true" hidden="false"/>
    </xf>
    <xf numFmtId="177" fontId="107" fillId="2" borderId="86" xfId="0" applyFont="true" applyBorder="true" applyAlignment="true" applyProtection="false">
      <alignment horizontal="right" vertical="bottom" textRotation="0" wrapText="false" indent="0" shrinkToFit="false"/>
      <protection locked="true" hidden="false"/>
    </xf>
    <xf numFmtId="177" fontId="134" fillId="0" borderId="55" xfId="0" applyFont="true" applyBorder="true" applyAlignment="true" applyProtection="false">
      <alignment horizontal="left" vertical="bottom" textRotation="0" wrapText="false" indent="0" shrinkToFit="false"/>
      <protection locked="true" hidden="false"/>
    </xf>
    <xf numFmtId="177" fontId="134" fillId="0" borderId="79" xfId="0" applyFont="true" applyBorder="true" applyAlignment="true" applyProtection="false">
      <alignment horizontal="left" vertical="bottom" textRotation="0" wrapText="false" indent="1" shrinkToFit="false"/>
      <protection locked="true" hidden="false"/>
    </xf>
    <xf numFmtId="177" fontId="139" fillId="7" borderId="55" xfId="0" applyFont="true" applyBorder="true" applyAlignment="true" applyProtection="false">
      <alignment horizontal="general" vertical="bottom" textRotation="0" wrapText="false" indent="0" shrinkToFit="false"/>
      <protection locked="true" hidden="false"/>
    </xf>
    <xf numFmtId="177" fontId="140" fillId="7" borderId="55" xfId="0" applyFont="true" applyBorder="true" applyAlignment="true" applyProtection="false">
      <alignment horizontal="general" vertical="bottom" textRotation="0" wrapText="false" indent="0" shrinkToFit="false"/>
      <protection locked="true" hidden="false"/>
    </xf>
    <xf numFmtId="177" fontId="107" fillId="2" borderId="23" xfId="0" applyFont="true" applyBorder="true" applyAlignment="true" applyProtection="false">
      <alignment horizontal="right" vertical="bottom" textRotation="0" wrapText="false" indent="0" shrinkToFit="false"/>
      <protection locked="true" hidden="false"/>
    </xf>
    <xf numFmtId="177" fontId="107" fillId="2" borderId="0" xfId="0" applyFont="true" applyBorder="false" applyAlignment="true" applyProtection="false">
      <alignment horizontal="right" vertical="bottom" textRotation="0" wrapText="false" indent="0" shrinkToFit="false"/>
      <protection locked="true" hidden="false"/>
    </xf>
    <xf numFmtId="177" fontId="107" fillId="2" borderId="18" xfId="0" applyFont="true" applyBorder="true" applyAlignment="true" applyProtection="false">
      <alignment horizontal="right" vertical="bottom" textRotation="0" wrapText="false" indent="0" shrinkToFit="false"/>
      <protection locked="true" hidden="false"/>
    </xf>
    <xf numFmtId="177" fontId="135" fillId="0" borderId="79" xfId="0" applyFont="true" applyBorder="true" applyAlignment="true" applyProtection="false">
      <alignment horizontal="left" vertical="bottom" textRotation="0" wrapText="false" indent="1" shrinkToFit="false"/>
      <protection locked="true" hidden="false"/>
    </xf>
    <xf numFmtId="177" fontId="134" fillId="7" borderId="79" xfId="0" applyFont="true" applyBorder="true" applyAlignment="true" applyProtection="false">
      <alignment horizontal="general" vertical="bottom" textRotation="0" wrapText="false" indent="0" shrinkToFit="false"/>
      <protection locked="true" hidden="false"/>
    </xf>
    <xf numFmtId="177" fontId="134" fillId="2" borderId="80" xfId="0" applyFont="true" applyBorder="true" applyAlignment="true" applyProtection="false">
      <alignment horizontal="general" vertical="bottom" textRotation="0" wrapText="false" indent="0" shrinkToFit="false"/>
      <protection locked="true" hidden="false"/>
    </xf>
    <xf numFmtId="177" fontId="134" fillId="7" borderId="87" xfId="0" applyFont="true" applyBorder="true" applyAlignment="true" applyProtection="false">
      <alignment horizontal="general" vertical="bottom" textRotation="0" wrapText="false" indent="0" shrinkToFit="false"/>
      <protection locked="true" hidden="false"/>
    </xf>
    <xf numFmtId="167" fontId="138" fillId="0" borderId="11" xfId="0" applyFont="true" applyBorder="true" applyAlignment="true" applyProtection="false">
      <alignment horizontal="center" vertical="bottom" textRotation="0" wrapText="false" indent="0" shrinkToFit="false"/>
      <protection locked="true" hidden="false"/>
    </xf>
    <xf numFmtId="167" fontId="138" fillId="0" borderId="20" xfId="0" applyFont="true" applyBorder="true" applyAlignment="true" applyProtection="false">
      <alignment horizontal="center" vertical="bottom" textRotation="0" wrapText="false" indent="0" shrinkToFit="false"/>
      <protection locked="true" hidden="false"/>
    </xf>
    <xf numFmtId="177" fontId="138" fillId="7" borderId="88" xfId="0" applyFont="true" applyBorder="true" applyAlignment="true" applyProtection="false">
      <alignment horizontal="general" vertical="bottom" textRotation="0" wrapText="false" indent="0" shrinkToFit="false"/>
      <protection locked="true" hidden="false"/>
    </xf>
    <xf numFmtId="167" fontId="138" fillId="0" borderId="21" xfId="0" applyFont="true" applyBorder="true" applyAlignment="true" applyProtection="false">
      <alignment horizontal="right" vertical="bottom" textRotation="0" wrapText="false" indent="0" shrinkToFit="false"/>
      <protection locked="true" hidden="false"/>
    </xf>
    <xf numFmtId="167" fontId="138" fillId="0" borderId="11" xfId="0" applyFont="true" applyBorder="true" applyAlignment="true" applyProtection="false">
      <alignment horizontal="right" vertical="bottom" textRotation="0" wrapText="false" indent="0" shrinkToFit="false"/>
      <protection locked="true" hidden="false"/>
    </xf>
    <xf numFmtId="167" fontId="138" fillId="0" borderId="20" xfId="0" applyFont="true" applyBorder="true" applyAlignment="true" applyProtection="false">
      <alignment horizontal="right" vertical="bottom" textRotation="0" wrapText="false" indent="0" shrinkToFit="false"/>
      <protection locked="true" hidden="false"/>
    </xf>
    <xf numFmtId="177" fontId="130" fillId="2" borderId="0" xfId="0" applyFont="true" applyBorder="false" applyAlignment="true" applyProtection="false">
      <alignment horizontal="right" vertical="bottom" textRotation="0" wrapText="true" indent="0" shrinkToFit="false"/>
      <protection locked="true" hidden="false"/>
    </xf>
    <xf numFmtId="177" fontId="134" fillId="0" borderId="88" xfId="0" applyFont="true" applyBorder="true" applyAlignment="true" applyProtection="false">
      <alignment horizontal="left" vertical="bottom" textRotation="0" wrapText="false" indent="0" shrinkToFit="false"/>
      <protection locked="true" hidden="false"/>
    </xf>
    <xf numFmtId="177" fontId="107" fillId="2" borderId="87" xfId="0" applyFont="true" applyBorder="true" applyAlignment="true" applyProtection="false">
      <alignment horizontal="right" vertical="bottom" textRotation="0" wrapText="false" indent="1" shrinkToFit="false"/>
      <protection locked="true" hidden="false"/>
    </xf>
    <xf numFmtId="177" fontId="107" fillId="2" borderId="89" xfId="0" applyFont="true" applyBorder="true" applyAlignment="true" applyProtection="false">
      <alignment horizontal="right" vertical="bottom" textRotation="0" wrapText="false" indent="1" shrinkToFit="false"/>
      <protection locked="true" hidden="false"/>
    </xf>
    <xf numFmtId="177" fontId="107" fillId="2" borderId="90" xfId="0" applyFont="true" applyBorder="true" applyAlignment="true" applyProtection="false">
      <alignment horizontal="right" vertical="bottom" textRotation="0" wrapText="false" indent="1" shrinkToFit="false"/>
      <protection locked="true" hidden="false"/>
    </xf>
    <xf numFmtId="177" fontId="133" fillId="2" borderId="91" xfId="0" applyFont="true" applyBorder="true" applyAlignment="true" applyProtection="false">
      <alignment horizontal="center" vertical="bottom" textRotation="0" wrapText="false" indent="0" shrinkToFit="false"/>
      <protection locked="true" hidden="false"/>
    </xf>
    <xf numFmtId="177" fontId="134" fillId="0" borderId="0" xfId="0" applyFont="true" applyBorder="false" applyAlignment="true" applyProtection="false">
      <alignment horizontal="left" vertical="bottom" textRotation="0" wrapText="false" indent="1" shrinkToFit="false"/>
      <protection locked="true" hidden="false"/>
    </xf>
    <xf numFmtId="177" fontId="107" fillId="2" borderId="18" xfId="0" applyFont="true" applyBorder="true" applyAlignment="true" applyProtection="false">
      <alignment horizontal="right" vertical="bottom" textRotation="0" wrapText="false" indent="1" shrinkToFit="false"/>
      <protection locked="true" hidden="false"/>
    </xf>
    <xf numFmtId="177" fontId="138" fillId="0" borderId="23" xfId="0" applyFont="true" applyBorder="true" applyAlignment="true" applyProtection="false">
      <alignment horizontal="left" vertical="bottom" textRotation="0" wrapText="false" indent="1" shrinkToFit="false"/>
      <protection locked="true" hidden="false"/>
    </xf>
    <xf numFmtId="177" fontId="138" fillId="2" borderId="0" xfId="0" applyFont="true" applyBorder="false" applyAlignment="true" applyProtection="false">
      <alignment horizontal="right" vertical="bottom" textRotation="0" wrapText="false" indent="0" shrinkToFit="false"/>
      <protection locked="true" hidden="false"/>
    </xf>
    <xf numFmtId="177" fontId="138" fillId="2" borderId="18" xfId="0" applyFont="true" applyBorder="true" applyAlignment="true" applyProtection="false">
      <alignment horizontal="right" vertical="bottom" textRotation="0" wrapText="false" indent="0" shrinkToFit="false"/>
      <protection locked="true" hidden="false"/>
    </xf>
    <xf numFmtId="177" fontId="134" fillId="0" borderId="26" xfId="0" applyFont="true" applyBorder="true" applyAlignment="true" applyProtection="false">
      <alignment horizontal="left" vertical="bottom" textRotation="0" wrapText="false" indent="0" shrinkToFit="false"/>
      <protection locked="true" hidden="false"/>
    </xf>
    <xf numFmtId="177" fontId="107" fillId="2" borderId="40" xfId="0" applyFont="true" applyBorder="true" applyAlignment="true" applyProtection="false">
      <alignment horizontal="right" vertical="bottom" textRotation="0" wrapText="false" indent="1" shrinkToFit="false"/>
      <protection locked="true" hidden="false"/>
    </xf>
    <xf numFmtId="177" fontId="107" fillId="2" borderId="46" xfId="0" applyFont="true" applyBorder="true" applyAlignment="true" applyProtection="false">
      <alignment horizontal="right" vertical="bottom" textRotation="0" wrapText="false" indent="1" shrinkToFit="false"/>
      <protection locked="true" hidden="false"/>
    </xf>
    <xf numFmtId="177" fontId="107" fillId="2" borderId="47" xfId="0" applyFont="true" applyBorder="true" applyAlignment="true" applyProtection="false">
      <alignment horizontal="right" vertical="bottom" textRotation="0" wrapText="false" indent="1" shrinkToFit="false"/>
      <protection locked="true" hidden="false"/>
    </xf>
    <xf numFmtId="177" fontId="139" fillId="7" borderId="75" xfId="0" applyFont="true" applyBorder="true" applyAlignment="true" applyProtection="false">
      <alignment horizontal="left" vertical="bottom" textRotation="0" wrapText="false" indent="1" shrinkToFit="false"/>
      <protection locked="true" hidden="false"/>
    </xf>
    <xf numFmtId="177" fontId="138" fillId="7" borderId="78" xfId="0" applyFont="true" applyBorder="true" applyAlignment="true" applyProtection="false">
      <alignment horizontal="general" vertical="bottom" textRotation="0" wrapText="false" indent="0" shrinkToFit="false"/>
      <protection locked="true" hidden="false"/>
    </xf>
    <xf numFmtId="177" fontId="134" fillId="7" borderId="87" xfId="0" applyFont="true" applyBorder="true" applyAlignment="true" applyProtection="false">
      <alignment horizontal="left" vertical="bottom" textRotation="0" wrapText="false" indent="1" shrinkToFit="false"/>
      <protection locked="true" hidden="false"/>
    </xf>
    <xf numFmtId="177" fontId="107" fillId="2" borderId="21" xfId="0" applyFont="true" applyBorder="true" applyAlignment="true" applyProtection="false">
      <alignment horizontal="right" vertical="bottom" textRotation="0" wrapText="false" indent="0" shrinkToFit="false"/>
      <protection locked="true" hidden="false"/>
    </xf>
    <xf numFmtId="177" fontId="107" fillId="2" borderId="11" xfId="0" applyFont="true" applyBorder="true" applyAlignment="true" applyProtection="false">
      <alignment horizontal="right" vertical="bottom" textRotation="0" wrapText="false" indent="0" shrinkToFit="false"/>
      <protection locked="true" hidden="false"/>
    </xf>
    <xf numFmtId="177" fontId="107" fillId="2" borderId="20" xfId="0" applyFont="true" applyBorder="true" applyAlignment="true" applyProtection="false">
      <alignment horizontal="right" vertical="bottom" textRotation="0" wrapText="false" indent="0" shrinkToFit="false"/>
      <protection locked="true" hidden="false"/>
    </xf>
    <xf numFmtId="177" fontId="134" fillId="7" borderId="88" xfId="0" applyFont="true" applyBorder="true" applyAlignment="true" applyProtection="false">
      <alignment horizontal="left" vertical="bottom" textRotation="0" wrapText="false" indent="1" shrinkToFit="false"/>
      <protection locked="true" hidden="false"/>
    </xf>
    <xf numFmtId="177" fontId="138" fillId="2" borderId="87" xfId="0" applyFont="true" applyBorder="true" applyAlignment="true" applyProtection="false">
      <alignment horizontal="right" vertical="bottom" textRotation="0" wrapText="false" indent="0" shrinkToFit="false"/>
      <protection locked="true" hidden="false"/>
    </xf>
    <xf numFmtId="177" fontId="138" fillId="2" borderId="89" xfId="0" applyFont="true" applyBorder="true" applyAlignment="true" applyProtection="false">
      <alignment horizontal="right" vertical="bottom" textRotation="0" wrapText="false" indent="0" shrinkToFit="false"/>
      <protection locked="true" hidden="false"/>
    </xf>
    <xf numFmtId="177" fontId="138" fillId="2" borderId="90" xfId="0" applyFont="true" applyBorder="true" applyAlignment="true" applyProtection="false">
      <alignment horizontal="right" vertical="bottom" textRotation="0" wrapText="false" indent="0" shrinkToFit="false"/>
      <protection locked="true" hidden="false"/>
    </xf>
    <xf numFmtId="177" fontId="134" fillId="0" borderId="75" xfId="0" applyFont="true" applyBorder="true" applyAlignment="true" applyProtection="false">
      <alignment horizontal="left" vertical="bottom" textRotation="0" wrapText="true" indent="0" shrinkToFit="false"/>
      <protection locked="true" hidden="false"/>
    </xf>
    <xf numFmtId="177" fontId="107" fillId="7" borderId="75" xfId="0" applyFont="true" applyBorder="true" applyAlignment="true" applyProtection="false">
      <alignment horizontal="left" vertical="bottom" textRotation="0" wrapText="false" indent="2" shrinkToFit="false"/>
      <protection locked="true" hidden="false"/>
    </xf>
    <xf numFmtId="177" fontId="138" fillId="7" borderId="81" xfId="0" applyFont="true" applyBorder="true" applyAlignment="true" applyProtection="false">
      <alignment horizontal="left" vertical="bottom" textRotation="0" wrapText="false" indent="1" shrinkToFit="false"/>
      <protection locked="true" hidden="false"/>
    </xf>
    <xf numFmtId="177" fontId="138" fillId="2" borderId="23" xfId="0" applyFont="true" applyBorder="true" applyAlignment="true" applyProtection="false">
      <alignment horizontal="right" vertical="bottom" textRotation="0" wrapText="false" indent="0" shrinkToFit="false"/>
      <protection locked="true" hidden="false"/>
    </xf>
    <xf numFmtId="177" fontId="138" fillId="2" borderId="40" xfId="0" applyFont="true" applyBorder="true" applyAlignment="true" applyProtection="false">
      <alignment horizontal="right" vertical="bottom" textRotation="0" wrapText="false" indent="0" shrinkToFit="false"/>
      <protection locked="true" hidden="false"/>
    </xf>
    <xf numFmtId="177" fontId="138" fillId="2" borderId="46" xfId="0" applyFont="true" applyBorder="true" applyAlignment="true" applyProtection="false">
      <alignment horizontal="right" vertical="bottom" textRotation="0" wrapText="false" indent="0" shrinkToFit="false"/>
      <protection locked="true" hidden="false"/>
    </xf>
    <xf numFmtId="177" fontId="138" fillId="2" borderId="47" xfId="0" applyFont="true" applyBorder="true" applyAlignment="true" applyProtection="false">
      <alignment horizontal="right" vertical="bottom" textRotation="0" wrapText="false" indent="0" shrinkToFit="false"/>
      <protection locked="true" hidden="false"/>
    </xf>
    <xf numFmtId="177" fontId="34" fillId="2" borderId="79" xfId="0" applyFont="true" applyBorder="true" applyAlignment="true" applyProtection="false">
      <alignment horizontal="right" vertical="bottom" textRotation="0" wrapText="false" indent="1" shrinkToFit="false"/>
      <protection locked="true" hidden="false"/>
    </xf>
    <xf numFmtId="177" fontId="34" fillId="2" borderId="80" xfId="0" applyFont="true" applyBorder="true" applyAlignment="true" applyProtection="false">
      <alignment horizontal="right" vertical="bottom" textRotation="0" wrapText="false" indent="1" shrinkToFit="false"/>
      <protection locked="true" hidden="false"/>
    </xf>
    <xf numFmtId="177" fontId="107" fillId="7" borderId="88" xfId="0" applyFont="true" applyBorder="true" applyAlignment="true" applyProtection="false">
      <alignment horizontal="general" vertical="bottom" textRotation="0" wrapText="false" indent="0" shrinkToFit="false"/>
      <protection locked="true" hidden="false"/>
    </xf>
    <xf numFmtId="177" fontId="107" fillId="0" borderId="87" xfId="0" applyFont="true" applyBorder="true" applyAlignment="true" applyProtection="false">
      <alignment horizontal="right" vertical="bottom" textRotation="0" wrapText="false" indent="0" shrinkToFit="false"/>
      <protection locked="true" hidden="false"/>
    </xf>
    <xf numFmtId="177" fontId="107" fillId="2" borderId="89" xfId="0" applyFont="true" applyBorder="true" applyAlignment="true" applyProtection="false">
      <alignment horizontal="right" vertical="bottom" textRotation="0" wrapText="false" indent="0" shrinkToFit="false"/>
      <protection locked="true" hidden="false"/>
    </xf>
    <xf numFmtId="177" fontId="107" fillId="2" borderId="90" xfId="0" applyFont="true" applyBorder="true" applyAlignment="true" applyProtection="false">
      <alignment horizontal="right" vertical="bottom" textRotation="0" wrapText="false" indent="0" shrinkToFit="false"/>
      <protection locked="true" hidden="false"/>
    </xf>
    <xf numFmtId="177" fontId="134" fillId="7" borderId="88" xfId="0" applyFont="true" applyBorder="true" applyAlignment="true" applyProtection="false">
      <alignment horizontal="general" vertical="bottom" textRotation="0" wrapText="false" indent="0" shrinkToFit="false"/>
      <protection locked="true" hidden="false"/>
    </xf>
    <xf numFmtId="177" fontId="107" fillId="2" borderId="22" xfId="0" applyFont="true" applyBorder="true" applyAlignment="true" applyProtection="false">
      <alignment horizontal="right" vertical="bottom" textRotation="0" wrapText="false" indent="0" shrinkToFit="false"/>
      <protection locked="true" hidden="false"/>
    </xf>
    <xf numFmtId="177" fontId="107" fillId="2" borderId="15" xfId="0" applyFont="true" applyBorder="true" applyAlignment="true" applyProtection="false">
      <alignment horizontal="right" vertical="bottom" textRotation="0" wrapText="false" indent="0" shrinkToFit="false"/>
      <protection locked="true" hidden="false"/>
    </xf>
    <xf numFmtId="177" fontId="107" fillId="2" borderId="16" xfId="0" applyFont="true" applyBorder="true" applyAlignment="true" applyProtection="false">
      <alignment horizontal="right" vertical="bottom" textRotation="0" wrapText="false" indent="0" shrinkToFit="false"/>
      <protection locked="true" hidden="false"/>
    </xf>
    <xf numFmtId="177" fontId="134" fillId="0" borderId="0" xfId="0" applyFont="true" applyBorder="false" applyAlignment="true" applyProtection="false">
      <alignment horizontal="left" vertical="bottom" textRotation="0" wrapText="false" indent="0" shrinkToFit="false"/>
      <protection locked="true" hidden="false"/>
    </xf>
    <xf numFmtId="177" fontId="134" fillId="0" borderId="85" xfId="0" applyFont="true" applyBorder="true" applyAlignment="true" applyProtection="false">
      <alignment horizontal="left" vertical="bottom" textRotation="0" wrapText="false" indent="0" shrinkToFit="false"/>
      <protection locked="true" hidden="false"/>
    </xf>
    <xf numFmtId="177" fontId="107" fillId="2" borderId="85" xfId="0" applyFont="true" applyBorder="true" applyAlignment="true" applyProtection="false">
      <alignment horizontal="right" vertical="bottom" textRotation="0" wrapText="false" indent="1" shrinkToFit="false"/>
      <protection locked="true" hidden="false"/>
    </xf>
    <xf numFmtId="177" fontId="107" fillId="2" borderId="86" xfId="0" applyFont="true" applyBorder="true" applyAlignment="true" applyProtection="false">
      <alignment horizontal="right" vertical="bottom" textRotation="0" wrapText="false" indent="1" shrinkToFit="false"/>
      <protection locked="true" hidden="false"/>
    </xf>
    <xf numFmtId="177" fontId="107" fillId="0" borderId="31" xfId="0" applyFont="true" applyBorder="true" applyAlignment="true" applyProtection="false">
      <alignment horizontal="general" vertical="bottom" textRotation="0" wrapText="false" indent="0" shrinkToFit="false"/>
      <protection locked="true" hidden="false"/>
    </xf>
    <xf numFmtId="177" fontId="107" fillId="0" borderId="0" xfId="0" applyFont="true" applyBorder="false" applyAlignment="true" applyProtection="false">
      <alignment horizontal="right" vertical="bottom" textRotation="0" wrapText="false" indent="0" shrinkToFit="false"/>
      <protection locked="true" hidden="false"/>
    </xf>
    <xf numFmtId="177" fontId="134" fillId="0" borderId="31" xfId="0" applyFont="true" applyBorder="true" applyAlignment="true" applyProtection="false">
      <alignment horizontal="general" vertical="bottom" textRotation="0" wrapText="false" indent="0" shrinkToFit="false"/>
      <protection locked="true" hidden="false"/>
    </xf>
    <xf numFmtId="177" fontId="140" fillId="0" borderId="77" xfId="0" applyFont="true" applyBorder="true" applyAlignment="true" applyProtection="false">
      <alignment horizontal="left" vertical="bottom" textRotation="0" wrapText="false" indent="0" shrinkToFit="false"/>
      <protection locked="true" hidden="false"/>
    </xf>
    <xf numFmtId="177" fontId="140" fillId="0" borderId="79" xfId="0" applyFont="true" applyBorder="true" applyAlignment="true" applyProtection="false">
      <alignment horizontal="general" vertical="bottom" textRotation="0" wrapText="false" indent="0" shrinkToFit="false"/>
      <protection locked="true" hidden="false"/>
    </xf>
    <xf numFmtId="177" fontId="141" fillId="0" borderId="79" xfId="0" applyFont="true" applyBorder="true" applyAlignment="true" applyProtection="false">
      <alignment horizontal="general" vertical="bottom" textRotation="0" wrapText="false" indent="0" shrinkToFit="false"/>
      <protection locked="true" hidden="false"/>
    </xf>
    <xf numFmtId="167" fontId="107" fillId="2" borderId="81" xfId="0" applyFont="true" applyBorder="true" applyAlignment="true" applyProtection="false">
      <alignment horizontal="right" vertical="bottom" textRotation="0" wrapText="false" indent="1" shrinkToFit="false"/>
      <protection locked="true" hidden="false"/>
    </xf>
    <xf numFmtId="167" fontId="107" fillId="2" borderId="79" xfId="0" applyFont="true" applyBorder="true" applyAlignment="true" applyProtection="false">
      <alignment horizontal="right" vertical="bottom" textRotation="0" wrapText="false" indent="1" shrinkToFit="false"/>
      <protection locked="true" hidden="false"/>
    </xf>
    <xf numFmtId="167" fontId="107" fillId="2" borderId="80" xfId="0" applyFont="true" applyBorder="true" applyAlignment="true" applyProtection="false">
      <alignment horizontal="right" vertical="bottom" textRotation="0" wrapText="false" indent="1" shrinkToFit="false"/>
      <protection locked="true" hidden="false"/>
    </xf>
    <xf numFmtId="176" fontId="136" fillId="7" borderId="92" xfId="0" applyFont="true" applyBorder="true" applyAlignment="true" applyProtection="false">
      <alignment horizontal="left" vertical="bottom" textRotation="0" wrapText="false" indent="1" shrinkToFit="false"/>
      <protection locked="true" hidden="false"/>
    </xf>
    <xf numFmtId="176" fontId="138" fillId="2" borderId="84" xfId="0" applyFont="true" applyBorder="true" applyAlignment="true" applyProtection="false">
      <alignment horizontal="right" vertical="bottom" textRotation="0" wrapText="false" indent="0" shrinkToFit="false"/>
      <protection locked="true" hidden="false"/>
    </xf>
    <xf numFmtId="176" fontId="138" fillId="2" borderId="85" xfId="0" applyFont="true" applyBorder="true" applyAlignment="true" applyProtection="false">
      <alignment horizontal="right" vertical="bottom" textRotation="0" wrapText="false" indent="0" shrinkToFit="false"/>
      <protection locked="true" hidden="false"/>
    </xf>
    <xf numFmtId="176" fontId="138" fillId="2" borderId="86" xfId="0" applyFont="true" applyBorder="true" applyAlignment="true" applyProtection="false">
      <alignment horizontal="right" vertical="bottom" textRotation="0" wrapText="false" indent="0" shrinkToFit="false"/>
      <protection locked="true" hidden="false"/>
    </xf>
    <xf numFmtId="177" fontId="134" fillId="0" borderId="92" xfId="0" applyFont="true" applyBorder="true" applyAlignment="true" applyProtection="false">
      <alignment horizontal="left" vertical="bottom" textRotation="0" wrapText="false" indent="0" shrinkToFit="false"/>
      <protection locked="true" hidden="false"/>
    </xf>
    <xf numFmtId="167" fontId="142" fillId="2" borderId="84" xfId="0" applyFont="true" applyBorder="true" applyAlignment="true" applyProtection="false">
      <alignment horizontal="right" vertical="bottom" textRotation="0" wrapText="false" indent="1" shrinkToFit="false"/>
      <protection locked="true" hidden="false"/>
    </xf>
    <xf numFmtId="167" fontId="107" fillId="2" borderId="85" xfId="0" applyFont="true" applyBorder="true" applyAlignment="true" applyProtection="false">
      <alignment horizontal="right" vertical="bottom" textRotation="0" wrapText="false" indent="1" shrinkToFit="false"/>
      <protection locked="true" hidden="false"/>
    </xf>
    <xf numFmtId="167" fontId="107" fillId="2" borderId="86" xfId="0" applyFont="true" applyBorder="true" applyAlignment="true" applyProtection="false">
      <alignment horizontal="right" vertical="bottom" textRotation="0" wrapText="false" indent="1" shrinkToFit="false"/>
      <protection locked="true" hidden="false"/>
    </xf>
    <xf numFmtId="177" fontId="134" fillId="0" borderId="89" xfId="0" applyFont="true" applyBorder="true" applyAlignment="true" applyProtection="false">
      <alignment horizontal="general" vertical="bottom" textRotation="0" wrapText="false" indent="0" shrinkToFit="false"/>
      <protection locked="true" hidden="false"/>
    </xf>
    <xf numFmtId="177" fontId="138" fillId="2" borderId="89" xfId="0" applyFont="true" applyBorder="true" applyAlignment="true" applyProtection="false">
      <alignment horizontal="right" vertical="bottom" textRotation="0" wrapText="false" indent="1" shrinkToFit="false"/>
      <protection locked="true" hidden="false"/>
    </xf>
    <xf numFmtId="177" fontId="138" fillId="2" borderId="90" xfId="0" applyFont="true" applyBorder="true" applyAlignment="true" applyProtection="false">
      <alignment horizontal="right" vertical="bottom" textRotation="0" wrapText="false" indent="1" shrinkToFit="false"/>
      <protection locked="true" hidden="false"/>
    </xf>
    <xf numFmtId="177" fontId="134" fillId="2" borderId="87" xfId="0" applyFont="true" applyBorder="true" applyAlignment="true" applyProtection="false">
      <alignment horizontal="right" vertical="bottom" textRotation="0" wrapText="false" indent="1" shrinkToFit="false"/>
      <protection locked="true" hidden="false"/>
    </xf>
    <xf numFmtId="177" fontId="134" fillId="2" borderId="89" xfId="0" applyFont="true" applyBorder="true" applyAlignment="true" applyProtection="false">
      <alignment horizontal="right" vertical="bottom" textRotation="0" wrapText="false" indent="1" shrinkToFit="false"/>
      <protection locked="true" hidden="false"/>
    </xf>
    <xf numFmtId="177" fontId="134" fillId="2" borderId="90" xfId="0" applyFont="true" applyBorder="true" applyAlignment="true" applyProtection="false">
      <alignment horizontal="right" vertical="bottom" textRotation="0" wrapText="false" indent="1" shrinkToFit="false"/>
      <protection locked="true" hidden="false"/>
    </xf>
    <xf numFmtId="177" fontId="136" fillId="7" borderId="79" xfId="0" applyFont="true" applyBorder="true" applyAlignment="true" applyProtection="false">
      <alignment horizontal="general" vertical="bottom" textRotation="0" wrapText="false" indent="0" shrinkToFit="false"/>
      <protection locked="true" hidden="false"/>
    </xf>
    <xf numFmtId="177" fontId="134" fillId="7" borderId="92" xfId="0" applyFont="true" applyBorder="true" applyAlignment="true" applyProtection="false">
      <alignment horizontal="general" vertical="bottom" textRotation="0" wrapText="false" indent="0" shrinkToFit="false"/>
      <protection locked="true" hidden="false"/>
    </xf>
    <xf numFmtId="176" fontId="107" fillId="2" borderId="87" xfId="0" applyFont="true" applyBorder="true" applyAlignment="true" applyProtection="false">
      <alignment horizontal="right" vertical="bottom" textRotation="0" wrapText="false" indent="1" shrinkToFit="false"/>
      <protection locked="true" hidden="false"/>
    </xf>
    <xf numFmtId="176" fontId="107" fillId="2" borderId="89" xfId="0" applyFont="true" applyBorder="true" applyAlignment="true" applyProtection="false">
      <alignment horizontal="right" vertical="bottom" textRotation="0" wrapText="false" indent="1" shrinkToFit="false"/>
      <protection locked="true" hidden="false"/>
    </xf>
    <xf numFmtId="176" fontId="107" fillId="2" borderId="90" xfId="0" applyFont="true" applyBorder="true" applyAlignment="true" applyProtection="false">
      <alignment horizontal="right" vertical="bottom" textRotation="0" wrapText="false" indent="1" shrinkToFit="false"/>
      <protection locked="true" hidden="false"/>
    </xf>
    <xf numFmtId="177" fontId="136" fillId="7" borderId="93" xfId="0" applyFont="true" applyBorder="true" applyAlignment="true" applyProtection="false">
      <alignment horizontal="general" vertical="bottom" textRotation="0" wrapText="false" indent="0" shrinkToFit="false"/>
      <protection locked="true" hidden="false"/>
    </xf>
    <xf numFmtId="176" fontId="138" fillId="2" borderId="94" xfId="0" applyFont="true" applyBorder="true" applyAlignment="true" applyProtection="false">
      <alignment horizontal="right" vertical="bottom" textRotation="0" wrapText="false" indent="0" shrinkToFit="false"/>
      <protection locked="true" hidden="false"/>
    </xf>
    <xf numFmtId="176" fontId="138" fillId="2" borderId="95" xfId="0" applyFont="true" applyBorder="true" applyAlignment="true" applyProtection="false">
      <alignment horizontal="right" vertical="bottom" textRotation="0" wrapText="false" indent="0" shrinkToFit="false"/>
      <protection locked="true" hidden="false"/>
    </xf>
    <xf numFmtId="176" fontId="138" fillId="2" borderId="96" xfId="0" applyFont="true" applyBorder="true" applyAlignment="true" applyProtection="false">
      <alignment horizontal="right" vertical="bottom" textRotation="0" wrapText="false" indent="0" shrinkToFit="false"/>
      <protection locked="true" hidden="false"/>
    </xf>
    <xf numFmtId="167" fontId="142" fillId="2" borderId="40" xfId="0" applyFont="true" applyBorder="true" applyAlignment="true" applyProtection="false">
      <alignment horizontal="right" vertical="bottom" textRotation="0" wrapText="false" indent="1" shrinkToFit="false"/>
      <protection locked="true" hidden="false"/>
    </xf>
    <xf numFmtId="167" fontId="107" fillId="2" borderId="46" xfId="0" applyFont="true" applyBorder="true" applyAlignment="true" applyProtection="false">
      <alignment horizontal="right" vertical="bottom" textRotation="0" wrapText="false" indent="1" shrinkToFit="false"/>
      <protection locked="true" hidden="false"/>
    </xf>
    <xf numFmtId="167" fontId="107" fillId="2" borderId="47" xfId="0" applyFont="true" applyBorder="true" applyAlignment="true" applyProtection="false">
      <alignment horizontal="right" vertical="bottom" textRotation="0" wrapText="false" indent="1" shrinkToFit="false"/>
      <protection locked="true" hidden="false"/>
    </xf>
    <xf numFmtId="177" fontId="134" fillId="0" borderId="0" xfId="0" applyFont="true" applyBorder="false" applyAlignment="true" applyProtection="false">
      <alignment horizontal="general" vertical="bottom" textRotation="0" wrapText="false" indent="0" shrinkToFit="false"/>
      <protection locked="true" hidden="false"/>
    </xf>
    <xf numFmtId="177" fontId="135" fillId="0" borderId="0" xfId="0" applyFont="true" applyBorder="false" applyAlignment="true" applyProtection="false">
      <alignment horizontal="center" vertical="center" textRotation="90" wrapText="false" indent="0" shrinkToFit="false"/>
      <protection locked="true" hidden="false"/>
    </xf>
    <xf numFmtId="177" fontId="135" fillId="0" borderId="89" xfId="0" applyFont="true" applyBorder="true" applyAlignment="true" applyProtection="false">
      <alignment horizontal="general" vertical="bottom" textRotation="0" wrapText="false" indent="0" shrinkToFit="false"/>
      <protection locked="true" hidden="false"/>
    </xf>
    <xf numFmtId="177" fontId="134" fillId="7" borderId="88" xfId="0" applyFont="true" applyBorder="true" applyAlignment="true" applyProtection="false">
      <alignment horizontal="left" vertical="bottom" textRotation="0" wrapText="false" indent="0" shrinkToFit="false"/>
      <protection locked="true" hidden="false"/>
    </xf>
    <xf numFmtId="176" fontId="134" fillId="2" borderId="87" xfId="0" applyFont="true" applyBorder="true" applyAlignment="true" applyProtection="false">
      <alignment horizontal="right" vertical="bottom" textRotation="0" wrapText="false" indent="1" shrinkToFit="false"/>
      <protection locked="true" hidden="false"/>
    </xf>
    <xf numFmtId="176" fontId="134" fillId="2" borderId="89" xfId="0" applyFont="true" applyBorder="true" applyAlignment="true" applyProtection="false">
      <alignment horizontal="right" vertical="bottom" textRotation="0" wrapText="false" indent="1" shrinkToFit="false"/>
      <protection locked="true" hidden="false"/>
    </xf>
    <xf numFmtId="176" fontId="134" fillId="2" borderId="90" xfId="0" applyFont="true" applyBorder="true" applyAlignment="true" applyProtection="false">
      <alignment horizontal="right" vertical="bottom" textRotation="0" wrapText="false" indent="1" shrinkToFit="false"/>
      <protection locked="true" hidden="false"/>
    </xf>
    <xf numFmtId="177" fontId="134" fillId="2" borderId="0" xfId="0" applyFont="true" applyBorder="false" applyAlignment="true" applyProtection="false">
      <alignment horizontal="right" vertical="bottom" textRotation="0" wrapText="false" indent="2" shrinkToFit="false"/>
      <protection locked="true" hidden="false"/>
    </xf>
    <xf numFmtId="177" fontId="138" fillId="7" borderId="88" xfId="0" applyFont="true" applyBorder="true" applyAlignment="true" applyProtection="false">
      <alignment horizontal="left" vertical="bottom" textRotation="0" wrapText="false" indent="0" shrinkToFit="false"/>
      <protection locked="true" hidden="false"/>
    </xf>
    <xf numFmtId="176" fontId="138" fillId="2" borderId="87" xfId="0" applyFont="true" applyBorder="true" applyAlignment="true" applyProtection="false">
      <alignment horizontal="right" vertical="bottom" textRotation="0" wrapText="false" indent="0" shrinkToFit="false"/>
      <protection locked="true" hidden="false"/>
    </xf>
    <xf numFmtId="176" fontId="138" fillId="2" borderId="89" xfId="0" applyFont="true" applyBorder="true" applyAlignment="true" applyProtection="false">
      <alignment horizontal="right" vertical="bottom" textRotation="0" wrapText="false" indent="0" shrinkToFit="false"/>
      <protection locked="true" hidden="false"/>
    </xf>
    <xf numFmtId="176" fontId="138" fillId="2" borderId="90" xfId="0" applyFont="true" applyBorder="true" applyAlignment="true" applyProtection="false">
      <alignment horizontal="right" vertical="bottom" textRotation="0" wrapText="false" indent="0" shrinkToFit="false"/>
      <protection locked="true" hidden="false"/>
    </xf>
    <xf numFmtId="177" fontId="134" fillId="2" borderId="18" xfId="0" applyFont="true" applyBorder="true" applyAlignment="true" applyProtection="false">
      <alignment horizontal="right" vertical="bottom" textRotation="0" wrapText="false" indent="1" shrinkToFit="false"/>
      <protection locked="true" hidden="false"/>
    </xf>
    <xf numFmtId="177" fontId="136" fillId="7" borderId="79" xfId="0" applyFont="true" applyBorder="true" applyAlignment="true" applyProtection="false">
      <alignment horizontal="left" vertical="bottom" textRotation="0" wrapText="false" indent="0" shrinkToFit="false"/>
      <protection locked="true" hidden="false"/>
    </xf>
    <xf numFmtId="177" fontId="136" fillId="2" borderId="79" xfId="0" applyFont="true" applyBorder="true" applyAlignment="true" applyProtection="false">
      <alignment horizontal="right" vertical="bottom" textRotation="0" wrapText="false" indent="1" shrinkToFit="false"/>
      <protection locked="true" hidden="false"/>
    </xf>
    <xf numFmtId="177" fontId="136" fillId="2" borderId="80" xfId="0" applyFont="true" applyBorder="true" applyAlignment="true" applyProtection="false">
      <alignment horizontal="right" vertical="bottom" textRotation="0" wrapText="false" indent="1" shrinkToFit="false"/>
      <protection locked="true" hidden="false"/>
    </xf>
    <xf numFmtId="177" fontId="136" fillId="0" borderId="0" xfId="0" applyFont="true" applyBorder="false" applyAlignment="true" applyProtection="false">
      <alignment horizontal="general" vertical="bottom" textRotation="0" wrapText="false" indent="0" shrinkToFit="false"/>
      <protection locked="true" hidden="false"/>
    </xf>
    <xf numFmtId="177" fontId="134" fillId="7" borderId="87" xfId="0" applyFont="true" applyBorder="true" applyAlignment="true" applyProtection="false">
      <alignment horizontal="left" vertical="bottom" textRotation="0" wrapText="false" indent="0" shrinkToFit="false"/>
      <protection locked="true" hidden="false"/>
    </xf>
    <xf numFmtId="177" fontId="134" fillId="2" borderId="79" xfId="0" applyFont="true" applyBorder="true" applyAlignment="true" applyProtection="false">
      <alignment horizontal="right" vertical="bottom" textRotation="0" wrapText="false" indent="1" shrinkToFit="false"/>
      <protection locked="true" hidden="false"/>
    </xf>
    <xf numFmtId="177" fontId="134" fillId="2" borderId="80" xfId="0" applyFont="true" applyBorder="true" applyAlignment="true" applyProtection="false">
      <alignment horizontal="right" vertical="bottom" textRotation="0" wrapText="false" indent="1" shrinkToFit="false"/>
      <protection locked="true" hidden="false"/>
    </xf>
    <xf numFmtId="177" fontId="107" fillId="0" borderId="0" xfId="0" applyFont="true" applyBorder="false" applyAlignment="true" applyProtection="false">
      <alignment horizontal="left" vertical="bottom" textRotation="0" wrapText="false" indent="0" shrinkToFit="false"/>
      <protection locked="true" hidden="false"/>
    </xf>
    <xf numFmtId="176" fontId="107" fillId="2" borderId="0" xfId="0" applyFont="true" applyBorder="false" applyAlignment="true" applyProtection="false">
      <alignment horizontal="right" vertical="bottom" textRotation="0" wrapText="false" indent="1" shrinkToFit="false"/>
      <protection locked="true" hidden="false"/>
    </xf>
    <xf numFmtId="176" fontId="107" fillId="2" borderId="18" xfId="0" applyFont="true" applyBorder="true" applyAlignment="true" applyProtection="false">
      <alignment horizontal="right" vertical="bottom" textRotation="0" wrapText="false" indent="1" shrinkToFit="false"/>
      <protection locked="true" hidden="false"/>
    </xf>
    <xf numFmtId="177" fontId="138" fillId="0" borderId="0" xfId="0" applyFont="true" applyBorder="false" applyAlignment="true" applyProtection="false">
      <alignment horizontal="left" vertical="bottom" textRotation="0" wrapText="false" indent="0" shrinkToFit="false"/>
      <protection locked="true" hidden="false"/>
    </xf>
    <xf numFmtId="177" fontId="134" fillId="7" borderId="32" xfId="0" applyFont="true" applyBorder="true" applyAlignment="true" applyProtection="false">
      <alignment horizontal="left" vertical="bottom" textRotation="0" wrapText="false" indent="0" shrinkToFit="false"/>
      <protection locked="true" hidden="false"/>
    </xf>
    <xf numFmtId="177" fontId="134" fillId="0" borderId="40" xfId="0" applyFont="true" applyBorder="true" applyAlignment="true" applyProtection="false">
      <alignment horizontal="left" vertical="bottom" textRotation="0" wrapText="false" indent="0" shrinkToFit="false"/>
      <protection locked="true" hidden="false"/>
    </xf>
    <xf numFmtId="177" fontId="107" fillId="2" borderId="40" xfId="0" applyFont="true" applyBorder="true" applyAlignment="true" applyProtection="false">
      <alignment horizontal="right" vertical="bottom" textRotation="0" wrapText="false" indent="0" shrinkToFit="false"/>
      <protection locked="true" hidden="false"/>
    </xf>
    <xf numFmtId="177" fontId="107" fillId="2" borderId="46" xfId="0" applyFont="true" applyBorder="true" applyAlignment="true" applyProtection="false">
      <alignment horizontal="right" vertical="bottom" textRotation="0" wrapText="false" indent="0" shrinkToFit="false"/>
      <protection locked="true" hidden="false"/>
    </xf>
    <xf numFmtId="177" fontId="107" fillId="2" borderId="47" xfId="0" applyFont="true" applyBorder="true" applyAlignment="true" applyProtection="false">
      <alignment horizontal="right" vertical="bottom" textRotation="0" wrapText="false" indent="0" shrinkToFit="false"/>
      <protection locked="true" hidden="false"/>
    </xf>
    <xf numFmtId="177" fontId="140" fillId="0" borderId="77" xfId="0" applyFont="true" applyBorder="true" applyAlignment="true" applyProtection="false">
      <alignment horizontal="general" vertical="bottom" textRotation="0" wrapText="false" indent="0" shrinkToFit="false"/>
      <protection locked="true" hidden="false"/>
    </xf>
    <xf numFmtId="177" fontId="134" fillId="7" borderId="31" xfId="0" applyFont="true" applyBorder="true" applyAlignment="true" applyProtection="false">
      <alignment horizontal="left" vertical="bottom" textRotation="0" wrapText="false" indent="1" shrinkToFit="false"/>
      <protection locked="true" hidden="false"/>
    </xf>
    <xf numFmtId="177" fontId="136" fillId="7" borderId="55" xfId="0" applyFont="true" applyBorder="true" applyAlignment="true" applyProtection="false">
      <alignment horizontal="left" vertical="bottom" textRotation="0" wrapText="false" indent="1" shrinkToFit="false"/>
      <protection locked="true" hidden="false"/>
    </xf>
    <xf numFmtId="177" fontId="134" fillId="0" borderId="55" xfId="0" applyFont="true" applyBorder="true" applyAlignment="true" applyProtection="false">
      <alignment horizontal="general" vertical="bottom" textRotation="0" wrapText="false" indent="0" shrinkToFit="false"/>
      <protection locked="true" hidden="false"/>
    </xf>
    <xf numFmtId="186" fontId="142" fillId="2" borderId="81" xfId="0" applyFont="true" applyBorder="true" applyAlignment="true" applyProtection="false">
      <alignment horizontal="right" vertical="bottom" textRotation="0" wrapText="false" indent="1" shrinkToFit="false"/>
      <protection locked="true" hidden="false"/>
    </xf>
    <xf numFmtId="186" fontId="107" fillId="2" borderId="79" xfId="0" applyFont="true" applyBorder="true" applyAlignment="true" applyProtection="false">
      <alignment horizontal="right" vertical="bottom" textRotation="0" wrapText="false" indent="1" shrinkToFit="false"/>
      <protection locked="true" hidden="false"/>
    </xf>
    <xf numFmtId="186" fontId="107" fillId="2" borderId="80" xfId="0" applyFont="true" applyBorder="true" applyAlignment="true" applyProtection="false">
      <alignment horizontal="right" vertical="bottom" textRotation="0" wrapText="false" indent="1" shrinkToFit="false"/>
      <protection locked="true" hidden="false"/>
    </xf>
    <xf numFmtId="177" fontId="134" fillId="7" borderId="75" xfId="0" applyFont="true" applyBorder="true" applyAlignment="true" applyProtection="false">
      <alignment horizontal="left" vertical="bottom" textRotation="0" wrapText="false" indent="1" shrinkToFit="false"/>
      <protection locked="true" hidden="false"/>
    </xf>
    <xf numFmtId="177" fontId="134" fillId="2" borderId="76" xfId="0" applyFont="true" applyBorder="true" applyAlignment="true" applyProtection="false">
      <alignment horizontal="general" vertical="bottom" textRotation="0" wrapText="false" indent="0" shrinkToFit="false"/>
      <protection locked="true" hidden="false"/>
    </xf>
    <xf numFmtId="177" fontId="134" fillId="0" borderId="88" xfId="0" applyFont="true" applyBorder="true" applyAlignment="true" applyProtection="false">
      <alignment horizontal="general" vertical="bottom" textRotation="0" wrapText="false" indent="0" shrinkToFit="false"/>
      <protection locked="true" hidden="false"/>
    </xf>
    <xf numFmtId="186" fontId="142" fillId="2" borderId="87" xfId="0" applyFont="true" applyBorder="true" applyAlignment="true" applyProtection="false">
      <alignment horizontal="right" vertical="bottom" textRotation="0" wrapText="false" indent="1" shrinkToFit="false"/>
      <protection locked="true" hidden="false"/>
    </xf>
    <xf numFmtId="186" fontId="107" fillId="2" borderId="89" xfId="0" applyFont="true" applyBorder="true" applyAlignment="true" applyProtection="false">
      <alignment horizontal="right" vertical="bottom" textRotation="0" wrapText="false" indent="1" shrinkToFit="false"/>
      <protection locked="true" hidden="false"/>
    </xf>
    <xf numFmtId="186" fontId="107" fillId="2" borderId="90" xfId="0" applyFont="true" applyBorder="true" applyAlignment="true" applyProtection="false">
      <alignment horizontal="right" vertical="bottom" textRotation="0" wrapText="false" indent="1" shrinkToFit="false"/>
      <protection locked="true" hidden="false"/>
    </xf>
    <xf numFmtId="177" fontId="134" fillId="7" borderId="81" xfId="0" applyFont="true" applyBorder="true" applyAlignment="true" applyProtection="false">
      <alignment horizontal="left" vertical="bottom" textRotation="0" wrapText="false" indent="2" shrinkToFit="false"/>
      <protection locked="true" hidden="false"/>
    </xf>
    <xf numFmtId="177" fontId="134" fillId="7" borderId="55" xfId="0" applyFont="true" applyBorder="true" applyAlignment="true" applyProtection="false">
      <alignment horizontal="left" vertical="bottom" textRotation="0" wrapText="false" indent="2" shrinkToFit="false"/>
      <protection locked="true" hidden="false"/>
    </xf>
    <xf numFmtId="177" fontId="138" fillId="7" borderId="87" xfId="0" applyFont="true" applyBorder="true" applyAlignment="true" applyProtection="false">
      <alignment horizontal="left" vertical="bottom" textRotation="0" wrapText="false" indent="1" shrinkToFit="false"/>
      <protection locked="true" hidden="false"/>
    </xf>
    <xf numFmtId="177" fontId="140" fillId="0" borderId="32" xfId="0" applyFont="true" applyBorder="true" applyAlignment="true" applyProtection="false">
      <alignment horizontal="general" vertical="bottom" textRotation="0" wrapText="false" indent="0" shrinkToFit="false"/>
      <protection locked="true" hidden="false"/>
    </xf>
    <xf numFmtId="177" fontId="107" fillId="2" borderId="22" xfId="0" applyFont="true" applyBorder="true" applyAlignment="true" applyProtection="false">
      <alignment horizontal="right" vertical="bottom" textRotation="0" wrapText="false" indent="1" shrinkToFit="false"/>
      <protection locked="true" hidden="false"/>
    </xf>
    <xf numFmtId="177" fontId="107" fillId="2" borderId="15" xfId="0" applyFont="true" applyBorder="true" applyAlignment="true" applyProtection="false">
      <alignment horizontal="right" vertical="bottom" textRotation="0" wrapText="false" indent="1" shrinkToFit="false"/>
      <protection locked="true" hidden="false"/>
    </xf>
    <xf numFmtId="177" fontId="107" fillId="2" borderId="16" xfId="0" applyFont="true" applyBorder="true" applyAlignment="true" applyProtection="false">
      <alignment horizontal="right" vertical="bottom" textRotation="0" wrapText="false" indent="1" shrinkToFit="false"/>
      <protection locked="true" hidden="false"/>
    </xf>
    <xf numFmtId="177" fontId="134" fillId="7" borderId="40" xfId="0" applyFont="true" applyBorder="true" applyAlignment="true" applyProtection="false">
      <alignment horizontal="left" vertical="bottom" textRotation="0" wrapText="false" indent="0" shrinkToFit="false"/>
      <protection locked="true" hidden="false"/>
    </xf>
    <xf numFmtId="177" fontId="134" fillId="2" borderId="46" xfId="0" applyFont="true" applyBorder="true" applyAlignment="true" applyProtection="false">
      <alignment horizontal="right" vertical="bottom" textRotation="0" wrapText="false" indent="1" shrinkToFit="false"/>
      <protection locked="true" hidden="false"/>
    </xf>
    <xf numFmtId="177" fontId="134" fillId="2" borderId="47" xfId="0" applyFont="true" applyBorder="true" applyAlignment="true" applyProtection="false">
      <alignment horizontal="right" vertical="bottom" textRotation="0" wrapText="false" indent="1" shrinkToFit="false"/>
      <protection locked="true" hidden="false"/>
    </xf>
    <xf numFmtId="177" fontId="138" fillId="7" borderId="40" xfId="0" applyFont="true" applyBorder="true" applyAlignment="true" applyProtection="false">
      <alignment horizontal="left" vertical="bottom" textRotation="0" wrapText="false" indent="0" shrinkToFit="false"/>
      <protection locked="true" hidden="false"/>
    </xf>
    <xf numFmtId="177" fontId="134" fillId="7" borderId="87" xfId="0" applyFont="true" applyBorder="true" applyAlignment="true" applyProtection="false">
      <alignment horizontal="left" vertical="bottom" textRotation="0" wrapText="false" indent="2" shrinkToFit="false"/>
      <protection locked="true" hidden="false"/>
    </xf>
    <xf numFmtId="177" fontId="134" fillId="7" borderId="88" xfId="0" applyFont="true" applyBorder="true" applyAlignment="true" applyProtection="false">
      <alignment horizontal="left" vertical="bottom" textRotation="0" wrapText="false" indent="2" shrinkToFit="false"/>
      <protection locked="true" hidden="false"/>
    </xf>
    <xf numFmtId="177" fontId="138" fillId="2" borderId="21" xfId="0" applyFont="true" applyBorder="true" applyAlignment="true" applyProtection="false">
      <alignment horizontal="right" vertical="bottom" textRotation="0" wrapText="false" indent="0" shrinkToFit="false"/>
      <protection locked="true" hidden="false"/>
    </xf>
    <xf numFmtId="177" fontId="138" fillId="2" borderId="11" xfId="0" applyFont="true" applyBorder="true" applyAlignment="true" applyProtection="false">
      <alignment horizontal="right" vertical="bottom" textRotation="0" wrapText="false" indent="0" shrinkToFit="false"/>
      <protection locked="true" hidden="false"/>
    </xf>
    <xf numFmtId="177" fontId="134" fillId="0" borderId="40" xfId="0" applyFont="true" applyBorder="true" applyAlignment="true" applyProtection="false">
      <alignment horizontal="left" vertical="bottom" textRotation="0" wrapText="false" indent="1" shrinkToFit="false"/>
      <protection locked="true" hidden="false"/>
    </xf>
    <xf numFmtId="177" fontId="134" fillId="0" borderId="26" xfId="0" applyFont="true" applyBorder="true" applyAlignment="true" applyProtection="false">
      <alignment horizontal="left" vertical="bottom" textRotation="0" wrapText="false" indent="1" shrinkToFit="false"/>
      <protection locked="true" hidden="false"/>
    </xf>
    <xf numFmtId="177" fontId="138" fillId="7" borderId="77" xfId="0" applyFont="true" applyBorder="true" applyAlignment="true" applyProtection="false">
      <alignment horizontal="general" vertical="bottom" textRotation="0" wrapText="false" indent="0" shrinkToFit="false"/>
      <protection locked="true" hidden="false"/>
    </xf>
    <xf numFmtId="177" fontId="134" fillId="7" borderId="0" xfId="0" applyFont="true" applyBorder="false" applyAlignment="true" applyProtection="false">
      <alignment horizontal="left" vertical="bottom" textRotation="0" wrapText="false" indent="2" shrinkToFit="false"/>
      <protection locked="true" hidden="false"/>
    </xf>
    <xf numFmtId="177" fontId="134" fillId="7" borderId="37" xfId="0" applyFont="true" applyBorder="true" applyAlignment="true" applyProtection="false">
      <alignment horizontal="left" vertical="bottom" textRotation="0" wrapText="false" indent="1" shrinkToFit="false"/>
      <protection locked="true" hidden="false"/>
    </xf>
    <xf numFmtId="177" fontId="136" fillId="7" borderId="88" xfId="0" applyFont="true" applyBorder="true" applyAlignment="true" applyProtection="false">
      <alignment horizontal="left" vertical="bottom" textRotation="0" wrapText="false" indent="1" shrinkToFit="false"/>
      <protection locked="true" hidden="false"/>
    </xf>
    <xf numFmtId="177" fontId="107" fillId="2" borderId="87" xfId="0" applyFont="true" applyBorder="true" applyAlignment="true" applyProtection="false">
      <alignment horizontal="right" vertical="bottom" textRotation="0" wrapText="false" indent="0" shrinkToFit="false"/>
      <protection locked="true" hidden="false"/>
    </xf>
    <xf numFmtId="177" fontId="134" fillId="7" borderId="82" xfId="0" applyFont="true" applyBorder="true" applyAlignment="true" applyProtection="false">
      <alignment horizontal="general" vertical="bottom" textRotation="0" wrapText="false" indent="0" shrinkToFit="false"/>
      <protection locked="true" hidden="false"/>
    </xf>
    <xf numFmtId="177" fontId="136" fillId="7" borderId="77" xfId="0" applyFont="true" applyBorder="true" applyAlignment="true" applyProtection="false">
      <alignment horizontal="general" vertical="bottom" textRotation="0" wrapText="false" indent="0" shrinkToFit="false"/>
      <protection locked="true" hidden="false"/>
    </xf>
    <xf numFmtId="177" fontId="107" fillId="7" borderId="88" xfId="0" applyFont="true" applyBorder="true" applyAlignment="true" applyProtection="false">
      <alignment horizontal="left" vertical="bottom" textRotation="0" wrapText="false" indent="1" shrinkToFit="false"/>
      <protection locked="true" hidden="false"/>
    </xf>
    <xf numFmtId="177" fontId="138" fillId="7" borderId="88" xfId="0" applyFont="true" applyBorder="true" applyAlignment="true" applyProtection="false">
      <alignment horizontal="left" vertical="bottom" textRotation="0" wrapText="false" indent="1" shrinkToFit="false"/>
      <protection locked="true" hidden="false"/>
    </xf>
    <xf numFmtId="177" fontId="134" fillId="7" borderId="77" xfId="0" applyFont="true" applyBorder="true" applyAlignment="true" applyProtection="false">
      <alignment horizontal="left" vertical="bottom" textRotation="0" wrapText="false" indent="1" shrinkToFit="false"/>
      <protection locked="true" hidden="false"/>
    </xf>
    <xf numFmtId="177" fontId="134" fillId="7" borderId="89" xfId="0" applyFont="true" applyBorder="true" applyAlignment="true" applyProtection="false">
      <alignment horizontal="general" vertical="bottom" textRotation="0" wrapText="false" indent="0" shrinkToFit="false"/>
      <protection locked="true" hidden="false"/>
    </xf>
    <xf numFmtId="177" fontId="134" fillId="2" borderId="90" xfId="0" applyFont="true" applyBorder="true" applyAlignment="true" applyProtection="false">
      <alignment horizontal="general" vertical="bottom" textRotation="0" wrapText="false" indent="0" shrinkToFit="false"/>
      <protection locked="true" hidden="false"/>
    </xf>
    <xf numFmtId="177" fontId="134" fillId="0" borderId="78" xfId="0" applyFont="true" applyBorder="true" applyAlignment="true" applyProtection="false">
      <alignment horizontal="right" vertical="bottom" textRotation="0" wrapText="false" indent="0" shrinkToFit="false"/>
      <protection locked="true" hidden="false"/>
    </xf>
    <xf numFmtId="177" fontId="134" fillId="2" borderId="73" xfId="0" applyFont="true" applyBorder="true" applyAlignment="true" applyProtection="false">
      <alignment horizontal="right" vertical="bottom" textRotation="0" wrapText="false" indent="0" shrinkToFit="false"/>
      <protection locked="true" hidden="false"/>
    </xf>
    <xf numFmtId="177" fontId="134" fillId="2" borderId="74" xfId="0" applyFont="true" applyBorder="true" applyAlignment="true" applyProtection="false">
      <alignment horizontal="right" vertical="bottom" textRotation="0" wrapText="false" indent="0" shrinkToFit="false"/>
      <protection locked="true" hidden="false"/>
    </xf>
    <xf numFmtId="177" fontId="136" fillId="2" borderId="78" xfId="0" applyFont="true" applyBorder="true" applyAlignment="true" applyProtection="false">
      <alignment horizontal="right" vertical="bottom" textRotation="0" wrapText="false" indent="0" shrinkToFit="false"/>
      <protection locked="true" hidden="false"/>
    </xf>
    <xf numFmtId="177" fontId="136" fillId="2" borderId="73" xfId="0" applyFont="true" applyBorder="true" applyAlignment="true" applyProtection="false">
      <alignment horizontal="right" vertical="bottom" textRotation="0" wrapText="false" indent="0" shrinkToFit="false"/>
      <protection locked="true" hidden="false"/>
    </xf>
    <xf numFmtId="177" fontId="136" fillId="2" borderId="74" xfId="0" applyFont="true" applyBorder="true" applyAlignment="true" applyProtection="false">
      <alignment horizontal="right" vertical="bottom" textRotation="0" wrapText="false" indent="0" shrinkToFit="false"/>
      <protection locked="true" hidden="false"/>
    </xf>
    <xf numFmtId="177" fontId="107" fillId="2" borderId="81" xfId="0" applyFont="true" applyBorder="true" applyAlignment="true" applyProtection="false">
      <alignment horizontal="right" vertical="bottom" textRotation="0" wrapText="false" indent="0" shrinkToFit="false"/>
      <protection locked="true" hidden="false"/>
    </xf>
    <xf numFmtId="167" fontId="143" fillId="2" borderId="89" xfId="0" applyFont="true" applyBorder="true" applyAlignment="true" applyProtection="false">
      <alignment horizontal="right" vertical="bottom" textRotation="0" wrapText="false" indent="1" shrinkToFit="false"/>
      <protection locked="true" hidden="false"/>
    </xf>
    <xf numFmtId="167" fontId="134" fillId="2" borderId="89" xfId="0" applyFont="true" applyBorder="true" applyAlignment="true" applyProtection="false">
      <alignment horizontal="right" vertical="bottom" textRotation="0" wrapText="false" indent="1" shrinkToFit="false"/>
      <protection locked="true" hidden="false"/>
    </xf>
    <xf numFmtId="167" fontId="134" fillId="2" borderId="90" xfId="0" applyFont="true" applyBorder="true" applyAlignment="true" applyProtection="false">
      <alignment horizontal="right" vertical="bottom" textRotation="0" wrapText="false" indent="1" shrinkToFit="false"/>
      <protection locked="true" hidden="false"/>
    </xf>
    <xf numFmtId="167" fontId="144" fillId="0" borderId="11" xfId="0" applyFont="true" applyBorder="true" applyAlignment="true" applyProtection="false">
      <alignment horizontal="right" vertical="bottom" textRotation="0" wrapText="false" indent="0" shrinkToFit="false"/>
      <protection locked="true" hidden="false"/>
    </xf>
    <xf numFmtId="167" fontId="144" fillId="0" borderId="20" xfId="0" applyFont="true" applyBorder="true" applyAlignment="true" applyProtection="false">
      <alignment horizontal="right" vertical="bottom" textRotation="0" wrapText="false" indent="0" shrinkToFit="false"/>
      <protection locked="true" hidden="false"/>
    </xf>
    <xf numFmtId="177" fontId="134" fillId="0" borderId="81" xfId="0" applyFont="true" applyBorder="true" applyAlignment="true" applyProtection="false">
      <alignment horizontal="right" vertical="bottom" textRotation="0" wrapText="false" indent="0" shrinkToFit="false"/>
      <protection locked="true" hidden="false"/>
    </xf>
    <xf numFmtId="177" fontId="134" fillId="2" borderId="79" xfId="0" applyFont="true" applyBorder="true" applyAlignment="true" applyProtection="false">
      <alignment horizontal="right" vertical="bottom" textRotation="0" wrapText="false" indent="0" shrinkToFit="false"/>
      <protection locked="true" hidden="false"/>
    </xf>
    <xf numFmtId="177" fontId="134" fillId="2" borderId="80" xfId="0" applyFont="true" applyBorder="true" applyAlignment="true" applyProtection="false">
      <alignment horizontal="right" vertical="bottom" textRotation="0" wrapText="false" indent="0" shrinkToFit="false"/>
      <protection locked="true" hidden="false"/>
    </xf>
    <xf numFmtId="177" fontId="136" fillId="2" borderId="81" xfId="0" applyFont="true" applyBorder="true" applyAlignment="true" applyProtection="false">
      <alignment horizontal="right" vertical="bottom" textRotation="0" wrapText="false" indent="0" shrinkToFit="false"/>
      <protection locked="true" hidden="false"/>
    </xf>
    <xf numFmtId="177" fontId="136" fillId="2" borderId="79" xfId="0" applyFont="true" applyBorder="true" applyAlignment="true" applyProtection="false">
      <alignment horizontal="right" vertical="bottom" textRotation="0" wrapText="false" indent="0" shrinkToFit="false"/>
      <protection locked="true" hidden="false"/>
    </xf>
    <xf numFmtId="177" fontId="136" fillId="2" borderId="80" xfId="0" applyFont="true" applyBorder="true" applyAlignment="true" applyProtection="false">
      <alignment horizontal="right" vertical="bottom" textRotation="0" wrapText="false" indent="0" shrinkToFit="false"/>
      <protection locked="true" hidden="false"/>
    </xf>
    <xf numFmtId="177" fontId="134" fillId="2" borderId="78" xfId="0" applyFont="true" applyBorder="true" applyAlignment="true" applyProtection="false">
      <alignment horizontal="right" vertical="bottom" textRotation="0" wrapText="false" indent="1" shrinkToFit="false"/>
      <protection locked="true" hidden="false"/>
    </xf>
    <xf numFmtId="177" fontId="135" fillId="0" borderId="0" xfId="0" applyFont="true" applyBorder="false" applyAlignment="true" applyProtection="false">
      <alignment horizontal="right" vertical="bottom" textRotation="0" wrapText="false" indent="1" shrinkToFit="false"/>
      <protection locked="true" hidden="false"/>
    </xf>
    <xf numFmtId="177" fontId="131" fillId="2" borderId="0" xfId="0" applyFont="true" applyBorder="false" applyAlignment="true" applyProtection="false">
      <alignment horizontal="general" vertical="bottom" textRotation="0" wrapText="false" indent="0" shrinkToFit="false"/>
      <protection locked="true" hidden="false"/>
    </xf>
    <xf numFmtId="177" fontId="134" fillId="0" borderId="87" xfId="0" applyFont="true" applyBorder="true" applyAlignment="true" applyProtection="false">
      <alignment horizontal="right" vertical="bottom" textRotation="0" wrapText="false" indent="0" shrinkToFit="false"/>
      <protection locked="true" hidden="false"/>
    </xf>
    <xf numFmtId="177" fontId="134" fillId="2" borderId="89" xfId="0" applyFont="true" applyBorder="true" applyAlignment="true" applyProtection="false">
      <alignment horizontal="right" vertical="bottom" textRotation="0" wrapText="false" indent="0" shrinkToFit="false"/>
      <protection locked="true" hidden="false"/>
    </xf>
    <xf numFmtId="177" fontId="134" fillId="2" borderId="90" xfId="0" applyFont="true" applyBorder="true" applyAlignment="true" applyProtection="false">
      <alignment horizontal="right" vertical="bottom" textRotation="0" wrapText="false" indent="0" shrinkToFit="false"/>
      <protection locked="true" hidden="false"/>
    </xf>
    <xf numFmtId="177" fontId="136" fillId="2" borderId="87" xfId="0" applyFont="true" applyBorder="true" applyAlignment="true" applyProtection="false">
      <alignment horizontal="right" vertical="bottom" textRotation="0" wrapText="false" indent="0" shrinkToFit="false"/>
      <protection locked="true" hidden="false"/>
    </xf>
    <xf numFmtId="177" fontId="136" fillId="2" borderId="89" xfId="0" applyFont="true" applyBorder="true" applyAlignment="true" applyProtection="false">
      <alignment horizontal="right" vertical="bottom" textRotation="0" wrapText="false" indent="0" shrinkToFit="false"/>
      <protection locked="true" hidden="false"/>
    </xf>
    <xf numFmtId="177" fontId="136" fillId="2" borderId="90" xfId="0" applyFont="true" applyBorder="true" applyAlignment="true" applyProtection="false">
      <alignment horizontal="right" vertical="bottom" textRotation="0" wrapText="false" indent="0" shrinkToFit="false"/>
      <protection locked="true" hidden="false"/>
    </xf>
    <xf numFmtId="177" fontId="129" fillId="2" borderId="0" xfId="0" applyFont="true" applyBorder="false" applyAlignment="true" applyProtection="false">
      <alignment horizontal="general" vertical="bottom" textRotation="0" wrapText="false" indent="0" shrinkToFit="false"/>
      <protection locked="true" hidden="false"/>
    </xf>
    <xf numFmtId="167" fontId="134" fillId="2" borderId="87" xfId="0" applyFont="true" applyBorder="true" applyAlignment="true" applyProtection="false">
      <alignment horizontal="right" vertical="bottom" textRotation="0" wrapText="false" indent="1" shrinkToFit="false"/>
      <protection locked="true" hidden="false"/>
    </xf>
    <xf numFmtId="177" fontId="136" fillId="7" borderId="89" xfId="0" applyFont="true" applyBorder="true" applyAlignment="true" applyProtection="false">
      <alignment horizontal="left" vertical="bottom" textRotation="0" wrapText="false" indent="0" shrinkToFit="false"/>
      <protection locked="true" hidden="false"/>
    </xf>
    <xf numFmtId="167" fontId="138" fillId="2" borderId="89" xfId="0" applyFont="true" applyBorder="true" applyAlignment="true" applyProtection="false">
      <alignment horizontal="right" vertical="bottom" textRotation="0" wrapText="false" indent="1" shrinkToFit="false"/>
      <protection locked="true" hidden="false"/>
    </xf>
    <xf numFmtId="167" fontId="138" fillId="2" borderId="90" xfId="0" applyFont="true" applyBorder="true" applyAlignment="true" applyProtection="false">
      <alignment horizontal="right" vertical="bottom" textRotation="0" wrapText="false" indent="1" shrinkToFit="false"/>
      <protection locked="true" hidden="false"/>
    </xf>
    <xf numFmtId="177" fontId="130" fillId="50" borderId="0" xfId="0" applyFont="true" applyBorder="false" applyAlignment="true" applyProtection="false">
      <alignment horizontal="general" vertical="bottom" textRotation="0" wrapText="false" indent="0" shrinkToFit="false"/>
      <protection locked="true" hidden="false"/>
    </xf>
    <xf numFmtId="177" fontId="136" fillId="5" borderId="37" xfId="0" applyFont="true" applyBorder="true" applyAlignment="true" applyProtection="false">
      <alignment horizontal="general" vertical="bottom" textRotation="0" wrapText="false" indent="0" shrinkToFit="false"/>
      <protection locked="true" hidden="false"/>
    </xf>
    <xf numFmtId="176" fontId="136" fillId="5" borderId="46" xfId="0" applyFont="true" applyBorder="true" applyAlignment="true" applyProtection="false">
      <alignment horizontal="right" vertical="bottom" textRotation="0" wrapText="false" indent="0" shrinkToFit="false"/>
      <protection locked="true" hidden="false"/>
    </xf>
    <xf numFmtId="176" fontId="136" fillId="5" borderId="47" xfId="0" applyFont="true" applyBorder="true" applyAlignment="true" applyProtection="false">
      <alignment horizontal="right" vertical="bottom" textRotation="0" wrapText="false" indent="0" shrinkToFit="false"/>
      <protection locked="true" hidden="false"/>
    </xf>
    <xf numFmtId="177" fontId="134" fillId="5" borderId="21" xfId="0" applyFont="true" applyBorder="true" applyAlignment="true" applyProtection="false">
      <alignment horizontal="general" vertical="bottom" textRotation="0" wrapText="false" indent="0" shrinkToFit="false"/>
      <protection locked="true" hidden="false"/>
    </xf>
    <xf numFmtId="176" fontId="130" fillId="5" borderId="11" xfId="0" applyFont="true" applyBorder="true" applyAlignment="true" applyProtection="false">
      <alignment horizontal="right" vertical="bottom" textRotation="0" wrapText="false" indent="0" shrinkToFit="false"/>
      <protection locked="true" hidden="false"/>
    </xf>
    <xf numFmtId="176" fontId="130" fillId="5" borderId="20" xfId="0" applyFont="true" applyBorder="true" applyAlignment="true" applyProtection="false">
      <alignment horizontal="right" vertical="bottom" textRotation="0" wrapText="false" indent="0" shrinkToFit="false"/>
      <protection locked="true" hidden="false"/>
    </xf>
    <xf numFmtId="177" fontId="129" fillId="2" borderId="0" xfId="0" applyFont="true" applyBorder="false" applyAlignment="true" applyProtection="false">
      <alignment horizontal="center" vertical="bottom" textRotation="0" wrapText="false" indent="0" shrinkToFit="false"/>
      <protection locked="true" hidden="false"/>
    </xf>
    <xf numFmtId="177" fontId="107" fillId="0" borderId="0" xfId="0" applyFont="true" applyBorder="false" applyAlignment="true" applyProtection="false">
      <alignment horizontal="general" vertical="bottom" textRotation="0" wrapText="false" indent="0" shrinkToFit="false"/>
      <protection locked="true" hidden="false"/>
    </xf>
    <xf numFmtId="177" fontId="107" fillId="0" borderId="79" xfId="0" applyFont="true" applyBorder="true" applyAlignment="true" applyProtection="false">
      <alignment horizontal="general" vertical="bottom" textRotation="0" wrapText="false" indent="0" shrinkToFit="false"/>
      <protection locked="true" hidden="false"/>
    </xf>
    <xf numFmtId="177" fontId="131" fillId="2" borderId="0" xfId="0" applyFont="true" applyBorder="false" applyAlignment="true" applyProtection="false">
      <alignment horizontal="right" vertical="bottom" textRotation="0" wrapText="false" indent="0" shrinkToFit="false"/>
      <protection locked="true" hidden="false"/>
    </xf>
    <xf numFmtId="177" fontId="107" fillId="0" borderId="79" xfId="0" applyFont="true" applyBorder="true" applyAlignment="true" applyProtection="false">
      <alignment horizontal="left" vertical="bottom" textRotation="0" wrapText="false" indent="1" shrinkToFit="false"/>
      <protection locked="true" hidden="false"/>
    </xf>
    <xf numFmtId="177" fontId="107" fillId="0" borderId="89" xfId="0" applyFont="true" applyBorder="true" applyAlignment="true" applyProtection="false">
      <alignment horizontal="general" vertical="bottom" textRotation="0" wrapText="false" indent="0" shrinkToFit="false"/>
      <protection locked="true" hidden="false"/>
    </xf>
    <xf numFmtId="177" fontId="106" fillId="2" borderId="0" xfId="0" applyFont="true" applyBorder="false" applyAlignment="true" applyProtection="false">
      <alignment horizontal="right" vertical="bottom" textRotation="0" wrapText="false" indent="1" shrinkToFit="false"/>
      <protection locked="true" hidden="false"/>
    </xf>
    <xf numFmtId="177" fontId="107" fillId="7" borderId="92" xfId="0" applyFont="true" applyBorder="true" applyAlignment="true" applyProtection="false">
      <alignment horizontal="left" vertical="bottom" textRotation="0" wrapText="false" indent="1" shrinkToFit="false"/>
      <protection locked="true" hidden="false"/>
    </xf>
    <xf numFmtId="177" fontId="138" fillId="7" borderId="92" xfId="0" applyFont="true" applyBorder="true" applyAlignment="true" applyProtection="false">
      <alignment horizontal="left" vertical="bottom" textRotation="0" wrapText="false" indent="1" shrinkToFit="false"/>
      <protection locked="true" hidden="false"/>
    </xf>
    <xf numFmtId="177" fontId="135" fillId="0" borderId="0" xfId="0" applyFont="true" applyBorder="false" applyAlignment="true" applyProtection="false">
      <alignment horizontal="right" vertical="bottom" textRotation="0" wrapText="false" indent="0" shrinkToFit="false"/>
      <protection locked="true" hidden="false"/>
    </xf>
    <xf numFmtId="177" fontId="130" fillId="2" borderId="0" xfId="0" applyFont="true" applyBorder="false" applyAlignment="true" applyProtection="false">
      <alignment horizontal="center" vertical="bottom" textRotation="0" wrapText="false" indent="0" shrinkToFit="false"/>
      <protection locked="true" hidden="false"/>
    </xf>
    <xf numFmtId="177" fontId="134" fillId="7" borderId="11" xfId="0" applyFont="true" applyBorder="true" applyAlignment="true" applyProtection="false">
      <alignment horizontal="right" vertical="bottom" textRotation="0" wrapText="false" indent="1" shrinkToFit="false"/>
      <protection locked="true" hidden="false"/>
    </xf>
    <xf numFmtId="177" fontId="134" fillId="7" borderId="20" xfId="0" applyFont="true" applyBorder="true" applyAlignment="true" applyProtection="false">
      <alignment horizontal="right" vertical="bottom" textRotation="0" wrapText="false" indent="1" shrinkToFit="false"/>
      <protection locked="true" hidden="false"/>
    </xf>
    <xf numFmtId="177" fontId="136" fillId="7" borderId="26" xfId="0" applyFont="true" applyBorder="true" applyAlignment="true" applyProtection="false">
      <alignment horizontal="left" vertical="bottom" textRotation="0" wrapText="false" indent="0" shrinkToFit="false"/>
      <protection locked="true" hidden="false"/>
    </xf>
    <xf numFmtId="177" fontId="136" fillId="7" borderId="11" xfId="0" applyFont="true" applyBorder="true" applyAlignment="true" applyProtection="false">
      <alignment horizontal="right" vertical="bottom" textRotation="0" wrapText="false" indent="0" shrinkToFit="false"/>
      <protection locked="true" hidden="false"/>
    </xf>
    <xf numFmtId="177" fontId="136" fillId="7" borderId="20" xfId="0" applyFont="true" applyBorder="true" applyAlignment="true" applyProtection="false">
      <alignment horizontal="right" vertical="bottom" textRotation="0" wrapText="false" indent="0" shrinkToFit="false"/>
      <protection locked="true" hidden="false"/>
    </xf>
    <xf numFmtId="177" fontId="129" fillId="2" borderId="0" xfId="0" applyFont="true" applyBorder="false" applyAlignment="true" applyProtection="false">
      <alignment horizontal="right" vertical="bottom" textRotation="0" wrapText="false" indent="0" shrinkToFit="false"/>
      <protection locked="true" hidden="false"/>
    </xf>
    <xf numFmtId="177" fontId="129" fillId="2" borderId="0" xfId="0" applyFont="true" applyBorder="false" applyAlignment="true" applyProtection="false">
      <alignment horizontal="right" vertical="bottom" textRotation="0" wrapText="false" indent="1" shrinkToFit="false"/>
      <protection locked="true" hidden="false"/>
    </xf>
    <xf numFmtId="177" fontId="134" fillId="2" borderId="0" xfId="0" applyFont="true" applyBorder="false" applyAlignment="true" applyProtection="false">
      <alignment horizontal="right" vertical="bottom" textRotation="0" wrapText="false" indent="0" shrinkToFit="false"/>
      <protection locked="true" hidden="false"/>
    </xf>
    <xf numFmtId="177" fontId="145" fillId="0" borderId="89" xfId="0" applyFont="true" applyBorder="true" applyAlignment="true" applyProtection="false">
      <alignment horizontal="general" vertical="bottom" textRotation="0" wrapText="false" indent="0" shrinkToFit="false"/>
      <protection locked="true" hidden="false"/>
    </xf>
    <xf numFmtId="177" fontId="130" fillId="0" borderId="0" xfId="0" applyFont="true" applyBorder="false" applyAlignment="true" applyProtection="false">
      <alignment horizontal="general" vertical="bottom" textRotation="0" wrapText="false" indent="0" shrinkToFit="false"/>
      <protection locked="true" hidden="false"/>
    </xf>
    <xf numFmtId="177" fontId="146" fillId="2" borderId="0" xfId="0" applyFont="true" applyBorder="false" applyAlignment="true" applyProtection="false">
      <alignment horizontal="right" vertical="bottom" textRotation="0" wrapText="false" indent="1" shrinkToFit="false"/>
      <protection locked="true" hidden="false"/>
    </xf>
    <xf numFmtId="164" fontId="147" fillId="51" borderId="0" xfId="0" applyFont="true" applyBorder="true" applyAlignment="true" applyProtection="false">
      <alignment horizontal="center" vertical="center" textRotation="0" wrapText="true" indent="0" shrinkToFit="false"/>
      <protection locked="true" hidden="false"/>
    </xf>
    <xf numFmtId="164" fontId="148" fillId="0" borderId="0" xfId="0" applyFont="true" applyBorder="true" applyAlignment="true" applyProtection="false">
      <alignment horizontal="center" vertical="center" textRotation="0" wrapText="true" indent="0" shrinkToFit="false"/>
      <protection locked="true" hidden="false"/>
    </xf>
    <xf numFmtId="164" fontId="149" fillId="31" borderId="0" xfId="0" applyFont="true" applyBorder="true" applyAlignment="true" applyProtection="false">
      <alignment horizontal="left" vertical="center" textRotation="0" wrapText="true" indent="0" shrinkToFit="false"/>
      <protection locked="true" hidden="false"/>
    </xf>
    <xf numFmtId="164" fontId="150" fillId="32" borderId="39" xfId="0" applyFont="true" applyBorder="true" applyAlignment="true" applyProtection="false">
      <alignment horizontal="center" vertical="center" textRotation="0" wrapText="true" indent="0" shrinkToFit="false"/>
      <protection locked="true" hidden="false"/>
    </xf>
    <xf numFmtId="164" fontId="151" fillId="0" borderId="0" xfId="0" applyFont="true" applyBorder="false" applyAlignment="true" applyProtection="false">
      <alignment horizontal="left" vertical="center" textRotation="0" wrapText="true" indent="0" shrinkToFit="false"/>
      <protection locked="true" hidden="false"/>
    </xf>
    <xf numFmtId="187" fontId="151" fillId="0" borderId="0" xfId="0" applyFont="true" applyBorder="false" applyAlignment="true" applyProtection="false">
      <alignment horizontal="right" vertical="center" textRotation="0" wrapText="false" indent="0" shrinkToFit="false"/>
      <protection locked="true" hidden="false"/>
    </xf>
    <xf numFmtId="187" fontId="152" fillId="52" borderId="0" xfId="0" applyFont="true" applyBorder="false" applyAlignment="true" applyProtection="false">
      <alignment horizontal="right" vertical="center" textRotation="0" wrapText="false" indent="0" shrinkToFit="false"/>
      <protection locked="true" hidden="false"/>
    </xf>
    <xf numFmtId="169" fontId="151" fillId="0" borderId="0" xfId="0" applyFont="true" applyBorder="false" applyAlignment="true" applyProtection="false">
      <alignment horizontal="right" vertical="center" textRotation="0" wrapText="false" indent="0" shrinkToFit="false"/>
      <protection locked="true" hidden="false"/>
    </xf>
    <xf numFmtId="169" fontId="152" fillId="52" borderId="0" xfId="0" applyFont="true" applyBorder="false" applyAlignment="true" applyProtection="false">
      <alignment horizontal="right" vertical="center" textRotation="0" wrapText="false" indent="0" shrinkToFit="false"/>
      <protection locked="true" hidden="false"/>
    </xf>
    <xf numFmtId="187" fontId="151" fillId="40" borderId="0" xfId="0" applyFont="true" applyBorder="false" applyAlignment="true" applyProtection="false">
      <alignment horizontal="right" vertical="center" textRotation="0" wrapText="false" indent="0" shrinkToFit="false"/>
      <protection locked="true" hidden="false"/>
    </xf>
    <xf numFmtId="169" fontId="151" fillId="40" borderId="0" xfId="0" applyFont="true" applyBorder="false" applyAlignment="true" applyProtection="false">
      <alignment horizontal="right" vertical="center" textRotation="0" wrapText="false" indent="0" shrinkToFit="false"/>
      <protection locked="true" hidden="false"/>
    </xf>
    <xf numFmtId="164" fontId="152" fillId="0" borderId="0" xfId="0" applyFont="true" applyBorder="false" applyAlignment="true" applyProtection="false">
      <alignment horizontal="left" vertical="center" textRotation="0" wrapText="true" indent="0" shrinkToFit="false"/>
      <protection locked="true" hidden="false"/>
    </xf>
    <xf numFmtId="187" fontId="152" fillId="0" borderId="0" xfId="0" applyFont="true" applyBorder="false" applyAlignment="true" applyProtection="false">
      <alignment horizontal="right" vertical="center" textRotation="0" wrapText="false" indent="0" shrinkToFit="false"/>
      <protection locked="true" hidden="false"/>
    </xf>
    <xf numFmtId="187" fontId="152" fillId="24" borderId="0" xfId="0" applyFont="true" applyBorder="false" applyAlignment="true" applyProtection="false">
      <alignment horizontal="right" vertical="center" textRotation="0" wrapText="false" indent="0" shrinkToFit="false"/>
      <protection locked="true" hidden="false"/>
    </xf>
    <xf numFmtId="169" fontId="152" fillId="0" borderId="0" xfId="0" applyFont="true" applyBorder="false" applyAlignment="true" applyProtection="false">
      <alignment horizontal="right" vertical="center" textRotation="0" wrapText="false" indent="0" shrinkToFit="false"/>
      <protection locked="true" hidden="false"/>
    </xf>
    <xf numFmtId="164" fontId="150" fillId="32" borderId="97" xfId="0" applyFont="true" applyBorder="true" applyAlignment="true" applyProtection="false">
      <alignment horizontal="center" vertical="center" textRotation="0" wrapText="true" indent="0" shrinkToFit="false"/>
      <protection locked="true" hidden="false"/>
    </xf>
    <xf numFmtId="188" fontId="151" fillId="40" borderId="0" xfId="0" applyFont="true" applyBorder="false" applyAlignment="true" applyProtection="false">
      <alignment horizontal="right" vertical="center" textRotation="0" wrapText="false" indent="0" shrinkToFit="false"/>
      <protection locked="true" hidden="false"/>
    </xf>
    <xf numFmtId="164" fontId="151" fillId="0" borderId="0" xfId="0" applyFont="true" applyBorder="true" applyAlignment="true" applyProtection="false">
      <alignment horizontal="left" vertical="center" textRotation="0" wrapText="true" indent="0" shrinkToFit="false"/>
      <protection locked="true" hidden="false"/>
    </xf>
    <xf numFmtId="164" fontId="151" fillId="53" borderId="0" xfId="0" applyFont="true" applyBorder="false" applyAlignment="true" applyProtection="false">
      <alignment horizontal="left" vertical="center" textRotation="0" wrapText="true" indent="0" shrinkToFit="false"/>
      <protection locked="true" hidden="false"/>
    </xf>
    <xf numFmtId="187" fontId="151" fillId="53" borderId="0" xfId="0" applyFont="true" applyBorder="false" applyAlignment="true" applyProtection="false">
      <alignment horizontal="right" vertical="center" textRotation="0" wrapText="false" indent="0" shrinkToFit="false"/>
      <protection locked="true" hidden="false"/>
    </xf>
    <xf numFmtId="187" fontId="152" fillId="53" borderId="0" xfId="0" applyFont="true" applyBorder="false" applyAlignment="true" applyProtection="false">
      <alignment horizontal="right" vertical="center" textRotation="0" wrapText="false" indent="0" shrinkToFit="false"/>
      <protection locked="true" hidden="false"/>
    </xf>
    <xf numFmtId="164" fontId="153" fillId="0" borderId="0" xfId="0" applyFont="true" applyBorder="true" applyAlignment="true" applyProtection="false">
      <alignment horizontal="left" vertical="center" textRotation="0" wrapText="true" indent="0" shrinkToFit="false"/>
      <protection locked="true" hidden="false"/>
    </xf>
    <xf numFmtId="164" fontId="152" fillId="52" borderId="0" xfId="0" applyFont="true" applyBorder="false" applyAlignment="true" applyProtection="false">
      <alignment horizontal="left" vertical="center" textRotation="0" wrapText="true" indent="0" shrinkToFit="false"/>
      <protection locked="true" hidden="false"/>
    </xf>
    <xf numFmtId="164" fontId="148" fillId="0" borderId="0" xfId="0" applyFont="true" applyBorder="true" applyAlignment="true" applyProtection="false">
      <alignment horizontal="left" vertical="center" textRotation="0" wrapText="true" indent="0" shrinkToFit="false"/>
      <protection locked="true" hidden="false"/>
    </xf>
    <xf numFmtId="164" fontId="151" fillId="0" borderId="0" xfId="0" applyFont="true" applyBorder="false" applyAlignment="true" applyProtection="false">
      <alignment horizontal="center" vertical="center" textRotation="0" wrapText="true" indent="0" shrinkToFit="false"/>
      <protection locked="true" hidden="false"/>
    </xf>
    <xf numFmtId="164" fontId="9" fillId="2" borderId="0" xfId="0" applyFont="true" applyBorder="false" applyAlignment="true" applyProtection="false">
      <alignment horizontal="general" vertical="bottom" textRotation="0" wrapText="false" indent="0" shrinkToFit="false"/>
      <protection locked="true" hidden="false"/>
    </xf>
    <xf numFmtId="177" fontId="146" fillId="2" borderId="0" xfId="0" applyFont="true" applyBorder="false" applyAlignment="true" applyProtection="false">
      <alignment horizontal="general" vertical="bottom" textRotation="0" wrapText="false" indent="0" shrinkToFit="false"/>
      <protection locked="true" hidden="false"/>
    </xf>
    <xf numFmtId="177" fontId="9" fillId="2" borderId="0" xfId="0" applyFont="true" applyBorder="false" applyAlignment="true" applyProtection="false">
      <alignment horizontal="general" vertical="bottom" textRotation="0" wrapText="false" indent="0" shrinkToFit="false"/>
      <protection locked="true" hidden="false"/>
    </xf>
    <xf numFmtId="177" fontId="154" fillId="0" borderId="0" xfId="0" applyFont="true" applyBorder="false" applyAlignment="true" applyProtection="false">
      <alignment horizontal="general" vertical="bottom" textRotation="0" wrapText="false" indent="0" shrinkToFit="false"/>
      <protection locked="true" hidden="false"/>
    </xf>
    <xf numFmtId="177" fontId="34" fillId="2" borderId="0" xfId="0" applyFont="true" applyBorder="false" applyAlignment="true" applyProtection="false">
      <alignment horizontal="general" vertical="bottom" textRotation="0" wrapText="false" indent="0" shrinkToFit="false"/>
      <protection locked="true" hidden="false"/>
    </xf>
    <xf numFmtId="177" fontId="107" fillId="2" borderId="0" xfId="0" applyFont="true" applyBorder="false" applyAlignment="true" applyProtection="false">
      <alignment horizontal="general" vertical="bottom" textRotation="0" wrapText="false" indent="0" shrinkToFit="false"/>
      <protection locked="true" hidden="false"/>
    </xf>
    <xf numFmtId="177" fontId="107" fillId="2" borderId="0" xfId="0" applyFont="true" applyBorder="false" applyAlignment="true" applyProtection="false">
      <alignment horizontal="center" vertical="bottom" textRotation="0" wrapText="false" indent="0" shrinkToFit="false"/>
      <protection locked="true" hidden="false"/>
    </xf>
    <xf numFmtId="177" fontId="9" fillId="2" borderId="0" xfId="0" applyFont="true" applyBorder="false" applyAlignment="true" applyProtection="false">
      <alignment horizontal="left" vertical="bottom" textRotation="0" wrapText="false" indent="0" shrinkToFit="false"/>
      <protection locked="true" hidden="false"/>
    </xf>
    <xf numFmtId="164" fontId="134" fillId="0" borderId="0" xfId="0" applyFont="true" applyBorder="false" applyAlignment="true" applyProtection="false">
      <alignment horizontal="general" vertical="bottom" textRotation="0" wrapText="false" indent="0" shrinkToFit="false"/>
      <protection locked="true" hidden="false"/>
    </xf>
    <xf numFmtId="177" fontId="134" fillId="2" borderId="57" xfId="0" applyFont="true" applyBorder="true" applyAlignment="true" applyProtection="false">
      <alignment horizontal="general" vertical="bottom" textRotation="0" wrapText="false" indent="0" shrinkToFit="false"/>
      <protection locked="true" hidden="false"/>
    </xf>
    <xf numFmtId="167" fontId="107" fillId="15" borderId="48" xfId="0" applyFont="true" applyBorder="true" applyAlignment="true" applyProtection="false">
      <alignment horizontal="general" vertical="bottom" textRotation="0" wrapText="false" indent="0" shrinkToFit="false"/>
      <protection locked="true" hidden="false"/>
    </xf>
    <xf numFmtId="164" fontId="107" fillId="0" borderId="15" xfId="0" applyFont="true" applyBorder="true" applyAlignment="true" applyProtection="false">
      <alignment horizontal="general" vertical="bottom" textRotation="0" wrapText="false" indent="0" shrinkToFit="false"/>
      <protection locked="true" hidden="false"/>
    </xf>
    <xf numFmtId="177" fontId="107" fillId="0" borderId="15" xfId="0" applyFont="true" applyBorder="true" applyAlignment="true" applyProtection="false">
      <alignment horizontal="general" vertical="bottom" textRotation="0" wrapText="false" indent="0" shrinkToFit="false"/>
      <protection locked="true" hidden="false"/>
    </xf>
    <xf numFmtId="177" fontId="107" fillId="0" borderId="16" xfId="0" applyFont="true" applyBorder="true" applyAlignment="true" applyProtection="false">
      <alignment horizontal="general" vertical="bottom" textRotation="0" wrapText="false" indent="0" shrinkToFit="false"/>
      <protection locked="true" hidden="false"/>
    </xf>
    <xf numFmtId="177" fontId="107" fillId="0" borderId="22" xfId="0" applyFont="true" applyBorder="true" applyAlignment="true" applyProtection="false">
      <alignment horizontal="general" vertical="bottom" textRotation="0" wrapText="false" indent="0" shrinkToFit="false"/>
      <protection locked="true" hidden="false"/>
    </xf>
    <xf numFmtId="164" fontId="107" fillId="0" borderId="16" xfId="0" applyFont="true" applyBorder="true" applyAlignment="true" applyProtection="false">
      <alignment horizontal="general" vertical="bottom" textRotation="0" wrapText="false" indent="0" shrinkToFit="false"/>
      <protection locked="true" hidden="false"/>
    </xf>
    <xf numFmtId="164" fontId="107" fillId="0" borderId="22" xfId="0" applyFont="true" applyBorder="true" applyAlignment="true" applyProtection="false">
      <alignment horizontal="general" vertical="bottom" textRotation="0" wrapText="false" indent="0" shrinkToFit="false"/>
      <protection locked="true" hidden="false"/>
    </xf>
    <xf numFmtId="164" fontId="107" fillId="2" borderId="15" xfId="0" applyFont="true" applyBorder="true" applyAlignment="true" applyProtection="false">
      <alignment horizontal="general" vertical="bottom" textRotation="0" wrapText="false" indent="0" shrinkToFit="false"/>
      <protection locked="true" hidden="false"/>
    </xf>
    <xf numFmtId="177" fontId="134" fillId="2" borderId="49" xfId="0" applyFont="true" applyBorder="true" applyAlignment="true" applyProtection="false">
      <alignment horizontal="general" vertical="bottom" textRotation="0" wrapText="false" indent="0" shrinkToFit="false"/>
      <protection locked="true" hidden="false"/>
    </xf>
    <xf numFmtId="167" fontId="107" fillId="15" borderId="13" xfId="0" applyFont="true" applyBorder="true" applyAlignment="true" applyProtection="false">
      <alignment horizontal="general" vertical="bottom" textRotation="0" wrapText="false" indent="0" shrinkToFit="false"/>
      <protection locked="true" hidden="false"/>
    </xf>
    <xf numFmtId="177" fontId="107" fillId="0" borderId="18" xfId="0" applyFont="true" applyBorder="true" applyAlignment="true" applyProtection="false">
      <alignment horizontal="general" vertical="bottom" textRotation="0" wrapText="false" indent="0" shrinkToFit="false"/>
      <protection locked="true" hidden="false"/>
    </xf>
    <xf numFmtId="177" fontId="107" fillId="0" borderId="23" xfId="0" applyFont="true" applyBorder="true" applyAlignment="true" applyProtection="false">
      <alignment horizontal="general" vertical="bottom" textRotation="0" wrapText="false" indent="0" shrinkToFit="false"/>
      <protection locked="true" hidden="false"/>
    </xf>
    <xf numFmtId="164" fontId="107" fillId="0" borderId="18" xfId="0" applyFont="true" applyBorder="true" applyAlignment="true" applyProtection="false">
      <alignment horizontal="general" vertical="bottom" textRotation="0" wrapText="false" indent="0" shrinkToFit="false"/>
      <protection locked="true" hidden="false"/>
    </xf>
    <xf numFmtId="164" fontId="107" fillId="0" borderId="23" xfId="0" applyFont="true" applyBorder="true" applyAlignment="true" applyProtection="false">
      <alignment horizontal="general" vertical="bottom" textRotation="0" wrapText="false" indent="0" shrinkToFit="false"/>
      <protection locked="true" hidden="false"/>
    </xf>
    <xf numFmtId="164" fontId="107" fillId="2" borderId="0" xfId="0" applyFont="true" applyBorder="false" applyAlignment="true" applyProtection="false">
      <alignment horizontal="general" vertical="bottom" textRotation="0" wrapText="false" indent="0" shrinkToFit="false"/>
      <protection locked="true" hidden="false"/>
    </xf>
    <xf numFmtId="177" fontId="134" fillId="0" borderId="23" xfId="0" applyFont="true" applyBorder="true" applyAlignment="true" applyProtection="false">
      <alignment horizontal="general" vertical="bottom" textRotation="0" wrapText="false" indent="0" shrinkToFit="false"/>
      <protection locked="true" hidden="false"/>
    </xf>
    <xf numFmtId="177" fontId="134" fillId="15" borderId="22" xfId="0" applyFont="true" applyBorder="true" applyAlignment="true" applyProtection="false">
      <alignment horizontal="center" vertical="bottom" textRotation="0" wrapText="false" indent="0" shrinkToFit="false"/>
      <protection locked="true" hidden="false"/>
    </xf>
    <xf numFmtId="164" fontId="107" fillId="15" borderId="16" xfId="0" applyFont="true" applyBorder="true" applyAlignment="true" applyProtection="false">
      <alignment horizontal="general" vertical="bottom" textRotation="0" wrapText="false" indent="0" shrinkToFit="false"/>
      <protection locked="true" hidden="false"/>
    </xf>
    <xf numFmtId="177" fontId="134" fillId="0" borderId="40" xfId="0" applyFont="true" applyBorder="true" applyAlignment="true" applyProtection="false">
      <alignment horizontal="general" vertical="bottom" textRotation="0" wrapText="false" indent="0" shrinkToFit="false"/>
      <protection locked="true" hidden="false"/>
    </xf>
    <xf numFmtId="177" fontId="134" fillId="0" borderId="46" xfId="0" applyFont="true" applyBorder="true" applyAlignment="true" applyProtection="false">
      <alignment horizontal="general" vertical="bottom" textRotation="0" wrapText="false" indent="0" shrinkToFit="false"/>
      <protection locked="true" hidden="false"/>
    </xf>
    <xf numFmtId="177" fontId="134" fillId="0" borderId="47" xfId="0" applyFont="true" applyBorder="true" applyAlignment="true" applyProtection="false">
      <alignment horizontal="general" vertical="bottom" textRotation="0" wrapText="false" indent="0" shrinkToFit="false"/>
      <protection locked="true" hidden="false"/>
    </xf>
    <xf numFmtId="164" fontId="107" fillId="0" borderId="46" xfId="0" applyFont="true" applyBorder="true" applyAlignment="true" applyProtection="false">
      <alignment horizontal="general" vertical="bottom" textRotation="0" wrapText="false" indent="0" shrinkToFit="false"/>
      <protection locked="true" hidden="false"/>
    </xf>
    <xf numFmtId="164" fontId="107" fillId="0" borderId="47" xfId="0" applyFont="true" applyBorder="true" applyAlignment="true" applyProtection="false">
      <alignment horizontal="general" vertical="bottom" textRotation="0" wrapText="false" indent="0" shrinkToFit="false"/>
      <protection locked="true" hidden="false"/>
    </xf>
    <xf numFmtId="164" fontId="107" fillId="0" borderId="40" xfId="0" applyFont="true" applyBorder="true" applyAlignment="true" applyProtection="false">
      <alignment horizontal="general" vertical="bottom" textRotation="0" wrapText="false" indent="0" shrinkToFit="false"/>
      <protection locked="true" hidden="false"/>
    </xf>
    <xf numFmtId="164" fontId="134" fillId="0" borderId="40" xfId="0" applyFont="true" applyBorder="true" applyAlignment="true" applyProtection="false">
      <alignment horizontal="center" vertical="bottom" textRotation="0" wrapText="false" indent="0" shrinkToFit="false"/>
      <protection locked="true" hidden="false"/>
    </xf>
    <xf numFmtId="164" fontId="134" fillId="2" borderId="46" xfId="0" applyFont="true" applyBorder="true" applyAlignment="true" applyProtection="false">
      <alignment horizontal="center" vertical="bottom" textRotation="0" wrapText="false" indent="0" shrinkToFit="false"/>
      <protection locked="true" hidden="false"/>
    </xf>
    <xf numFmtId="164" fontId="134" fillId="2" borderId="47" xfId="0" applyFont="true" applyBorder="true" applyAlignment="true" applyProtection="false">
      <alignment horizontal="center" vertical="bottom" textRotation="0" wrapText="false" indent="0" shrinkToFit="false"/>
      <protection locked="true" hidden="false"/>
    </xf>
    <xf numFmtId="177" fontId="134" fillId="15" borderId="32" xfId="0" applyFont="true" applyBorder="true" applyAlignment="true" applyProtection="false">
      <alignment horizontal="center" vertical="bottom" textRotation="0" wrapText="false" indent="0" shrinkToFit="false"/>
      <protection locked="true" hidden="false"/>
    </xf>
    <xf numFmtId="168" fontId="134" fillId="0" borderId="23" xfId="0" applyFont="true" applyBorder="true" applyAlignment="true" applyProtection="false">
      <alignment horizontal="general" vertical="bottom" textRotation="0" wrapText="false" indent="0" shrinkToFit="false"/>
      <protection locked="true" hidden="false"/>
    </xf>
    <xf numFmtId="168" fontId="107" fillId="2" borderId="22" xfId="0" applyFont="true" applyBorder="true" applyAlignment="true" applyProtection="false">
      <alignment horizontal="general" vertical="bottom" textRotation="0" wrapText="false" indent="0" shrinkToFit="false"/>
      <protection locked="true" hidden="false"/>
    </xf>
    <xf numFmtId="168" fontId="107" fillId="2" borderId="15" xfId="0" applyFont="true" applyBorder="true" applyAlignment="true" applyProtection="false">
      <alignment horizontal="general" vertical="bottom" textRotation="0" wrapText="false" indent="0" shrinkToFit="false"/>
      <protection locked="true" hidden="false"/>
    </xf>
    <xf numFmtId="168" fontId="107" fillId="2" borderId="16" xfId="0" applyFont="true" applyBorder="true" applyAlignment="true" applyProtection="false">
      <alignment horizontal="general" vertical="bottom" textRotation="0" wrapText="false" indent="0" shrinkToFit="false"/>
      <protection locked="true" hidden="false"/>
    </xf>
    <xf numFmtId="168" fontId="107" fillId="43" borderId="22" xfId="0" applyFont="true" applyBorder="true" applyAlignment="true" applyProtection="false">
      <alignment horizontal="general" vertical="bottom" textRotation="0" wrapText="false" indent="0" shrinkToFit="false"/>
      <protection locked="true" hidden="false"/>
    </xf>
    <xf numFmtId="168" fontId="107" fillId="43" borderId="15" xfId="0" applyFont="true" applyBorder="true" applyAlignment="true" applyProtection="false">
      <alignment horizontal="general" vertical="bottom" textRotation="0" wrapText="false" indent="0" shrinkToFit="false"/>
      <protection locked="true" hidden="false"/>
    </xf>
    <xf numFmtId="168" fontId="107" fillId="43" borderId="16" xfId="0" applyFont="true" applyBorder="true" applyAlignment="true" applyProtection="false">
      <alignment horizontal="general" vertical="bottom" textRotation="0" wrapText="false" indent="0" shrinkToFit="false"/>
      <protection locked="true" hidden="false"/>
    </xf>
    <xf numFmtId="168" fontId="107" fillId="44" borderId="22" xfId="0" applyFont="true" applyBorder="true" applyAlignment="true" applyProtection="false">
      <alignment horizontal="general" vertical="bottom" textRotation="0" wrapText="false" indent="0" shrinkToFit="false"/>
      <protection locked="true" hidden="false"/>
    </xf>
    <xf numFmtId="168" fontId="107" fillId="44" borderId="15" xfId="0" applyFont="true" applyBorder="true" applyAlignment="true" applyProtection="false">
      <alignment horizontal="general" vertical="bottom" textRotation="0" wrapText="false" indent="0" shrinkToFit="false"/>
      <protection locked="true" hidden="false"/>
    </xf>
    <xf numFmtId="168" fontId="107" fillId="44" borderId="16" xfId="0" applyFont="true" applyBorder="true" applyAlignment="true" applyProtection="false">
      <alignment horizontal="general" vertical="bottom" textRotation="0" wrapText="false" indent="0" shrinkToFit="false"/>
      <protection locked="true" hidden="false"/>
    </xf>
    <xf numFmtId="168" fontId="107" fillId="5" borderId="22" xfId="0" applyFont="true" applyBorder="true" applyAlignment="true" applyProtection="false">
      <alignment horizontal="general" vertical="bottom" textRotation="0" wrapText="false" indent="0" shrinkToFit="false"/>
      <protection locked="true" hidden="false"/>
    </xf>
    <xf numFmtId="168" fontId="107" fillId="5" borderId="15" xfId="0" applyFont="true" applyBorder="true" applyAlignment="true" applyProtection="false">
      <alignment horizontal="general" vertical="bottom" textRotation="0" wrapText="false" indent="0" shrinkToFit="false"/>
      <protection locked="true" hidden="false"/>
    </xf>
    <xf numFmtId="168" fontId="107" fillId="5" borderId="16" xfId="0" applyFont="true" applyBorder="true" applyAlignment="true" applyProtection="false">
      <alignment horizontal="general" vertical="bottom" textRotation="0" wrapText="false" indent="0" shrinkToFit="false"/>
      <protection locked="true" hidden="false"/>
    </xf>
    <xf numFmtId="168" fontId="107" fillId="12" borderId="22" xfId="0" applyFont="true" applyBorder="true" applyAlignment="true" applyProtection="false">
      <alignment horizontal="general" vertical="bottom" textRotation="0" wrapText="false" indent="0" shrinkToFit="false"/>
      <protection locked="true" hidden="false"/>
    </xf>
    <xf numFmtId="168" fontId="107" fillId="12" borderId="15" xfId="0" applyFont="true" applyBorder="true" applyAlignment="true" applyProtection="false">
      <alignment horizontal="general" vertical="bottom" textRotation="0" wrapText="false" indent="0" shrinkToFit="false"/>
      <protection locked="true" hidden="false"/>
    </xf>
    <xf numFmtId="168" fontId="107" fillId="2" borderId="32" xfId="0" applyFont="true" applyBorder="true" applyAlignment="true" applyProtection="false">
      <alignment horizontal="general" vertical="bottom" textRotation="0" wrapText="false" indent="0" shrinkToFit="false"/>
      <protection locked="true" hidden="false"/>
    </xf>
    <xf numFmtId="168" fontId="134" fillId="0" borderId="31" xfId="0" applyFont="true" applyBorder="true" applyAlignment="true" applyProtection="false">
      <alignment horizontal="general" vertical="bottom" textRotation="0" wrapText="false" indent="0" shrinkToFit="false"/>
      <protection locked="true" hidden="false"/>
    </xf>
    <xf numFmtId="168" fontId="107" fillId="2" borderId="23" xfId="0" applyFont="true" applyBorder="true" applyAlignment="true" applyProtection="false">
      <alignment horizontal="general" vertical="bottom" textRotation="0" wrapText="false" indent="0" shrinkToFit="false"/>
      <protection locked="true" hidden="false"/>
    </xf>
    <xf numFmtId="168" fontId="107" fillId="2" borderId="0" xfId="0" applyFont="true" applyBorder="false" applyAlignment="true" applyProtection="false">
      <alignment horizontal="general" vertical="bottom" textRotation="0" wrapText="false" indent="0" shrinkToFit="false"/>
      <protection locked="true" hidden="false"/>
    </xf>
    <xf numFmtId="168" fontId="107" fillId="2" borderId="18" xfId="0" applyFont="true" applyBorder="true" applyAlignment="true" applyProtection="false">
      <alignment horizontal="general" vertical="bottom" textRotation="0" wrapText="false" indent="0" shrinkToFit="false"/>
      <protection locked="true" hidden="false"/>
    </xf>
    <xf numFmtId="168" fontId="107" fillId="43" borderId="23" xfId="0" applyFont="true" applyBorder="true" applyAlignment="true" applyProtection="false">
      <alignment horizontal="general" vertical="bottom" textRotation="0" wrapText="false" indent="0" shrinkToFit="false"/>
      <protection locked="true" hidden="false"/>
    </xf>
    <xf numFmtId="168" fontId="107" fillId="43" borderId="0" xfId="0" applyFont="true" applyBorder="false" applyAlignment="true" applyProtection="false">
      <alignment horizontal="general" vertical="bottom" textRotation="0" wrapText="false" indent="0" shrinkToFit="false"/>
      <protection locked="true" hidden="false"/>
    </xf>
    <xf numFmtId="168" fontId="107" fillId="43" borderId="18" xfId="0" applyFont="true" applyBorder="true" applyAlignment="true" applyProtection="false">
      <alignment horizontal="general" vertical="bottom" textRotation="0" wrapText="false" indent="0" shrinkToFit="false"/>
      <protection locked="true" hidden="false"/>
    </xf>
    <xf numFmtId="168" fontId="107" fillId="44" borderId="23" xfId="0" applyFont="true" applyBorder="true" applyAlignment="true" applyProtection="false">
      <alignment horizontal="general" vertical="bottom" textRotation="0" wrapText="false" indent="0" shrinkToFit="false"/>
      <protection locked="true" hidden="false"/>
    </xf>
    <xf numFmtId="168" fontId="107" fillId="44" borderId="0" xfId="0" applyFont="true" applyBorder="false" applyAlignment="true" applyProtection="false">
      <alignment horizontal="general" vertical="bottom" textRotation="0" wrapText="false" indent="0" shrinkToFit="false"/>
      <protection locked="true" hidden="false"/>
    </xf>
    <xf numFmtId="168" fontId="107" fillId="44" borderId="18" xfId="0" applyFont="true" applyBorder="true" applyAlignment="true" applyProtection="false">
      <alignment horizontal="general" vertical="bottom" textRotation="0" wrapText="false" indent="0" shrinkToFit="false"/>
      <protection locked="true" hidden="false"/>
    </xf>
    <xf numFmtId="168" fontId="107" fillId="5" borderId="23" xfId="0" applyFont="true" applyBorder="true" applyAlignment="true" applyProtection="false">
      <alignment horizontal="general" vertical="bottom" textRotation="0" wrapText="false" indent="0" shrinkToFit="false"/>
      <protection locked="true" hidden="false"/>
    </xf>
    <xf numFmtId="168" fontId="107" fillId="5" borderId="0" xfId="0" applyFont="true" applyBorder="false" applyAlignment="true" applyProtection="false">
      <alignment horizontal="general" vertical="bottom" textRotation="0" wrapText="false" indent="0" shrinkToFit="false"/>
      <protection locked="true" hidden="false"/>
    </xf>
    <xf numFmtId="168" fontId="107" fillId="5" borderId="18" xfId="0" applyFont="true" applyBorder="true" applyAlignment="true" applyProtection="false">
      <alignment horizontal="general" vertical="bottom" textRotation="0" wrapText="false" indent="0" shrinkToFit="false"/>
      <protection locked="true" hidden="false"/>
    </xf>
    <xf numFmtId="168" fontId="107" fillId="12" borderId="23" xfId="0" applyFont="true" applyBorder="true" applyAlignment="true" applyProtection="false">
      <alignment horizontal="general" vertical="bottom" textRotation="0" wrapText="false" indent="0" shrinkToFit="false"/>
      <protection locked="true" hidden="false"/>
    </xf>
    <xf numFmtId="168" fontId="107" fillId="12" borderId="0" xfId="0" applyFont="true" applyBorder="false" applyAlignment="true" applyProtection="false">
      <alignment horizontal="general" vertical="bottom" textRotation="0" wrapText="false" indent="0" shrinkToFit="false"/>
      <protection locked="true" hidden="false"/>
    </xf>
    <xf numFmtId="168" fontId="107" fillId="2" borderId="31" xfId="0" applyFont="true" applyBorder="true" applyAlignment="true" applyProtection="false">
      <alignment horizontal="general" vertical="bottom" textRotation="0" wrapText="false" indent="0" shrinkToFit="false"/>
      <protection locked="true" hidden="false"/>
    </xf>
    <xf numFmtId="179" fontId="134" fillId="0" borderId="23" xfId="0" applyFont="true" applyBorder="true" applyAlignment="true" applyProtection="false">
      <alignment horizontal="general" vertical="bottom" textRotation="0" wrapText="false" indent="0" shrinkToFit="false"/>
      <protection locked="true" hidden="false"/>
    </xf>
    <xf numFmtId="179" fontId="107" fillId="2" borderId="23" xfId="0" applyFont="true" applyBorder="true" applyAlignment="true" applyProtection="false">
      <alignment horizontal="general" vertical="bottom" textRotation="0" wrapText="false" indent="0" shrinkToFit="false"/>
      <protection locked="true" hidden="false"/>
    </xf>
    <xf numFmtId="179" fontId="107" fillId="2" borderId="0" xfId="0" applyFont="true" applyBorder="false" applyAlignment="true" applyProtection="false">
      <alignment horizontal="general" vertical="bottom" textRotation="0" wrapText="false" indent="0" shrinkToFit="false"/>
      <protection locked="true" hidden="false"/>
    </xf>
    <xf numFmtId="179" fontId="107" fillId="2" borderId="18" xfId="0" applyFont="true" applyBorder="true" applyAlignment="true" applyProtection="false">
      <alignment horizontal="general" vertical="bottom" textRotation="0" wrapText="false" indent="0" shrinkToFit="false"/>
      <protection locked="true" hidden="false"/>
    </xf>
    <xf numFmtId="179" fontId="107" fillId="43" borderId="23" xfId="0" applyFont="true" applyBorder="true" applyAlignment="true" applyProtection="false">
      <alignment horizontal="general" vertical="bottom" textRotation="0" wrapText="false" indent="0" shrinkToFit="false"/>
      <protection locked="true" hidden="false"/>
    </xf>
    <xf numFmtId="179" fontId="107" fillId="43" borderId="0" xfId="0" applyFont="true" applyBorder="false" applyAlignment="true" applyProtection="false">
      <alignment horizontal="general" vertical="bottom" textRotation="0" wrapText="false" indent="0" shrinkToFit="false"/>
      <protection locked="true" hidden="false"/>
    </xf>
    <xf numFmtId="179" fontId="107" fillId="43" borderId="18" xfId="0" applyFont="true" applyBorder="true" applyAlignment="true" applyProtection="false">
      <alignment horizontal="general" vertical="bottom" textRotation="0" wrapText="false" indent="0" shrinkToFit="false"/>
      <protection locked="true" hidden="false"/>
    </xf>
    <xf numFmtId="179" fontId="107" fillId="44" borderId="23" xfId="0" applyFont="true" applyBorder="true" applyAlignment="true" applyProtection="false">
      <alignment horizontal="general" vertical="bottom" textRotation="0" wrapText="false" indent="0" shrinkToFit="false"/>
      <protection locked="true" hidden="false"/>
    </xf>
    <xf numFmtId="179" fontId="107" fillId="44" borderId="0" xfId="0" applyFont="true" applyBorder="false" applyAlignment="true" applyProtection="false">
      <alignment horizontal="general" vertical="bottom" textRotation="0" wrapText="false" indent="0" shrinkToFit="false"/>
      <protection locked="true" hidden="false"/>
    </xf>
    <xf numFmtId="179" fontId="107" fillId="44" borderId="18" xfId="0" applyFont="true" applyBorder="true" applyAlignment="true" applyProtection="false">
      <alignment horizontal="general" vertical="bottom" textRotation="0" wrapText="false" indent="0" shrinkToFit="false"/>
      <protection locked="true" hidden="false"/>
    </xf>
    <xf numFmtId="179" fontId="107" fillId="5" borderId="23" xfId="0" applyFont="true" applyBorder="true" applyAlignment="true" applyProtection="false">
      <alignment horizontal="general" vertical="bottom" textRotation="0" wrapText="false" indent="0" shrinkToFit="false"/>
      <protection locked="true" hidden="false"/>
    </xf>
    <xf numFmtId="179" fontId="107" fillId="5" borderId="0" xfId="0" applyFont="true" applyBorder="false" applyAlignment="true" applyProtection="false">
      <alignment horizontal="general" vertical="bottom" textRotation="0" wrapText="false" indent="0" shrinkToFit="false"/>
      <protection locked="true" hidden="false"/>
    </xf>
    <xf numFmtId="179" fontId="107" fillId="5" borderId="18" xfId="0" applyFont="true" applyBorder="true" applyAlignment="true" applyProtection="false">
      <alignment horizontal="general" vertical="bottom" textRotation="0" wrapText="false" indent="0" shrinkToFit="false"/>
      <protection locked="true" hidden="false"/>
    </xf>
    <xf numFmtId="179" fontId="107" fillId="12" borderId="23" xfId="0" applyFont="true" applyBorder="true" applyAlignment="true" applyProtection="false">
      <alignment horizontal="general" vertical="bottom" textRotation="0" wrapText="false" indent="0" shrinkToFit="false"/>
      <protection locked="true" hidden="false"/>
    </xf>
    <xf numFmtId="179" fontId="107" fillId="12" borderId="0" xfId="0" applyFont="true" applyBorder="false" applyAlignment="true" applyProtection="false">
      <alignment horizontal="general" vertical="bottom" textRotation="0" wrapText="false" indent="0" shrinkToFit="false"/>
      <protection locked="true" hidden="false"/>
    </xf>
    <xf numFmtId="179" fontId="107" fillId="2" borderId="31" xfId="0" applyFont="true" applyBorder="true" applyAlignment="true" applyProtection="false">
      <alignment horizontal="general" vertical="bottom" textRotation="0" wrapText="false" indent="0" shrinkToFit="false"/>
      <protection locked="true" hidden="false"/>
    </xf>
    <xf numFmtId="179" fontId="134" fillId="0" borderId="31" xfId="0" applyFont="true" applyBorder="true" applyAlignment="true" applyProtection="false">
      <alignment horizontal="general" vertical="bottom" textRotation="0" wrapText="false" indent="0" shrinkToFit="false"/>
      <protection locked="true" hidden="false"/>
    </xf>
    <xf numFmtId="168" fontId="134" fillId="0" borderId="21" xfId="0" applyFont="true" applyBorder="true" applyAlignment="true" applyProtection="false">
      <alignment horizontal="general" vertical="bottom" textRotation="0" wrapText="false" indent="0" shrinkToFit="false"/>
      <protection locked="true" hidden="false"/>
    </xf>
    <xf numFmtId="164" fontId="107" fillId="0" borderId="20" xfId="0" applyFont="true" applyBorder="true" applyAlignment="true" applyProtection="false">
      <alignment horizontal="general" vertical="bottom" textRotation="0" wrapText="false" indent="0" shrinkToFit="false"/>
      <protection locked="true" hidden="false"/>
    </xf>
    <xf numFmtId="168" fontId="107" fillId="2" borderId="21" xfId="0" applyFont="true" applyBorder="true" applyAlignment="true" applyProtection="false">
      <alignment horizontal="general" vertical="bottom" textRotation="0" wrapText="false" indent="0" shrinkToFit="false"/>
      <protection locked="true" hidden="false"/>
    </xf>
    <xf numFmtId="168" fontId="107" fillId="2" borderId="11" xfId="0" applyFont="true" applyBorder="true" applyAlignment="true" applyProtection="false">
      <alignment horizontal="general" vertical="bottom" textRotation="0" wrapText="false" indent="0" shrinkToFit="false"/>
      <protection locked="true" hidden="false"/>
    </xf>
    <xf numFmtId="168" fontId="107" fillId="2" borderId="20" xfId="0" applyFont="true" applyBorder="true" applyAlignment="true" applyProtection="false">
      <alignment horizontal="general" vertical="bottom" textRotation="0" wrapText="false" indent="0" shrinkToFit="false"/>
      <protection locked="true" hidden="false"/>
    </xf>
    <xf numFmtId="168" fontId="107" fillId="43" borderId="21" xfId="0" applyFont="true" applyBorder="true" applyAlignment="true" applyProtection="false">
      <alignment horizontal="general" vertical="bottom" textRotation="0" wrapText="false" indent="0" shrinkToFit="false"/>
      <protection locked="true" hidden="false"/>
    </xf>
    <xf numFmtId="168" fontId="107" fillId="43" borderId="11" xfId="0" applyFont="true" applyBorder="true" applyAlignment="true" applyProtection="false">
      <alignment horizontal="general" vertical="bottom" textRotation="0" wrapText="false" indent="0" shrinkToFit="false"/>
      <protection locked="true" hidden="false"/>
    </xf>
    <xf numFmtId="168" fontId="107" fillId="43" borderId="20" xfId="0" applyFont="true" applyBorder="true" applyAlignment="true" applyProtection="false">
      <alignment horizontal="general" vertical="bottom" textRotation="0" wrapText="false" indent="0" shrinkToFit="false"/>
      <protection locked="true" hidden="false"/>
    </xf>
    <xf numFmtId="168" fontId="107" fillId="44" borderId="21" xfId="0" applyFont="true" applyBorder="true" applyAlignment="true" applyProtection="false">
      <alignment horizontal="general" vertical="bottom" textRotation="0" wrapText="false" indent="0" shrinkToFit="false"/>
      <protection locked="true" hidden="false"/>
    </xf>
    <xf numFmtId="168" fontId="107" fillId="44" borderId="11" xfId="0" applyFont="true" applyBorder="true" applyAlignment="true" applyProtection="false">
      <alignment horizontal="general" vertical="bottom" textRotation="0" wrapText="false" indent="0" shrinkToFit="false"/>
      <protection locked="true" hidden="false"/>
    </xf>
    <xf numFmtId="168" fontId="107" fillId="44" borderId="20" xfId="0" applyFont="true" applyBorder="true" applyAlignment="true" applyProtection="false">
      <alignment horizontal="general" vertical="bottom" textRotation="0" wrapText="false" indent="0" shrinkToFit="false"/>
      <protection locked="true" hidden="false"/>
    </xf>
    <xf numFmtId="168" fontId="107" fillId="5" borderId="21" xfId="0" applyFont="true" applyBorder="true" applyAlignment="true" applyProtection="false">
      <alignment horizontal="general" vertical="bottom" textRotation="0" wrapText="false" indent="0" shrinkToFit="false"/>
      <protection locked="true" hidden="false"/>
    </xf>
    <xf numFmtId="168" fontId="107" fillId="5" borderId="11" xfId="0" applyFont="true" applyBorder="true" applyAlignment="true" applyProtection="false">
      <alignment horizontal="general" vertical="bottom" textRotation="0" wrapText="false" indent="0" shrinkToFit="false"/>
      <protection locked="true" hidden="false"/>
    </xf>
    <xf numFmtId="168" fontId="107" fillId="5" borderId="20" xfId="0" applyFont="true" applyBorder="true" applyAlignment="true" applyProtection="false">
      <alignment horizontal="general" vertical="bottom" textRotation="0" wrapText="false" indent="0" shrinkToFit="false"/>
      <protection locked="true" hidden="false"/>
    </xf>
    <xf numFmtId="168" fontId="107" fillId="12" borderId="21" xfId="0" applyFont="true" applyBorder="true" applyAlignment="true" applyProtection="false">
      <alignment horizontal="general" vertical="bottom" textRotation="0" wrapText="false" indent="0" shrinkToFit="false"/>
      <protection locked="true" hidden="false"/>
    </xf>
    <xf numFmtId="168" fontId="107" fillId="12" borderId="11" xfId="0" applyFont="true" applyBorder="true" applyAlignment="true" applyProtection="false">
      <alignment horizontal="general" vertical="bottom" textRotation="0" wrapText="false" indent="0" shrinkToFit="false"/>
      <protection locked="true" hidden="false"/>
    </xf>
    <xf numFmtId="168" fontId="107" fillId="2" borderId="37" xfId="0" applyFont="true" applyBorder="true" applyAlignment="true" applyProtection="false">
      <alignment horizontal="general" vertical="bottom" textRotation="0" wrapText="false" indent="0" shrinkToFit="false"/>
      <protection locked="true" hidden="false"/>
    </xf>
    <xf numFmtId="168" fontId="134" fillId="0" borderId="37" xfId="0" applyFont="true" applyBorder="true" applyAlignment="true" applyProtection="false">
      <alignment horizontal="general" vertical="bottom" textRotation="0" wrapText="false" indent="0" shrinkToFit="false"/>
      <protection locked="true" hidden="false"/>
    </xf>
    <xf numFmtId="177" fontId="134" fillId="0" borderId="18" xfId="0" applyFont="true" applyBorder="true" applyAlignment="true" applyProtection="false">
      <alignment horizontal="general" vertical="bottom" textRotation="0" wrapText="false" indent="0" shrinkToFit="false"/>
      <protection locked="true" hidden="false"/>
    </xf>
    <xf numFmtId="177" fontId="134" fillId="0" borderId="0" xfId="0" applyFont="true" applyBorder="true" applyAlignment="true" applyProtection="false">
      <alignment horizontal="general" vertical="bottom" textRotation="0" wrapText="false" indent="0" shrinkToFit="false"/>
      <protection locked="true" hidden="false"/>
    </xf>
    <xf numFmtId="164" fontId="134" fillId="15" borderId="16" xfId="0" applyFont="true" applyBorder="true" applyAlignment="true" applyProtection="false">
      <alignment horizontal="general" vertical="bottom" textRotation="0" wrapText="false" indent="0" shrinkToFit="false"/>
      <protection locked="true" hidden="false"/>
    </xf>
    <xf numFmtId="177" fontId="134" fillId="2" borderId="40" xfId="0" applyFont="true" applyBorder="true" applyAlignment="true" applyProtection="false">
      <alignment horizontal="general" vertical="bottom" textRotation="0" wrapText="false" indent="0" shrinkToFit="false"/>
      <protection locked="true" hidden="false"/>
    </xf>
    <xf numFmtId="177" fontId="134" fillId="2" borderId="46" xfId="0" applyFont="true" applyBorder="true" applyAlignment="true" applyProtection="false">
      <alignment horizontal="general" vertical="bottom" textRotation="0" wrapText="false" indent="0" shrinkToFit="false"/>
      <protection locked="true" hidden="false"/>
    </xf>
    <xf numFmtId="177" fontId="134" fillId="2" borderId="47" xfId="0" applyFont="true" applyBorder="true" applyAlignment="true" applyProtection="false">
      <alignment horizontal="general" vertical="bottom" textRotation="0" wrapText="false" indent="0" shrinkToFit="false"/>
      <protection locked="true" hidden="false"/>
    </xf>
    <xf numFmtId="164" fontId="134" fillId="0" borderId="46" xfId="0" applyFont="true" applyBorder="true" applyAlignment="true" applyProtection="false">
      <alignment horizontal="general" vertical="bottom" textRotation="0" wrapText="false" indent="0" shrinkToFit="false"/>
      <protection locked="true" hidden="false"/>
    </xf>
    <xf numFmtId="164" fontId="134" fillId="0" borderId="47" xfId="0" applyFont="true" applyBorder="true" applyAlignment="true" applyProtection="false">
      <alignment horizontal="general" vertical="bottom" textRotation="0" wrapText="false" indent="0" shrinkToFit="false"/>
      <protection locked="true" hidden="false"/>
    </xf>
    <xf numFmtId="164" fontId="134" fillId="0" borderId="40" xfId="0" applyFont="true" applyBorder="true" applyAlignment="true" applyProtection="false">
      <alignment horizontal="general" vertical="bottom" textRotation="0" wrapText="false" indent="0" shrinkToFit="false"/>
      <protection locked="true" hidden="false"/>
    </xf>
    <xf numFmtId="164" fontId="134" fillId="0" borderId="46" xfId="0" applyFont="true" applyBorder="true" applyAlignment="true" applyProtection="false">
      <alignment horizontal="center" vertical="bottom" textRotation="0" wrapText="false" indent="0" shrinkToFit="false"/>
      <protection locked="true" hidden="false"/>
    </xf>
    <xf numFmtId="164" fontId="134" fillId="0" borderId="47" xfId="0" applyFont="true" applyBorder="true" applyAlignment="true" applyProtection="false">
      <alignment horizontal="center" vertical="bottom" textRotation="0" wrapText="false" indent="0" shrinkToFit="false"/>
      <protection locked="true" hidden="false"/>
    </xf>
    <xf numFmtId="164" fontId="107" fillId="2" borderId="23" xfId="0" applyFont="true" applyBorder="true" applyAlignment="true" applyProtection="false">
      <alignment horizontal="general" vertical="bottom" textRotation="0" wrapText="false" indent="0" shrinkToFit="false"/>
      <protection locked="true" hidden="false"/>
    </xf>
    <xf numFmtId="168" fontId="134" fillId="2" borderId="21" xfId="0" applyFont="true" applyBorder="true" applyAlignment="true" applyProtection="false">
      <alignment horizontal="general" vertical="bottom" textRotation="0" wrapText="false" indent="0" shrinkToFit="false"/>
      <protection locked="true" hidden="false"/>
    </xf>
    <xf numFmtId="168" fontId="134" fillId="2" borderId="11" xfId="0" applyFont="true" applyBorder="true" applyAlignment="true" applyProtection="false">
      <alignment horizontal="general" vertical="bottom" textRotation="0" wrapText="false" indent="0" shrinkToFit="false"/>
      <protection locked="true" hidden="false"/>
    </xf>
    <xf numFmtId="177" fontId="134" fillId="0" borderId="20" xfId="0" applyFont="true" applyBorder="true" applyAlignment="true" applyProtection="false">
      <alignment horizontal="general" vertical="bottom" textRotation="0" wrapText="false" indent="0" shrinkToFit="false"/>
      <protection locked="true" hidden="false"/>
    </xf>
    <xf numFmtId="164" fontId="130" fillId="2" borderId="0" xfId="0" applyFont="true" applyBorder="false" applyAlignment="true" applyProtection="false">
      <alignment horizontal="left" vertical="bottom" textRotation="0" wrapText="false" indent="0" shrinkToFit="false"/>
      <protection locked="true" hidden="false"/>
    </xf>
    <xf numFmtId="177" fontId="132" fillId="28" borderId="15" xfId="0" applyFont="true" applyBorder="true" applyAlignment="true" applyProtection="false">
      <alignment horizontal="right" vertical="center" textRotation="90" wrapText="false" indent="0" shrinkToFit="false"/>
      <protection locked="true" hidden="false"/>
    </xf>
    <xf numFmtId="177" fontId="107" fillId="0" borderId="72" xfId="0" applyFont="true" applyBorder="true" applyAlignment="true" applyProtection="false">
      <alignment horizontal="general" vertical="bottom" textRotation="0" wrapText="false" indent="0" shrinkToFit="false"/>
      <protection locked="true" hidden="false"/>
    </xf>
    <xf numFmtId="177" fontId="134" fillId="45" borderId="72" xfId="0" applyFont="true" applyBorder="true" applyAlignment="true" applyProtection="false">
      <alignment horizontal="center" vertical="bottom" textRotation="0" wrapText="true" indent="0" shrinkToFit="false"/>
      <protection locked="true" hidden="false"/>
    </xf>
    <xf numFmtId="177" fontId="134" fillId="2" borderId="72" xfId="0" applyFont="true" applyBorder="true" applyAlignment="true" applyProtection="false">
      <alignment horizontal="center" vertical="bottom" textRotation="0" wrapText="true" indent="0" shrinkToFit="false"/>
      <protection locked="true" hidden="false"/>
    </xf>
    <xf numFmtId="177" fontId="134" fillId="2" borderId="71" xfId="0" applyFont="true" applyBorder="true" applyAlignment="true" applyProtection="false">
      <alignment horizontal="center" vertical="bottom" textRotation="0" wrapText="true" indent="0" shrinkToFit="false"/>
      <protection locked="true" hidden="false"/>
    </xf>
    <xf numFmtId="177" fontId="138" fillId="2" borderId="72" xfId="0" applyFont="true" applyBorder="true" applyAlignment="true" applyProtection="false">
      <alignment horizontal="right" vertical="bottom" textRotation="0" wrapText="false" indent="0" shrinkToFit="false"/>
      <protection locked="true" hidden="false"/>
    </xf>
    <xf numFmtId="177" fontId="138" fillId="2" borderId="71" xfId="0" applyFont="true" applyBorder="true" applyAlignment="true" applyProtection="false">
      <alignment horizontal="right" vertical="bottom" textRotation="0" wrapText="false" indent="0" shrinkToFit="false"/>
      <protection locked="true" hidden="false"/>
    </xf>
    <xf numFmtId="177" fontId="132" fillId="28" borderId="22" xfId="0" applyFont="true" applyBorder="true" applyAlignment="true" applyProtection="false">
      <alignment horizontal="right" vertical="center" textRotation="90" wrapText="false" indent="0" shrinkToFit="false"/>
      <protection locked="true" hidden="false"/>
    </xf>
    <xf numFmtId="177" fontId="132" fillId="28" borderId="22" xfId="0" applyFont="true" applyBorder="true" applyAlignment="true" applyProtection="false">
      <alignment horizontal="center" vertical="center" textRotation="90" wrapText="false" indent="0" shrinkToFit="false"/>
      <protection locked="true" hidden="false"/>
    </xf>
    <xf numFmtId="177" fontId="134" fillId="0" borderId="61" xfId="0" applyFont="true" applyBorder="true" applyAlignment="true" applyProtection="false">
      <alignment horizontal="general" vertical="bottom" textRotation="0" wrapText="false" indent="0" shrinkToFit="false"/>
      <protection locked="true" hidden="false"/>
    </xf>
    <xf numFmtId="177" fontId="134" fillId="45" borderId="72" xfId="0" applyFont="true" applyBorder="true" applyAlignment="true" applyProtection="false">
      <alignment horizontal="right" vertical="bottom" textRotation="0" wrapText="false" indent="1" shrinkToFit="false"/>
      <protection locked="true" hidden="false"/>
    </xf>
    <xf numFmtId="177" fontId="134" fillId="2" borderId="61" xfId="0" applyFont="true" applyBorder="true" applyAlignment="true" applyProtection="false">
      <alignment horizontal="right" vertical="bottom" textRotation="0" wrapText="false" indent="1" shrinkToFit="false"/>
      <protection locked="true" hidden="false"/>
    </xf>
    <xf numFmtId="177" fontId="134" fillId="0" borderId="72" xfId="0" applyFont="true" applyBorder="true" applyAlignment="true" applyProtection="false">
      <alignment horizontal="left" vertical="bottom" textRotation="0" wrapText="false" indent="0" shrinkToFit="false"/>
      <protection locked="true" hidden="false"/>
    </xf>
    <xf numFmtId="177" fontId="159" fillId="28" borderId="40" xfId="0" applyFont="true" applyBorder="true" applyAlignment="true" applyProtection="false">
      <alignment horizontal="center" vertical="center" textRotation="90" wrapText="false" indent="0" shrinkToFit="false"/>
      <protection locked="true" hidden="false"/>
    </xf>
    <xf numFmtId="177" fontId="160" fillId="0" borderId="71" xfId="0" applyFont="true" applyBorder="true" applyAlignment="true" applyProtection="false">
      <alignment horizontal="center" vertical="bottom" textRotation="0" wrapText="false" indent="0" shrinkToFit="false"/>
      <protection locked="true" hidden="false"/>
    </xf>
    <xf numFmtId="177" fontId="161" fillId="0" borderId="0" xfId="0" applyFont="true" applyBorder="false" applyAlignment="true" applyProtection="false">
      <alignment horizontal="center" vertical="bottom" textRotation="0" wrapText="false" indent="0" shrinkToFit="false"/>
      <protection locked="true" hidden="false"/>
    </xf>
    <xf numFmtId="177" fontId="34" fillId="7" borderId="73" xfId="0" applyFont="true" applyBorder="true" applyAlignment="true" applyProtection="false">
      <alignment horizontal="general" vertical="bottom" textRotation="0" wrapText="false" indent="0" shrinkToFit="false"/>
      <protection locked="true" hidden="false"/>
    </xf>
    <xf numFmtId="177" fontId="34" fillId="2" borderId="0" xfId="0" applyFont="true" applyBorder="false" applyAlignment="true" applyProtection="false">
      <alignment horizontal="right" vertical="bottom" textRotation="0" wrapText="false" indent="1" shrinkToFit="false"/>
      <protection locked="true" hidden="false"/>
    </xf>
    <xf numFmtId="177" fontId="162" fillId="28" borderId="40" xfId="0" applyFont="true" applyBorder="true" applyAlignment="true" applyProtection="false">
      <alignment horizontal="center" vertical="center" textRotation="90" wrapText="true" indent="0" shrinkToFit="false"/>
      <protection locked="true" hidden="false"/>
    </xf>
    <xf numFmtId="177" fontId="107" fillId="7" borderId="75" xfId="0" applyFont="true" applyBorder="true" applyAlignment="true" applyProtection="false">
      <alignment horizontal="left" vertical="bottom" textRotation="0" wrapText="false" indent="0" shrinkToFit="false"/>
      <protection locked="true" hidden="false"/>
    </xf>
    <xf numFmtId="177" fontId="138" fillId="7" borderId="75" xfId="0" applyFont="true" applyBorder="true" applyAlignment="true" applyProtection="false">
      <alignment horizontal="left" vertical="bottom" textRotation="0" wrapText="false" indent="0" shrinkToFit="false"/>
      <protection locked="true" hidden="false"/>
    </xf>
    <xf numFmtId="177" fontId="107" fillId="45" borderId="75" xfId="0" applyFont="true" applyBorder="true" applyAlignment="true" applyProtection="false">
      <alignment horizontal="right" vertical="bottom" textRotation="0" wrapText="false" indent="1" shrinkToFit="false"/>
      <protection locked="true" hidden="false"/>
    </xf>
    <xf numFmtId="177" fontId="138" fillId="2" borderId="75" xfId="0" applyFont="true" applyBorder="true" applyAlignment="true" applyProtection="false">
      <alignment horizontal="right" vertical="bottom" textRotation="0" wrapText="false" indent="0" shrinkToFit="false"/>
      <protection locked="true" hidden="false"/>
    </xf>
    <xf numFmtId="177" fontId="138" fillId="2" borderId="76" xfId="0" applyFont="true" applyBorder="true" applyAlignment="true" applyProtection="false">
      <alignment horizontal="right" vertical="bottom" textRotation="0" wrapText="false" indent="0" shrinkToFit="false"/>
      <protection locked="true" hidden="false"/>
    </xf>
    <xf numFmtId="177" fontId="134" fillId="7" borderId="82" xfId="0" applyFont="true" applyBorder="true" applyAlignment="true" applyProtection="false">
      <alignment horizontal="left" vertical="bottom" textRotation="0" wrapText="false" indent="0" shrinkToFit="false"/>
      <protection locked="true" hidden="false"/>
    </xf>
    <xf numFmtId="177" fontId="134" fillId="45" borderId="75" xfId="0" applyFont="true" applyBorder="true" applyAlignment="true" applyProtection="false">
      <alignment horizontal="right" vertical="bottom" textRotation="0" wrapText="false" indent="1" shrinkToFit="false"/>
      <protection locked="true" hidden="false"/>
    </xf>
    <xf numFmtId="177" fontId="134" fillId="2" borderId="82" xfId="0" applyFont="true" applyBorder="true" applyAlignment="true" applyProtection="false">
      <alignment horizontal="right" vertical="bottom" textRotation="0" wrapText="false" indent="1" shrinkToFit="false"/>
      <protection locked="true" hidden="false"/>
    </xf>
    <xf numFmtId="177" fontId="107" fillId="2" borderId="82" xfId="0" applyFont="true" applyBorder="true" applyAlignment="true" applyProtection="false">
      <alignment horizontal="right" vertical="bottom" textRotation="0" wrapText="false" indent="1" shrinkToFit="false"/>
      <protection locked="true" hidden="false"/>
    </xf>
    <xf numFmtId="177" fontId="136" fillId="7" borderId="75" xfId="0" applyFont="true" applyBorder="true" applyAlignment="true" applyProtection="false">
      <alignment horizontal="general" vertical="bottom" textRotation="0" wrapText="false" indent="0" shrinkToFit="false"/>
      <protection locked="true" hidden="false"/>
    </xf>
    <xf numFmtId="177" fontId="107" fillId="7" borderId="75" xfId="0" applyFont="true" applyBorder="true" applyAlignment="true" applyProtection="false">
      <alignment horizontal="general" vertical="bottom" textRotation="0" wrapText="false" indent="0" shrinkToFit="false"/>
      <protection locked="true" hidden="false"/>
    </xf>
    <xf numFmtId="177" fontId="134" fillId="7" borderId="75" xfId="0" applyFont="true" applyBorder="true" applyAlignment="true" applyProtection="false">
      <alignment horizontal="general" vertical="bottom" textRotation="0" wrapText="false" indent="0" shrinkToFit="false"/>
      <protection locked="true" hidden="false"/>
    </xf>
    <xf numFmtId="177" fontId="107" fillId="7" borderId="79" xfId="0" applyFont="true" applyBorder="true" applyAlignment="true" applyProtection="false">
      <alignment horizontal="general" vertical="bottom" textRotation="0" wrapText="false" indent="0" shrinkToFit="false"/>
      <protection locked="true" hidden="false"/>
    </xf>
    <xf numFmtId="177" fontId="138" fillId="7" borderId="75" xfId="0" applyFont="true" applyBorder="true" applyAlignment="true" applyProtection="false">
      <alignment horizontal="general" vertical="bottom" textRotation="0" wrapText="false" indent="0" shrinkToFit="false"/>
      <protection locked="true" hidden="false"/>
    </xf>
    <xf numFmtId="177" fontId="138" fillId="7" borderId="79" xfId="0" applyFont="true" applyBorder="true" applyAlignment="true" applyProtection="false">
      <alignment horizontal="left" vertical="bottom" textRotation="0" wrapText="false" indent="1" shrinkToFit="false"/>
      <protection locked="true" hidden="false"/>
    </xf>
    <xf numFmtId="177" fontId="107" fillId="45" borderId="79" xfId="0" applyFont="true" applyBorder="true" applyAlignment="true" applyProtection="false">
      <alignment horizontal="right" vertical="bottom" textRotation="0" wrapText="false" indent="1" shrinkToFit="false"/>
      <protection locked="true" hidden="false"/>
    </xf>
    <xf numFmtId="177" fontId="107" fillId="7" borderId="82" xfId="0" applyFont="true" applyBorder="true" applyAlignment="true" applyProtection="false">
      <alignment horizontal="left" vertical="bottom" textRotation="0" wrapText="false" indent="0" shrinkToFit="false"/>
      <protection locked="true" hidden="false"/>
    </xf>
    <xf numFmtId="177" fontId="107" fillId="2" borderId="55" xfId="0" applyFont="true" applyBorder="true" applyAlignment="true" applyProtection="false">
      <alignment horizontal="right" vertical="bottom" textRotation="0" wrapText="false" indent="1" shrinkToFit="false"/>
      <protection locked="true" hidden="false"/>
    </xf>
    <xf numFmtId="177" fontId="138" fillId="7" borderId="79" xfId="0" applyFont="true" applyBorder="true" applyAlignment="true" applyProtection="false">
      <alignment horizontal="general" vertical="bottom" textRotation="0" wrapText="false" indent="0" shrinkToFit="false"/>
      <protection locked="true" hidden="false"/>
    </xf>
    <xf numFmtId="177" fontId="138" fillId="7" borderId="75" xfId="0" applyFont="true" applyBorder="true" applyAlignment="true" applyProtection="false">
      <alignment horizontal="left" vertical="bottom" textRotation="0" wrapText="false" indent="1" shrinkToFit="false"/>
      <protection locked="true" hidden="false"/>
    </xf>
    <xf numFmtId="177" fontId="107" fillId="7" borderId="79" xfId="0" applyFont="true" applyBorder="true" applyAlignment="true" applyProtection="false">
      <alignment horizontal="left" vertical="bottom" textRotation="0" wrapText="false" indent="0" shrinkToFit="false"/>
      <protection locked="true" hidden="false"/>
    </xf>
    <xf numFmtId="177" fontId="134" fillId="7" borderId="79" xfId="0" applyFont="true" applyBorder="true" applyAlignment="true" applyProtection="false">
      <alignment horizontal="left" vertical="bottom" textRotation="0" wrapText="false" indent="0" shrinkToFit="false"/>
      <protection locked="true" hidden="false"/>
    </xf>
    <xf numFmtId="177" fontId="138" fillId="7" borderId="79" xfId="0" applyFont="true" applyBorder="true" applyAlignment="true" applyProtection="false">
      <alignment horizontal="left" vertical="bottom" textRotation="0" wrapText="false" indent="0" shrinkToFit="false"/>
      <protection locked="true" hidden="false"/>
    </xf>
    <xf numFmtId="177" fontId="163" fillId="7" borderId="79" xfId="0" applyFont="true" applyBorder="true" applyAlignment="true" applyProtection="false">
      <alignment horizontal="general" vertical="bottom" textRotation="0" wrapText="false" indent="0" shrinkToFit="false"/>
      <protection locked="true" hidden="false"/>
    </xf>
    <xf numFmtId="177" fontId="107" fillId="7" borderId="82" xfId="0" applyFont="true" applyBorder="true" applyAlignment="true" applyProtection="false">
      <alignment horizontal="left" vertical="bottom" textRotation="0" wrapText="false" indent="1" shrinkToFit="false"/>
      <protection locked="true" hidden="false"/>
    </xf>
    <xf numFmtId="177" fontId="138" fillId="7" borderId="79" xfId="0" applyFont="true" applyBorder="true" applyAlignment="true" applyProtection="false">
      <alignment horizontal="left" vertical="bottom" textRotation="0" wrapText="true" indent="0" shrinkToFit="false"/>
      <protection locked="true" hidden="false"/>
    </xf>
    <xf numFmtId="177" fontId="138" fillId="7" borderId="85" xfId="0" applyFont="true" applyBorder="true" applyAlignment="true" applyProtection="false">
      <alignment horizontal="left" vertical="bottom" textRotation="0" wrapText="true" indent="0" shrinkToFit="false"/>
      <protection locked="true" hidden="false"/>
    </xf>
    <xf numFmtId="177" fontId="34" fillId="7" borderId="79" xfId="0" applyFont="true" applyBorder="true" applyAlignment="true" applyProtection="false">
      <alignment horizontal="general" vertical="bottom" textRotation="0" wrapText="false" indent="0" shrinkToFit="false"/>
      <protection locked="true" hidden="false"/>
    </xf>
    <xf numFmtId="177" fontId="164" fillId="7" borderId="75" xfId="0" applyFont="true" applyBorder="true" applyAlignment="true" applyProtection="false">
      <alignment horizontal="left" vertical="bottom" textRotation="0" wrapText="true" indent="0" shrinkToFit="false"/>
      <protection locked="true" hidden="false"/>
    </xf>
    <xf numFmtId="177" fontId="139" fillId="7" borderId="79" xfId="0" applyFont="true" applyBorder="true" applyAlignment="true" applyProtection="false">
      <alignment horizontal="left" vertical="bottom" textRotation="0" wrapText="false" indent="0" shrinkToFit="false"/>
      <protection locked="true" hidden="false"/>
    </xf>
    <xf numFmtId="177" fontId="134" fillId="45" borderId="79" xfId="0" applyFont="true" applyBorder="true" applyAlignment="true" applyProtection="false">
      <alignment horizontal="right" vertical="bottom" textRotation="0" wrapText="false" indent="1" shrinkToFit="false"/>
      <protection locked="true" hidden="false"/>
    </xf>
    <xf numFmtId="177" fontId="139" fillId="7" borderId="79" xfId="0" applyFont="true" applyBorder="true" applyAlignment="true" applyProtection="false">
      <alignment horizontal="general" vertical="bottom" textRotation="0" wrapText="false" indent="0" shrinkToFit="false"/>
      <protection locked="true" hidden="false"/>
    </xf>
    <xf numFmtId="177" fontId="107" fillId="7" borderId="89" xfId="0" applyFont="true" applyBorder="true" applyAlignment="true" applyProtection="false">
      <alignment horizontal="general" vertical="bottom" textRotation="0" wrapText="false" indent="0" shrinkToFit="false"/>
      <protection locked="true" hidden="false"/>
    </xf>
    <xf numFmtId="177" fontId="134" fillId="2" borderId="55" xfId="0" applyFont="true" applyBorder="true" applyAlignment="true" applyProtection="false">
      <alignment horizontal="right" vertical="bottom" textRotation="0" wrapText="false" indent="1" shrinkToFit="false"/>
      <protection locked="true" hidden="false"/>
    </xf>
    <xf numFmtId="177" fontId="138" fillId="7" borderId="89" xfId="0" applyFont="true" applyBorder="true" applyAlignment="true" applyProtection="false">
      <alignment horizontal="general" vertical="bottom" textRotation="0" wrapText="false" indent="0" shrinkToFit="false"/>
      <protection locked="true" hidden="false"/>
    </xf>
    <xf numFmtId="177" fontId="134" fillId="7" borderId="89" xfId="0" applyFont="true" applyBorder="true" applyAlignment="true" applyProtection="false">
      <alignment horizontal="left" vertical="bottom" textRotation="0" wrapText="false" indent="0" shrinkToFit="false"/>
      <protection locked="true" hidden="false"/>
    </xf>
    <xf numFmtId="177" fontId="138" fillId="7" borderId="89" xfId="0" applyFont="true" applyBorder="true" applyAlignment="true" applyProtection="false">
      <alignment horizontal="left" vertical="bottom" textRotation="0" wrapText="false" indent="0" shrinkToFit="false"/>
      <protection locked="true" hidden="false"/>
    </xf>
    <xf numFmtId="177" fontId="107" fillId="7" borderId="85" xfId="0" applyFont="true" applyBorder="true" applyAlignment="true" applyProtection="false">
      <alignment horizontal="general" vertical="bottom" textRotation="0" wrapText="false" indent="0" shrinkToFit="false"/>
      <protection locked="true" hidden="false"/>
    </xf>
    <xf numFmtId="177" fontId="107" fillId="45" borderId="85" xfId="0" applyFont="true" applyBorder="true" applyAlignment="true" applyProtection="false">
      <alignment horizontal="right" vertical="bottom" textRotation="0" wrapText="false" indent="1" shrinkToFit="false"/>
      <protection locked="true" hidden="false"/>
    </xf>
    <xf numFmtId="177" fontId="107" fillId="7" borderId="79" xfId="0" applyFont="true" applyBorder="true" applyAlignment="true" applyProtection="false">
      <alignment horizontal="left" vertical="bottom" textRotation="0" wrapText="false" indent="2" shrinkToFit="false"/>
      <protection locked="true" hidden="false"/>
    </xf>
    <xf numFmtId="177" fontId="138" fillId="7" borderId="79" xfId="0" applyFont="true" applyBorder="true" applyAlignment="true" applyProtection="false">
      <alignment horizontal="left" vertical="bottom" textRotation="0" wrapText="false" indent="2" shrinkToFit="false"/>
      <protection locked="true" hidden="false"/>
    </xf>
    <xf numFmtId="177" fontId="107" fillId="7" borderId="89" xfId="0" applyFont="true" applyBorder="true" applyAlignment="true" applyProtection="false">
      <alignment horizontal="left" vertical="bottom" textRotation="0" wrapText="false" indent="0" shrinkToFit="false"/>
      <protection locked="true" hidden="false"/>
    </xf>
    <xf numFmtId="177" fontId="107" fillId="45" borderId="89" xfId="0" applyFont="true" applyBorder="true" applyAlignment="true" applyProtection="false">
      <alignment horizontal="right" vertical="bottom" textRotation="0" wrapText="false" indent="1" shrinkToFit="false"/>
      <protection locked="true" hidden="false"/>
    </xf>
    <xf numFmtId="177" fontId="134" fillId="7" borderId="37" xfId="0" applyFont="true" applyBorder="true" applyAlignment="true" applyProtection="false">
      <alignment horizontal="left" vertical="bottom" textRotation="0" wrapText="false" indent="0" shrinkToFit="false"/>
      <protection locked="true" hidden="false"/>
    </xf>
    <xf numFmtId="177" fontId="134" fillId="45" borderId="89" xfId="0" applyFont="true" applyBorder="true" applyAlignment="true" applyProtection="false">
      <alignment horizontal="right" vertical="bottom" textRotation="0" wrapText="false" indent="1" shrinkToFit="false"/>
      <protection locked="true" hidden="false"/>
    </xf>
    <xf numFmtId="177" fontId="134" fillId="2" borderId="88" xfId="0" applyFont="true" applyBorder="true" applyAlignment="true" applyProtection="false">
      <alignment horizontal="right" vertical="bottom" textRotation="0" wrapText="false" indent="1" shrinkToFit="false"/>
      <protection locked="true" hidden="false"/>
    </xf>
    <xf numFmtId="177" fontId="136" fillId="7" borderId="11" xfId="0" applyFont="true" applyBorder="true" applyAlignment="true" applyProtection="false">
      <alignment horizontal="left" vertical="bottom" textRotation="0" wrapText="false" indent="0" shrinkToFit="false"/>
      <protection locked="true" hidden="false"/>
    </xf>
    <xf numFmtId="177" fontId="130" fillId="2" borderId="0" xfId="0" applyFont="true" applyBorder="false" applyAlignment="true" applyProtection="false">
      <alignment horizontal="left" vertical="bottom" textRotation="0" wrapText="false" indent="0" shrinkToFit="false"/>
      <protection locked="true" hidden="false"/>
    </xf>
    <xf numFmtId="177" fontId="132" fillId="28" borderId="23" xfId="0" applyFont="true" applyBorder="true" applyAlignment="true" applyProtection="false">
      <alignment horizontal="right" vertical="center" textRotation="90" wrapText="false" indent="0" shrinkToFit="false"/>
      <protection locked="true" hidden="false"/>
    </xf>
    <xf numFmtId="177" fontId="139" fillId="7" borderId="85" xfId="0" applyFont="true" applyBorder="true" applyAlignment="true" applyProtection="false">
      <alignment horizontal="general" vertical="bottom" textRotation="0" wrapText="false" indent="0" shrinkToFit="false"/>
      <protection locked="true" hidden="false"/>
    </xf>
    <xf numFmtId="177" fontId="132" fillId="28" borderId="31" xfId="0" applyFont="true" applyBorder="true" applyAlignment="true" applyProtection="false">
      <alignment horizontal="right" vertical="center" textRotation="90" wrapText="false" indent="0" shrinkToFit="false"/>
      <protection locked="true" hidden="false"/>
    </xf>
    <xf numFmtId="177" fontId="132" fillId="28" borderId="21" xfId="0" applyFont="true" applyBorder="true" applyAlignment="true" applyProtection="false">
      <alignment horizontal="right" vertical="center" textRotation="90" wrapText="false" indent="0" shrinkToFit="false"/>
      <protection locked="true" hidden="false"/>
    </xf>
    <xf numFmtId="177" fontId="136" fillId="7" borderId="89" xfId="0" applyFont="true" applyBorder="true" applyAlignment="true" applyProtection="false">
      <alignment horizontal="general" vertical="bottom" textRotation="0" wrapText="false" indent="0" shrinkToFit="false"/>
      <protection locked="true" hidden="false"/>
    </xf>
    <xf numFmtId="177" fontId="136" fillId="2" borderId="90" xfId="0" applyFont="true" applyBorder="true" applyAlignment="true" applyProtection="false">
      <alignment horizontal="right" vertical="bottom" textRotation="0" wrapText="false" indent="1" shrinkToFit="false"/>
      <protection locked="true" hidden="false"/>
    </xf>
    <xf numFmtId="177" fontId="107" fillId="7" borderId="89" xfId="0" applyFont="true" applyBorder="true" applyAlignment="true" applyProtection="false">
      <alignment horizontal="left" vertical="bottom" textRotation="0" wrapText="false" indent="1" shrinkToFit="false"/>
      <protection locked="true" hidden="false"/>
    </xf>
    <xf numFmtId="177" fontId="138" fillId="7" borderId="89" xfId="0" applyFont="true" applyBorder="true" applyAlignment="true" applyProtection="false">
      <alignment horizontal="left" vertical="bottom" textRotation="0" wrapText="false" indent="1" shrinkToFit="false"/>
      <protection locked="true" hidden="false"/>
    </xf>
    <xf numFmtId="177" fontId="129" fillId="0" borderId="0" xfId="0" applyFont="true" applyBorder="false" applyAlignment="true" applyProtection="false">
      <alignment horizontal="general" vertical="bottom" textRotation="0" wrapText="false" indent="0" shrinkToFit="false"/>
      <protection locked="true" hidden="false"/>
    </xf>
    <xf numFmtId="177" fontId="164" fillId="7" borderId="89" xfId="0" applyFont="true" applyBorder="true" applyAlignment="true" applyProtection="false">
      <alignment horizontal="general" vertical="bottom" textRotation="0" wrapText="false" indent="0" shrinkToFit="false"/>
      <protection locked="true" hidden="false"/>
    </xf>
    <xf numFmtId="164" fontId="9" fillId="0" borderId="0" xfId="0" applyFont="true" applyBorder="false" applyAlignment="true" applyProtection="false">
      <alignment horizontal="center" vertical="bottom" textRotation="0" wrapText="false" indent="0" shrinkToFit="false"/>
      <protection locked="true" hidden="false"/>
    </xf>
    <xf numFmtId="164" fontId="9" fillId="0" borderId="0" xfId="0" applyFont="true" applyBorder="false" applyAlignment="true" applyProtection="false">
      <alignment horizontal="left" vertical="bottom" textRotation="0" wrapText="false" indent="0" shrinkToFit="false"/>
      <protection locked="true" hidden="false"/>
    </xf>
    <xf numFmtId="177" fontId="9" fillId="0" borderId="0" xfId="0" applyFont="true" applyBorder="false" applyAlignment="true" applyProtection="false">
      <alignment horizontal="center" vertical="bottom" textRotation="0" wrapText="false" indent="0" shrinkToFit="false"/>
      <protection locked="true" hidden="false"/>
    </xf>
    <xf numFmtId="177" fontId="9" fillId="0" borderId="22" xfId="0" applyFont="true" applyBorder="true" applyAlignment="true" applyProtection="false">
      <alignment horizontal="left" vertical="bottom" textRotation="0" wrapText="false" indent="0" shrinkToFit="false"/>
      <protection locked="true" hidden="false"/>
    </xf>
    <xf numFmtId="176" fontId="9" fillId="2" borderId="16" xfId="0" applyFont="true" applyBorder="true" applyAlignment="true" applyProtection="false">
      <alignment horizontal="right" vertical="bottom" textRotation="0" wrapText="false" indent="0" shrinkToFit="false"/>
      <protection locked="true" hidden="false"/>
    </xf>
    <xf numFmtId="177" fontId="9" fillId="0" borderId="23" xfId="0" applyFont="true" applyBorder="true" applyAlignment="true" applyProtection="false">
      <alignment horizontal="left" vertical="bottom" textRotation="0" wrapText="false" indent="0" shrinkToFit="false"/>
      <protection locked="true" hidden="false"/>
    </xf>
    <xf numFmtId="176" fontId="9" fillId="2" borderId="18" xfId="0" applyFont="true" applyBorder="true" applyAlignment="true" applyProtection="false">
      <alignment horizontal="right" vertical="bottom" textRotation="0" wrapText="false" indent="0" shrinkToFit="false"/>
      <protection locked="true" hidden="false"/>
    </xf>
    <xf numFmtId="177" fontId="9" fillId="2" borderId="18" xfId="0" applyFont="true" applyBorder="true" applyAlignment="true" applyProtection="false">
      <alignment horizontal="right" vertical="bottom" textRotation="0" wrapText="false" indent="0" shrinkToFit="false"/>
      <protection locked="true" hidden="false"/>
    </xf>
    <xf numFmtId="177" fontId="9" fillId="0" borderId="21" xfId="0" applyFont="true" applyBorder="true" applyAlignment="true" applyProtection="false">
      <alignment horizontal="left" vertical="bottom" textRotation="0" wrapText="false" indent="0" shrinkToFit="false"/>
      <protection locked="true" hidden="false"/>
    </xf>
    <xf numFmtId="177" fontId="9" fillId="15" borderId="20" xfId="0" applyFont="true" applyBorder="true" applyAlignment="true" applyProtection="false">
      <alignment horizontal="right" vertical="bottom" textRotation="0" wrapText="false" indent="0" shrinkToFit="false"/>
      <protection locked="true" hidden="false"/>
    </xf>
    <xf numFmtId="177" fontId="9" fillId="0" borderId="0" xfId="0" applyFont="true" applyBorder="false" applyAlignment="true" applyProtection="false">
      <alignment horizontal="left" vertical="bottom" textRotation="0" wrapText="false" indent="0" shrinkToFit="false"/>
      <protection locked="true" hidden="false"/>
    </xf>
    <xf numFmtId="177" fontId="159" fillId="28" borderId="26" xfId="0" applyFont="true" applyBorder="true" applyAlignment="true" applyProtection="false">
      <alignment horizontal="center" vertical="center" textRotation="90" wrapText="false" indent="0" shrinkToFit="false"/>
      <protection locked="true" hidden="false"/>
    </xf>
    <xf numFmtId="177" fontId="9" fillId="7" borderId="98" xfId="0" applyFont="true" applyBorder="true" applyAlignment="true" applyProtection="false">
      <alignment horizontal="general" vertical="bottom" textRotation="0" wrapText="false" indent="0" shrinkToFit="false"/>
      <protection locked="true" hidden="false"/>
    </xf>
    <xf numFmtId="177" fontId="9" fillId="2" borderId="74" xfId="0" applyFont="true" applyBorder="true" applyAlignment="true" applyProtection="false">
      <alignment horizontal="right" vertical="bottom" textRotation="0" wrapText="false" indent="1" shrinkToFit="false"/>
      <protection locked="true" hidden="false"/>
    </xf>
    <xf numFmtId="177" fontId="9" fillId="7" borderId="99" xfId="0" applyFont="true" applyBorder="true" applyAlignment="true" applyProtection="false">
      <alignment horizontal="general" vertical="bottom" textRotation="0" wrapText="false" indent="0" shrinkToFit="false"/>
      <protection locked="true" hidden="false"/>
    </xf>
    <xf numFmtId="177" fontId="9" fillId="7" borderId="100" xfId="0" applyFont="true" applyBorder="true" applyAlignment="true" applyProtection="false">
      <alignment horizontal="right" vertical="bottom" textRotation="0" wrapText="false" indent="1" shrinkToFit="false"/>
      <protection locked="true" hidden="false"/>
    </xf>
    <xf numFmtId="177" fontId="9" fillId="7" borderId="15" xfId="0" applyFont="true" applyBorder="true" applyAlignment="true" applyProtection="false">
      <alignment horizontal="center" vertical="bottom" textRotation="0" wrapText="false" indent="0" shrinkToFit="false"/>
      <protection locked="true" hidden="false"/>
    </xf>
    <xf numFmtId="177" fontId="9" fillId="7" borderId="16" xfId="0" applyFont="true" applyBorder="true" applyAlignment="true" applyProtection="false">
      <alignment horizontal="center" vertical="bottom" textRotation="0" wrapText="false" indent="0" shrinkToFit="false"/>
      <protection locked="true" hidden="false"/>
    </xf>
    <xf numFmtId="177" fontId="9" fillId="7" borderId="101" xfId="0" applyFont="true" applyBorder="true" applyAlignment="true" applyProtection="false">
      <alignment horizontal="general" vertical="bottom" textRotation="0" wrapText="false" indent="0" shrinkToFit="false"/>
      <protection locked="true" hidden="false"/>
    </xf>
    <xf numFmtId="177" fontId="9" fillId="2" borderId="76" xfId="0" applyFont="true" applyBorder="true" applyAlignment="true" applyProtection="false">
      <alignment horizontal="right" vertical="bottom" textRotation="0" wrapText="false" indent="1" shrinkToFit="false"/>
      <protection locked="true" hidden="false"/>
    </xf>
    <xf numFmtId="177" fontId="9" fillId="7" borderId="102" xfId="0" applyFont="true" applyBorder="true" applyAlignment="true" applyProtection="false">
      <alignment horizontal="general" vertical="bottom" textRotation="0" wrapText="false" indent="0" shrinkToFit="false"/>
      <protection locked="true" hidden="false"/>
    </xf>
    <xf numFmtId="177" fontId="9" fillId="2" borderId="7" xfId="0" applyFont="true" applyBorder="true" applyAlignment="true" applyProtection="false">
      <alignment horizontal="right" vertical="bottom" textRotation="0" wrapText="false" indent="1" shrinkToFit="false"/>
      <protection locked="true" hidden="false"/>
    </xf>
    <xf numFmtId="177" fontId="9" fillId="0" borderId="18" xfId="0" applyFont="true" applyBorder="true" applyAlignment="true" applyProtection="false">
      <alignment horizontal="center" vertical="bottom" textRotation="0" wrapText="false" indent="0" shrinkToFit="false"/>
      <protection locked="true" hidden="false"/>
    </xf>
    <xf numFmtId="177" fontId="9" fillId="7" borderId="103" xfId="0" applyFont="true" applyBorder="true" applyAlignment="true" applyProtection="false">
      <alignment horizontal="general" vertical="bottom" textRotation="0" wrapText="false" indent="0" shrinkToFit="false"/>
      <protection locked="true" hidden="false"/>
    </xf>
    <xf numFmtId="177" fontId="9" fillId="2" borderId="80" xfId="0" applyFont="true" applyBorder="true" applyAlignment="true" applyProtection="false">
      <alignment horizontal="right" vertical="bottom" textRotation="0" wrapText="false" indent="1" shrinkToFit="false"/>
      <protection locked="true" hidden="false"/>
    </xf>
    <xf numFmtId="177" fontId="9" fillId="7" borderId="56" xfId="0" applyFont="true" applyBorder="true" applyAlignment="true" applyProtection="false">
      <alignment horizontal="general" vertical="bottom" textRotation="0" wrapText="false" indent="0" shrinkToFit="false"/>
      <protection locked="true" hidden="false"/>
    </xf>
    <xf numFmtId="177" fontId="9" fillId="2" borderId="56" xfId="0" applyFont="true" applyBorder="true" applyAlignment="true" applyProtection="false">
      <alignment horizontal="right" vertical="bottom" textRotation="0" wrapText="false" indent="1" shrinkToFit="false"/>
      <protection locked="true" hidden="false"/>
    </xf>
    <xf numFmtId="177" fontId="9" fillId="7" borderId="7" xfId="0" applyFont="true" applyBorder="true" applyAlignment="true" applyProtection="false">
      <alignment horizontal="general" vertical="bottom" textRotation="0" wrapText="false" indent="0" shrinkToFit="false"/>
      <protection locked="true" hidden="false"/>
    </xf>
    <xf numFmtId="177" fontId="9" fillId="2" borderId="104" xfId="0" applyFont="true" applyBorder="true" applyAlignment="true" applyProtection="false">
      <alignment horizontal="right" vertical="bottom" textRotation="0" wrapText="false" indent="1" shrinkToFit="false"/>
      <protection locked="true" hidden="false"/>
    </xf>
    <xf numFmtId="177" fontId="9" fillId="2" borderId="18" xfId="0" applyFont="true" applyBorder="true" applyAlignment="true" applyProtection="false">
      <alignment horizontal="right" vertical="bottom" textRotation="0" wrapText="false" indent="1" shrinkToFit="false"/>
      <protection locked="true" hidden="false"/>
    </xf>
    <xf numFmtId="177" fontId="9" fillId="7" borderId="105" xfId="0" applyFont="true" applyBorder="true" applyAlignment="true" applyProtection="false">
      <alignment horizontal="general" vertical="bottom" textRotation="0" wrapText="false" indent="0" shrinkToFit="false"/>
      <protection locked="true" hidden="false"/>
    </xf>
    <xf numFmtId="177" fontId="9" fillId="2" borderId="20" xfId="0" applyFont="true" applyBorder="true" applyAlignment="true" applyProtection="false">
      <alignment horizontal="right" vertical="bottom" textRotation="0" wrapText="false" indent="1" shrinkToFit="false"/>
      <protection locked="true" hidden="false"/>
    </xf>
    <xf numFmtId="177" fontId="9" fillId="7" borderId="106" xfId="0" applyFont="true" applyBorder="true" applyAlignment="true" applyProtection="false">
      <alignment horizontal="general" vertical="bottom" textRotation="0" wrapText="false" indent="0" shrinkToFit="false"/>
      <protection locked="true" hidden="false"/>
    </xf>
    <xf numFmtId="177" fontId="9" fillId="0" borderId="107" xfId="0" applyFont="true" applyBorder="true" applyAlignment="true" applyProtection="false">
      <alignment horizontal="center" vertical="bottom" textRotation="0" wrapText="false" indent="0" shrinkToFit="false"/>
      <protection locked="true" hidden="false"/>
    </xf>
    <xf numFmtId="177" fontId="9" fillId="0" borderId="11" xfId="0" applyFont="true" applyBorder="true" applyAlignment="true" applyProtection="false">
      <alignment horizontal="center" vertical="bottom" textRotation="0" wrapText="false" indent="0" shrinkToFit="false"/>
      <protection locked="true" hidden="false"/>
    </xf>
    <xf numFmtId="177" fontId="9" fillId="0" borderId="20" xfId="0" applyFont="true" applyBorder="true" applyAlignment="true" applyProtection="false">
      <alignment horizontal="center" vertical="bottom" textRotation="0" wrapText="false" indent="0" shrinkToFit="false"/>
      <protection locked="true" hidden="false"/>
    </xf>
    <xf numFmtId="177" fontId="9" fillId="7" borderId="108" xfId="0" applyFont="true" applyBorder="true" applyAlignment="true" applyProtection="false">
      <alignment horizontal="general" vertical="bottom" textRotation="0" wrapText="false" indent="0" shrinkToFit="false"/>
      <protection locked="true" hidden="false"/>
    </xf>
    <xf numFmtId="177" fontId="9" fillId="2" borderId="109" xfId="0" applyFont="true" applyBorder="true" applyAlignment="true" applyProtection="false">
      <alignment horizontal="right" vertical="bottom" textRotation="0" wrapText="false" indent="1" shrinkToFit="false"/>
      <protection locked="true" hidden="false"/>
    </xf>
    <xf numFmtId="177" fontId="9" fillId="0" borderId="110" xfId="0" applyFont="true" applyBorder="true" applyAlignment="true" applyProtection="false">
      <alignment horizontal="center" vertical="bottom" textRotation="0" wrapText="false" indent="0" shrinkToFit="false"/>
      <protection locked="true" hidden="false"/>
    </xf>
    <xf numFmtId="177" fontId="0" fillId="0" borderId="23" xfId="0" applyFont="false" applyBorder="true" applyAlignment="true" applyProtection="false">
      <alignment horizontal="general" vertical="bottom" textRotation="0" wrapText="false" indent="0" shrinkToFit="false"/>
      <protection locked="true" hidden="false"/>
    </xf>
    <xf numFmtId="177" fontId="9" fillId="0" borderId="102" xfId="0" applyFont="true" applyBorder="true" applyAlignment="true" applyProtection="false">
      <alignment horizontal="left" vertical="bottom" textRotation="0" wrapText="false" indent="0" shrinkToFit="false"/>
      <protection locked="true" hidden="false"/>
    </xf>
    <xf numFmtId="177" fontId="9" fillId="0" borderId="107" xfId="0" applyFont="true" applyBorder="true" applyAlignment="true" applyProtection="false">
      <alignment horizontal="general" vertical="bottom" textRotation="0" wrapText="false" indent="0" shrinkToFit="false"/>
      <protection locked="true" hidden="false"/>
    </xf>
    <xf numFmtId="177" fontId="9" fillId="0" borderId="11" xfId="0" applyFont="true" applyBorder="true" applyAlignment="true" applyProtection="false">
      <alignment horizontal="general" vertical="bottom" textRotation="0" wrapText="false" indent="0" shrinkToFit="false"/>
      <protection locked="true" hidden="false"/>
    </xf>
    <xf numFmtId="177" fontId="36" fillId="11" borderId="23" xfId="0" applyFont="true" applyBorder="true" applyAlignment="true" applyProtection="false">
      <alignment horizontal="general" vertical="bottom" textRotation="0" wrapText="false" indent="0" shrinkToFit="false"/>
      <protection locked="true" hidden="false"/>
    </xf>
    <xf numFmtId="177" fontId="34" fillId="54" borderId="23" xfId="0" applyFont="true" applyBorder="true" applyAlignment="true" applyProtection="false">
      <alignment horizontal="general" vertical="bottom" textRotation="0" wrapText="false" indent="0" shrinkToFit="false"/>
      <protection locked="true" hidden="false"/>
    </xf>
    <xf numFmtId="177" fontId="34" fillId="54" borderId="0" xfId="0" applyFont="true" applyBorder="false" applyAlignment="true" applyProtection="false">
      <alignment horizontal="left" vertical="bottom" textRotation="0" wrapText="false" indent="0" shrinkToFit="false"/>
      <protection locked="true" hidden="false"/>
    </xf>
    <xf numFmtId="177" fontId="34" fillId="54" borderId="110" xfId="0" applyFont="true" applyBorder="true" applyAlignment="true" applyProtection="false">
      <alignment horizontal="center" vertical="bottom" textRotation="0" wrapText="false" indent="0" shrinkToFit="false"/>
      <protection locked="true" hidden="false"/>
    </xf>
    <xf numFmtId="177" fontId="34" fillId="54" borderId="0" xfId="0" applyFont="true" applyBorder="false" applyAlignment="true" applyProtection="false">
      <alignment horizontal="center" vertical="bottom" textRotation="0" wrapText="false" indent="0" shrinkToFit="false"/>
      <protection locked="true" hidden="false"/>
    </xf>
    <xf numFmtId="179" fontId="9" fillId="0" borderId="0" xfId="0" applyFont="true" applyBorder="false" applyAlignment="true" applyProtection="false">
      <alignment horizontal="center" vertical="bottom" textRotation="0" wrapText="false" indent="0" shrinkToFit="false"/>
      <protection locked="true" hidden="false"/>
    </xf>
    <xf numFmtId="167" fontId="9" fillId="0" borderId="0" xfId="0" applyFont="true" applyBorder="false" applyAlignment="true" applyProtection="false">
      <alignment horizontal="center" vertical="bottom" textRotation="0" wrapText="false" indent="0" shrinkToFit="false"/>
      <protection locked="true" hidden="false"/>
    </xf>
    <xf numFmtId="177" fontId="36" fillId="21" borderId="23" xfId="0" applyFont="true" applyBorder="true" applyAlignment="true" applyProtection="false">
      <alignment horizontal="general" vertical="bottom" textRotation="0" wrapText="false" indent="0" shrinkToFit="false"/>
      <protection locked="true" hidden="false"/>
    </xf>
    <xf numFmtId="177" fontId="34" fillId="13" borderId="23" xfId="0" applyFont="true" applyBorder="true" applyAlignment="true" applyProtection="false">
      <alignment horizontal="general" vertical="bottom" textRotation="0" wrapText="false" indent="0" shrinkToFit="false"/>
      <protection locked="true" hidden="false"/>
    </xf>
    <xf numFmtId="177" fontId="34" fillId="13" borderId="0" xfId="0" applyFont="true" applyBorder="false" applyAlignment="true" applyProtection="false">
      <alignment horizontal="left" vertical="bottom" textRotation="0" wrapText="false" indent="0" shrinkToFit="false"/>
      <protection locked="true" hidden="false"/>
    </xf>
    <xf numFmtId="177" fontId="34" fillId="13" borderId="0" xfId="0" applyFont="true" applyBorder="false" applyAlignment="true" applyProtection="false">
      <alignment horizontal="center" vertical="bottom" textRotation="0" wrapText="false" indent="0" shrinkToFit="false"/>
      <protection locked="true" hidden="false"/>
    </xf>
    <xf numFmtId="164" fontId="9" fillId="0" borderId="0" xfId="0" applyFont="true" applyBorder="false" applyAlignment="true" applyProtection="false">
      <alignment horizontal="general" vertical="bottom" textRotation="0" wrapText="false" indent="0" shrinkToFit="false"/>
      <protection locked="true" hidden="false"/>
    </xf>
    <xf numFmtId="164" fontId="36" fillId="11" borderId="0" xfId="0" applyFont="true" applyBorder="false" applyAlignment="true" applyProtection="false">
      <alignment horizontal="left" vertical="bottom" textRotation="0" wrapText="false" indent="0" shrinkToFit="false"/>
      <protection locked="true" hidden="false"/>
    </xf>
    <xf numFmtId="164" fontId="9" fillId="54" borderId="0" xfId="0" applyFont="true" applyBorder="false" applyAlignment="true" applyProtection="false">
      <alignment horizontal="left" vertical="bottom" textRotation="0" wrapText="false" indent="0" shrinkToFit="false"/>
      <protection locked="true" hidden="false"/>
    </xf>
    <xf numFmtId="164" fontId="138" fillId="0" borderId="22" xfId="0" applyFont="true" applyBorder="true" applyAlignment="true" applyProtection="false">
      <alignment horizontal="general" vertical="bottom" textRotation="0" wrapText="false" indent="0" shrinkToFit="false"/>
      <protection locked="true" hidden="false"/>
    </xf>
    <xf numFmtId="164" fontId="138" fillId="0" borderId="15" xfId="0" applyFont="true" applyBorder="true" applyAlignment="true" applyProtection="false">
      <alignment horizontal="general" vertical="bottom" textRotation="0" wrapText="false" indent="0" shrinkToFit="false"/>
      <protection locked="true" hidden="false"/>
    </xf>
    <xf numFmtId="164" fontId="138" fillId="0" borderId="16" xfId="0" applyFont="true" applyBorder="true" applyAlignment="true" applyProtection="false">
      <alignment horizontal="general" vertical="bottom" textRotation="0" wrapText="false" indent="0" shrinkToFit="false"/>
      <protection locked="true" hidden="false"/>
    </xf>
    <xf numFmtId="177" fontId="138" fillId="0" borderId="22" xfId="0" applyFont="true" applyBorder="true" applyAlignment="true" applyProtection="false">
      <alignment horizontal="general" vertical="bottom" textRotation="0" wrapText="false" indent="0" shrinkToFit="false"/>
      <protection locked="true" hidden="false"/>
    </xf>
    <xf numFmtId="177" fontId="138" fillId="2" borderId="15" xfId="0" applyFont="true" applyBorder="true" applyAlignment="true" applyProtection="false">
      <alignment horizontal="center" vertical="bottom" textRotation="0" wrapText="false" indent="0" shrinkToFit="false"/>
      <protection locked="true" hidden="false"/>
    </xf>
    <xf numFmtId="177" fontId="138" fillId="2" borderId="16" xfId="0" applyFont="true" applyBorder="true" applyAlignment="true" applyProtection="false">
      <alignment horizontal="center" vertical="bottom" textRotation="0" wrapText="false" indent="0" shrinkToFit="false"/>
      <protection locked="true" hidden="false"/>
    </xf>
    <xf numFmtId="177" fontId="138" fillId="43" borderId="22" xfId="0" applyFont="true" applyBorder="true" applyAlignment="true" applyProtection="false">
      <alignment horizontal="center" vertical="bottom" textRotation="0" wrapText="false" indent="0" shrinkToFit="false"/>
      <protection locked="true" hidden="false"/>
    </xf>
    <xf numFmtId="177" fontId="138" fillId="43" borderId="15" xfId="0" applyFont="true" applyBorder="true" applyAlignment="true" applyProtection="false">
      <alignment horizontal="center" vertical="bottom" textRotation="0" wrapText="false" indent="0" shrinkToFit="false"/>
      <protection locked="true" hidden="false"/>
    </xf>
    <xf numFmtId="177" fontId="138" fillId="43" borderId="16" xfId="0" applyFont="true" applyBorder="true" applyAlignment="true" applyProtection="false">
      <alignment horizontal="center" vertical="bottom" textRotation="0" wrapText="false" indent="0" shrinkToFit="false"/>
      <protection locked="true" hidden="false"/>
    </xf>
    <xf numFmtId="177" fontId="138" fillId="44" borderId="22" xfId="0" applyFont="true" applyBorder="true" applyAlignment="true" applyProtection="false">
      <alignment horizontal="center" vertical="bottom" textRotation="0" wrapText="false" indent="0" shrinkToFit="false"/>
      <protection locked="true" hidden="false"/>
    </xf>
    <xf numFmtId="177" fontId="138" fillId="44" borderId="15" xfId="0" applyFont="true" applyBorder="true" applyAlignment="true" applyProtection="false">
      <alignment horizontal="center" vertical="bottom" textRotation="0" wrapText="false" indent="0" shrinkToFit="false"/>
      <protection locked="true" hidden="false"/>
    </xf>
    <xf numFmtId="177" fontId="138" fillId="44" borderId="16" xfId="0" applyFont="true" applyBorder="true" applyAlignment="true" applyProtection="false">
      <alignment horizontal="center" vertical="bottom" textRotation="0" wrapText="false" indent="0" shrinkToFit="false"/>
      <protection locked="true" hidden="false"/>
    </xf>
    <xf numFmtId="177" fontId="138" fillId="5" borderId="22" xfId="0" applyFont="true" applyBorder="true" applyAlignment="true" applyProtection="false">
      <alignment horizontal="center" vertical="bottom" textRotation="0" wrapText="false" indent="0" shrinkToFit="false"/>
      <protection locked="true" hidden="false"/>
    </xf>
    <xf numFmtId="177" fontId="138" fillId="5" borderId="15" xfId="0" applyFont="true" applyBorder="true" applyAlignment="true" applyProtection="false">
      <alignment horizontal="center" vertical="bottom" textRotation="0" wrapText="false" indent="0" shrinkToFit="false"/>
      <protection locked="true" hidden="false"/>
    </xf>
    <xf numFmtId="177" fontId="138" fillId="5" borderId="16" xfId="0" applyFont="true" applyBorder="true" applyAlignment="true" applyProtection="false">
      <alignment horizontal="center" vertical="bottom" textRotation="0" wrapText="false" indent="0" shrinkToFit="false"/>
      <protection locked="true" hidden="false"/>
    </xf>
    <xf numFmtId="177" fontId="138" fillId="12" borderId="22" xfId="0" applyFont="true" applyBorder="true" applyAlignment="true" applyProtection="false">
      <alignment horizontal="center" vertical="bottom" textRotation="0" wrapText="false" indent="0" shrinkToFit="false"/>
      <protection locked="true" hidden="false"/>
    </xf>
    <xf numFmtId="177" fontId="138" fillId="12" borderId="15" xfId="0" applyFont="true" applyBorder="true" applyAlignment="true" applyProtection="false">
      <alignment horizontal="center" vertical="bottom" textRotation="0" wrapText="false" indent="0" shrinkToFit="false"/>
      <protection locked="true" hidden="false"/>
    </xf>
    <xf numFmtId="177" fontId="138" fillId="12" borderId="16" xfId="0" applyFont="true" applyBorder="true" applyAlignment="true" applyProtection="false">
      <alignment horizontal="center" vertical="bottom" textRotation="0" wrapText="false" indent="0" shrinkToFit="false"/>
      <protection locked="true" hidden="false"/>
    </xf>
    <xf numFmtId="164" fontId="138" fillId="6" borderId="0" xfId="0" applyFont="true" applyBorder="false" applyAlignment="true" applyProtection="false">
      <alignment horizontal="general" vertical="bottom" textRotation="0" wrapText="false" indent="0" shrinkToFit="false"/>
      <protection locked="true" hidden="false"/>
    </xf>
    <xf numFmtId="177" fontId="136" fillId="2" borderId="111" xfId="0" applyFont="true" applyBorder="true" applyAlignment="true" applyProtection="false">
      <alignment horizontal="general" vertical="bottom" textRotation="0" wrapText="false" indent="0" shrinkToFit="false"/>
      <protection locked="true" hidden="false"/>
    </xf>
    <xf numFmtId="177" fontId="138" fillId="2" borderId="112" xfId="0" applyFont="true" applyBorder="true" applyAlignment="true" applyProtection="false">
      <alignment horizontal="general" vertical="bottom" textRotation="0" wrapText="false" indent="0" shrinkToFit="false"/>
      <protection locked="true" hidden="false"/>
    </xf>
    <xf numFmtId="177" fontId="138" fillId="2" borderId="113" xfId="0" applyFont="true" applyBorder="true" applyAlignment="true" applyProtection="false">
      <alignment horizontal="general" vertical="bottom" textRotation="0" wrapText="false" indent="0" shrinkToFit="false"/>
      <protection locked="true" hidden="false"/>
    </xf>
    <xf numFmtId="177" fontId="138" fillId="43" borderId="111" xfId="0" applyFont="true" applyBorder="true" applyAlignment="true" applyProtection="false">
      <alignment horizontal="general" vertical="bottom" textRotation="0" wrapText="false" indent="0" shrinkToFit="false"/>
      <protection locked="true" hidden="false"/>
    </xf>
    <xf numFmtId="177" fontId="138" fillId="43" borderId="112" xfId="0" applyFont="true" applyBorder="true" applyAlignment="true" applyProtection="false">
      <alignment horizontal="general" vertical="bottom" textRotation="0" wrapText="false" indent="0" shrinkToFit="false"/>
      <protection locked="true" hidden="false"/>
    </xf>
    <xf numFmtId="177" fontId="138" fillId="43" borderId="113" xfId="0" applyFont="true" applyBorder="true" applyAlignment="true" applyProtection="false">
      <alignment horizontal="general" vertical="bottom" textRotation="0" wrapText="false" indent="0" shrinkToFit="false"/>
      <protection locked="true" hidden="false"/>
    </xf>
    <xf numFmtId="177" fontId="138" fillId="44" borderId="111" xfId="0" applyFont="true" applyBorder="true" applyAlignment="true" applyProtection="false">
      <alignment horizontal="general" vertical="bottom" textRotation="0" wrapText="false" indent="0" shrinkToFit="false"/>
      <protection locked="true" hidden="false"/>
    </xf>
    <xf numFmtId="177" fontId="138" fillId="44" borderId="112" xfId="0" applyFont="true" applyBorder="true" applyAlignment="true" applyProtection="false">
      <alignment horizontal="general" vertical="bottom" textRotation="0" wrapText="false" indent="0" shrinkToFit="false"/>
      <protection locked="true" hidden="false"/>
    </xf>
    <xf numFmtId="177" fontId="138" fillId="44" borderId="113" xfId="0" applyFont="true" applyBorder="true" applyAlignment="true" applyProtection="false">
      <alignment horizontal="general" vertical="bottom" textRotation="0" wrapText="false" indent="0" shrinkToFit="false"/>
      <protection locked="true" hidden="false"/>
    </xf>
    <xf numFmtId="177" fontId="138" fillId="5" borderId="111" xfId="0" applyFont="true" applyBorder="true" applyAlignment="true" applyProtection="false">
      <alignment horizontal="general" vertical="bottom" textRotation="0" wrapText="false" indent="0" shrinkToFit="false"/>
      <protection locked="true" hidden="false"/>
    </xf>
    <xf numFmtId="177" fontId="138" fillId="5" borderId="112" xfId="0" applyFont="true" applyBorder="true" applyAlignment="true" applyProtection="false">
      <alignment horizontal="general" vertical="bottom" textRotation="0" wrapText="false" indent="0" shrinkToFit="false"/>
      <protection locked="true" hidden="false"/>
    </xf>
    <xf numFmtId="177" fontId="138" fillId="5" borderId="113" xfId="0" applyFont="true" applyBorder="true" applyAlignment="true" applyProtection="false">
      <alignment horizontal="general" vertical="bottom" textRotation="0" wrapText="false" indent="0" shrinkToFit="false"/>
      <protection locked="true" hidden="false"/>
    </xf>
    <xf numFmtId="177" fontId="138" fillId="12" borderId="111" xfId="0" applyFont="true" applyBorder="true" applyAlignment="true" applyProtection="false">
      <alignment horizontal="general" vertical="bottom" textRotation="0" wrapText="false" indent="0" shrinkToFit="false"/>
      <protection locked="true" hidden="false"/>
    </xf>
    <xf numFmtId="177" fontId="138" fillId="12" borderId="112" xfId="0" applyFont="true" applyBorder="true" applyAlignment="true" applyProtection="false">
      <alignment horizontal="general" vertical="bottom" textRotation="0" wrapText="false" indent="0" shrinkToFit="false"/>
      <protection locked="true" hidden="false"/>
    </xf>
    <xf numFmtId="177" fontId="138" fillId="12" borderId="113" xfId="0" applyFont="true" applyBorder="true" applyAlignment="true" applyProtection="false">
      <alignment horizontal="general" vertical="bottom" textRotation="0" wrapText="false" indent="0" shrinkToFit="false"/>
      <protection locked="true" hidden="false"/>
    </xf>
    <xf numFmtId="164" fontId="138" fillId="2" borderId="0" xfId="0" applyFont="true" applyBorder="false" applyAlignment="true" applyProtection="false">
      <alignment horizontal="general" vertical="bottom" textRotation="0" wrapText="false" indent="0" shrinkToFit="false"/>
      <protection locked="true" hidden="false"/>
    </xf>
    <xf numFmtId="177" fontId="138" fillId="2" borderId="114" xfId="0" applyFont="true" applyBorder="true" applyAlignment="true" applyProtection="false">
      <alignment horizontal="general" vertical="bottom" textRotation="0" wrapText="false" indent="0" shrinkToFit="false"/>
      <protection locked="true" hidden="false"/>
    </xf>
    <xf numFmtId="177" fontId="169" fillId="2" borderId="115" xfId="0" applyFont="true" applyBorder="true" applyAlignment="true" applyProtection="false">
      <alignment horizontal="general" vertical="bottom" textRotation="0" wrapText="false" indent="0" shrinkToFit="false"/>
      <protection locked="true" hidden="false"/>
    </xf>
    <xf numFmtId="177" fontId="169" fillId="2" borderId="116" xfId="0" applyFont="true" applyBorder="true" applyAlignment="true" applyProtection="false">
      <alignment horizontal="general" vertical="bottom" textRotation="0" wrapText="false" indent="0" shrinkToFit="false"/>
      <protection locked="true" hidden="false"/>
    </xf>
    <xf numFmtId="177" fontId="169" fillId="43" borderId="114" xfId="0" applyFont="true" applyBorder="true" applyAlignment="true" applyProtection="false">
      <alignment horizontal="general" vertical="bottom" textRotation="0" wrapText="false" indent="0" shrinkToFit="false"/>
      <protection locked="true" hidden="false"/>
    </xf>
    <xf numFmtId="177" fontId="169" fillId="43" borderId="115" xfId="0" applyFont="true" applyBorder="true" applyAlignment="true" applyProtection="false">
      <alignment horizontal="general" vertical="bottom" textRotation="0" wrapText="false" indent="0" shrinkToFit="false"/>
      <protection locked="true" hidden="false"/>
    </xf>
    <xf numFmtId="177" fontId="169" fillId="43" borderId="116" xfId="0" applyFont="true" applyBorder="true" applyAlignment="true" applyProtection="false">
      <alignment horizontal="general" vertical="bottom" textRotation="0" wrapText="false" indent="0" shrinkToFit="false"/>
      <protection locked="true" hidden="false"/>
    </xf>
    <xf numFmtId="177" fontId="169" fillId="44" borderId="114" xfId="0" applyFont="true" applyBorder="true" applyAlignment="true" applyProtection="false">
      <alignment horizontal="general" vertical="bottom" textRotation="0" wrapText="false" indent="0" shrinkToFit="false"/>
      <protection locked="true" hidden="false"/>
    </xf>
    <xf numFmtId="177" fontId="169" fillId="44" borderId="115" xfId="0" applyFont="true" applyBorder="true" applyAlignment="true" applyProtection="false">
      <alignment horizontal="general" vertical="bottom" textRotation="0" wrapText="false" indent="0" shrinkToFit="false"/>
      <protection locked="true" hidden="false"/>
    </xf>
    <xf numFmtId="177" fontId="169" fillId="44" borderId="116" xfId="0" applyFont="true" applyBorder="true" applyAlignment="true" applyProtection="false">
      <alignment horizontal="general" vertical="bottom" textRotation="0" wrapText="false" indent="0" shrinkToFit="false"/>
      <protection locked="true" hidden="false"/>
    </xf>
    <xf numFmtId="177" fontId="169" fillId="5" borderId="114" xfId="0" applyFont="true" applyBorder="true" applyAlignment="true" applyProtection="false">
      <alignment horizontal="general" vertical="bottom" textRotation="0" wrapText="false" indent="0" shrinkToFit="false"/>
      <protection locked="true" hidden="false"/>
    </xf>
    <xf numFmtId="177" fontId="169" fillId="5" borderId="115" xfId="0" applyFont="true" applyBorder="true" applyAlignment="true" applyProtection="false">
      <alignment horizontal="general" vertical="bottom" textRotation="0" wrapText="false" indent="0" shrinkToFit="false"/>
      <protection locked="true" hidden="false"/>
    </xf>
    <xf numFmtId="177" fontId="169" fillId="5" borderId="116" xfId="0" applyFont="true" applyBorder="true" applyAlignment="true" applyProtection="false">
      <alignment horizontal="general" vertical="bottom" textRotation="0" wrapText="false" indent="0" shrinkToFit="false"/>
      <protection locked="true" hidden="false"/>
    </xf>
    <xf numFmtId="177" fontId="169" fillId="12" borderId="114" xfId="0" applyFont="true" applyBorder="true" applyAlignment="true" applyProtection="false">
      <alignment horizontal="general" vertical="bottom" textRotation="0" wrapText="false" indent="0" shrinkToFit="false"/>
      <protection locked="true" hidden="false"/>
    </xf>
    <xf numFmtId="177" fontId="169" fillId="12" borderId="115" xfId="0" applyFont="true" applyBorder="true" applyAlignment="true" applyProtection="false">
      <alignment horizontal="general" vertical="bottom" textRotation="0" wrapText="false" indent="0" shrinkToFit="false"/>
      <protection locked="true" hidden="false"/>
    </xf>
    <xf numFmtId="177" fontId="169" fillId="12" borderId="116" xfId="0" applyFont="true" applyBorder="true" applyAlignment="true" applyProtection="false">
      <alignment horizontal="general" vertical="bottom" textRotation="0" wrapText="false" indent="0" shrinkToFit="false"/>
      <protection locked="true" hidden="false"/>
    </xf>
    <xf numFmtId="177" fontId="138" fillId="2" borderId="94" xfId="0" applyFont="true" applyBorder="true" applyAlignment="true" applyProtection="false">
      <alignment horizontal="general" vertical="bottom" textRotation="0" wrapText="false" indent="0" shrinkToFit="false"/>
      <protection locked="true" hidden="false"/>
    </xf>
    <xf numFmtId="177" fontId="170" fillId="2" borderId="95" xfId="0" applyFont="true" applyBorder="true" applyAlignment="true" applyProtection="false">
      <alignment horizontal="center" vertical="bottom" textRotation="0" wrapText="false" indent="0" shrinkToFit="false"/>
      <protection locked="true" hidden="false"/>
    </xf>
    <xf numFmtId="177" fontId="170" fillId="2" borderId="96" xfId="0" applyFont="true" applyBorder="true" applyAlignment="true" applyProtection="false">
      <alignment horizontal="center" vertical="bottom" textRotation="0" wrapText="false" indent="0" shrinkToFit="false"/>
      <protection locked="true" hidden="false"/>
    </xf>
    <xf numFmtId="177" fontId="170" fillId="43" borderId="94" xfId="0" applyFont="true" applyBorder="true" applyAlignment="true" applyProtection="false">
      <alignment horizontal="center" vertical="bottom" textRotation="0" wrapText="false" indent="0" shrinkToFit="false"/>
      <protection locked="true" hidden="false"/>
    </xf>
    <xf numFmtId="177" fontId="170" fillId="43" borderId="95" xfId="0" applyFont="true" applyBorder="true" applyAlignment="true" applyProtection="false">
      <alignment horizontal="center" vertical="bottom" textRotation="0" wrapText="false" indent="0" shrinkToFit="false"/>
      <protection locked="true" hidden="false"/>
    </xf>
    <xf numFmtId="177" fontId="170" fillId="43" borderId="96" xfId="0" applyFont="true" applyBorder="true" applyAlignment="true" applyProtection="false">
      <alignment horizontal="center" vertical="bottom" textRotation="0" wrapText="false" indent="0" shrinkToFit="false"/>
      <protection locked="true" hidden="false"/>
    </xf>
    <xf numFmtId="177" fontId="170" fillId="44" borderId="94" xfId="0" applyFont="true" applyBorder="true" applyAlignment="true" applyProtection="false">
      <alignment horizontal="center" vertical="bottom" textRotation="0" wrapText="false" indent="0" shrinkToFit="false"/>
      <protection locked="true" hidden="false"/>
    </xf>
    <xf numFmtId="177" fontId="171" fillId="44" borderId="95" xfId="0" applyFont="true" applyBorder="true" applyAlignment="true" applyProtection="false">
      <alignment horizontal="center" vertical="bottom" textRotation="0" wrapText="false" indent="0" shrinkToFit="false"/>
      <protection locked="true" hidden="false"/>
    </xf>
    <xf numFmtId="177" fontId="170" fillId="44" borderId="95" xfId="0" applyFont="true" applyBorder="true" applyAlignment="true" applyProtection="false">
      <alignment horizontal="center" vertical="bottom" textRotation="0" wrapText="false" indent="0" shrinkToFit="false"/>
      <protection locked="true" hidden="false"/>
    </xf>
    <xf numFmtId="177" fontId="170" fillId="44" borderId="96" xfId="0" applyFont="true" applyBorder="true" applyAlignment="true" applyProtection="false">
      <alignment horizontal="center" vertical="bottom" textRotation="0" wrapText="false" indent="0" shrinkToFit="false"/>
      <protection locked="true" hidden="false"/>
    </xf>
    <xf numFmtId="177" fontId="170" fillId="5" borderId="94" xfId="0" applyFont="true" applyBorder="true" applyAlignment="true" applyProtection="false">
      <alignment horizontal="center" vertical="bottom" textRotation="0" wrapText="false" indent="0" shrinkToFit="false"/>
      <protection locked="true" hidden="false"/>
    </xf>
    <xf numFmtId="177" fontId="170" fillId="5" borderId="95" xfId="0" applyFont="true" applyBorder="true" applyAlignment="true" applyProtection="false">
      <alignment horizontal="center" vertical="bottom" textRotation="0" wrapText="false" indent="0" shrinkToFit="false"/>
      <protection locked="true" hidden="false"/>
    </xf>
    <xf numFmtId="177" fontId="170" fillId="5" borderId="96" xfId="0" applyFont="true" applyBorder="true" applyAlignment="true" applyProtection="false">
      <alignment horizontal="center" vertical="bottom" textRotation="0" wrapText="false" indent="0" shrinkToFit="false"/>
      <protection locked="true" hidden="false"/>
    </xf>
    <xf numFmtId="177" fontId="170" fillId="12" borderId="94" xfId="0" applyFont="true" applyBorder="true" applyAlignment="true" applyProtection="false">
      <alignment horizontal="center" vertical="bottom" textRotation="0" wrapText="false" indent="0" shrinkToFit="false"/>
      <protection locked="true" hidden="false"/>
    </xf>
    <xf numFmtId="177" fontId="170" fillId="12" borderId="95" xfId="0" applyFont="true" applyBorder="true" applyAlignment="true" applyProtection="false">
      <alignment horizontal="center" vertical="bottom" textRotation="0" wrapText="false" indent="0" shrinkToFit="false"/>
      <protection locked="true" hidden="false"/>
    </xf>
    <xf numFmtId="177" fontId="170" fillId="12" borderId="96" xfId="0" applyFont="true" applyBorder="true" applyAlignment="true" applyProtection="false">
      <alignment horizontal="center" vertical="bottom" textRotation="0" wrapText="false" indent="0" shrinkToFit="false"/>
      <protection locked="true" hidden="false"/>
    </xf>
    <xf numFmtId="177" fontId="138" fillId="2" borderId="23" xfId="0" applyFont="true" applyBorder="true" applyAlignment="true" applyProtection="false">
      <alignment horizontal="general" vertical="bottom" textRotation="0" wrapText="false" indent="0" shrinkToFit="false"/>
      <protection locked="true" hidden="false"/>
    </xf>
    <xf numFmtId="177" fontId="138" fillId="2" borderId="0" xfId="0" applyFont="true" applyBorder="false" applyAlignment="true" applyProtection="false">
      <alignment horizontal="general" vertical="bottom" textRotation="0" wrapText="false" indent="0" shrinkToFit="false"/>
      <protection locked="true" hidden="false"/>
    </xf>
    <xf numFmtId="177" fontId="138" fillId="2" borderId="18" xfId="0" applyFont="true" applyBorder="true" applyAlignment="true" applyProtection="false">
      <alignment horizontal="general" vertical="bottom" textRotation="0" wrapText="false" indent="0" shrinkToFit="false"/>
      <protection locked="true" hidden="false"/>
    </xf>
    <xf numFmtId="177" fontId="172" fillId="50" borderId="32" xfId="0" applyFont="true" applyBorder="true" applyAlignment="true" applyProtection="false">
      <alignment horizontal="center" vertical="bottom" textRotation="0" wrapText="false" indent="0" shrinkToFit="false"/>
      <protection locked="true" hidden="false"/>
    </xf>
    <xf numFmtId="177" fontId="170" fillId="2" borderId="0" xfId="0" applyFont="true" applyBorder="false" applyAlignment="true" applyProtection="false">
      <alignment horizontal="general" vertical="bottom" textRotation="0" wrapText="false" indent="0" shrinkToFit="false"/>
      <protection locked="true" hidden="false"/>
    </xf>
    <xf numFmtId="177" fontId="138" fillId="7" borderId="81" xfId="0" applyFont="true" applyBorder="true" applyAlignment="true" applyProtection="false">
      <alignment horizontal="general" vertical="bottom" textRotation="0" wrapText="false" indent="0" shrinkToFit="false"/>
      <protection locked="true" hidden="false"/>
    </xf>
    <xf numFmtId="176" fontId="138" fillId="2" borderId="80" xfId="0" applyFont="true" applyBorder="true" applyAlignment="true" applyProtection="false">
      <alignment horizontal="right" vertical="bottom" textRotation="0" wrapText="false" indent="1" shrinkToFit="false"/>
      <protection locked="true" hidden="false"/>
    </xf>
    <xf numFmtId="177" fontId="138" fillId="7" borderId="87" xfId="0" applyFont="true" applyBorder="true" applyAlignment="true" applyProtection="false">
      <alignment horizontal="left" vertical="bottom" textRotation="0" wrapText="false" indent="0" shrinkToFit="false"/>
      <protection locked="true" hidden="false"/>
    </xf>
    <xf numFmtId="164" fontId="138" fillId="2" borderId="23" xfId="0" applyFont="true" applyBorder="true" applyAlignment="true" applyProtection="false">
      <alignment horizontal="general" vertical="bottom" textRotation="0" wrapText="false" indent="0" shrinkToFit="false"/>
      <protection locked="true" hidden="false"/>
    </xf>
    <xf numFmtId="164" fontId="138" fillId="2" borderId="18" xfId="0" applyFont="true" applyBorder="true" applyAlignment="true" applyProtection="false">
      <alignment horizontal="general" vertical="bottom" textRotation="0" wrapText="false" indent="0" shrinkToFit="false"/>
      <protection locked="true" hidden="false"/>
    </xf>
    <xf numFmtId="164" fontId="138" fillId="2" borderId="21" xfId="0" applyFont="true" applyBorder="true" applyAlignment="true" applyProtection="false">
      <alignment horizontal="general" vertical="bottom" textRotation="0" wrapText="false" indent="0" shrinkToFit="false"/>
      <protection locked="true" hidden="false"/>
    </xf>
    <xf numFmtId="164" fontId="138" fillId="2" borderId="11" xfId="0" applyFont="true" applyBorder="true" applyAlignment="true" applyProtection="false">
      <alignment horizontal="general" vertical="bottom" textRotation="0" wrapText="false" indent="0" shrinkToFit="false"/>
      <protection locked="true" hidden="false"/>
    </xf>
    <xf numFmtId="164" fontId="138" fillId="2" borderId="20" xfId="0" applyFont="true" applyBorder="true" applyAlignment="true" applyProtection="false">
      <alignment horizontal="general" vertical="bottom" textRotation="0" wrapText="false" indent="0" shrinkToFit="false"/>
      <protection locked="true" hidden="false"/>
    </xf>
    <xf numFmtId="164" fontId="173" fillId="0" borderId="0" xfId="0" applyFont="true" applyBorder="false" applyAlignment="true" applyProtection="false">
      <alignment horizontal="general" vertical="bottom" textRotation="0" wrapText="true" indent="0" shrinkToFit="false"/>
      <protection locked="true" hidden="false"/>
    </xf>
    <xf numFmtId="164" fontId="174" fillId="0" borderId="0" xfId="0" applyFont="true" applyBorder="true" applyAlignment="true" applyProtection="false">
      <alignment horizontal="general" vertical="bottom" textRotation="0" wrapText="true" indent="0" shrinkToFit="false"/>
      <protection locked="true" hidden="false"/>
    </xf>
    <xf numFmtId="164" fontId="175" fillId="0" borderId="0" xfId="0" applyFont="true" applyBorder="false" applyAlignment="true" applyProtection="false">
      <alignment horizontal="general" vertical="bottom" textRotation="0" wrapText="false" indent="0" shrinkToFit="false"/>
      <protection locked="true" hidden="false"/>
    </xf>
    <xf numFmtId="164" fontId="176" fillId="0" borderId="0" xfId="0" applyFont="true" applyBorder="false" applyAlignment="true" applyProtection="false">
      <alignment horizontal="general" vertical="bottom" textRotation="0" wrapText="false" indent="0" shrinkToFit="false"/>
      <protection locked="true" hidden="false"/>
    </xf>
    <xf numFmtId="164" fontId="177" fillId="0" borderId="0" xfId="0" applyFont="true" applyBorder="false" applyAlignment="true" applyProtection="false">
      <alignment horizontal="general" vertical="bottom" textRotation="0" wrapText="false" indent="0" shrinkToFit="false"/>
      <protection locked="true" hidden="false"/>
    </xf>
    <xf numFmtId="164" fontId="10" fillId="0" borderId="0" xfId="0" applyFont="true" applyBorder="false" applyAlignment="true" applyProtection="false">
      <alignment horizontal="general" vertical="bottom" textRotation="0" wrapText="false" indent="0" shrinkToFit="false"/>
      <protection locked="true" hidden="false"/>
    </xf>
    <xf numFmtId="177" fontId="10" fillId="0" borderId="0" xfId="0" applyFont="true" applyBorder="false" applyAlignment="true" applyProtection="false">
      <alignment horizontal="general" vertical="bottom" textRotation="0" wrapText="false" indent="0" shrinkToFit="false"/>
      <protection locked="true" hidden="false"/>
    </xf>
    <xf numFmtId="164" fontId="178" fillId="55" borderId="1" xfId="0" applyFont="true" applyBorder="true" applyAlignment="true" applyProtection="false">
      <alignment horizontal="center" vertical="center" textRotation="0" wrapText="false" indent="0" shrinkToFit="false"/>
      <protection locked="true" hidden="false"/>
    </xf>
    <xf numFmtId="164" fontId="178" fillId="55" borderId="117" xfId="0" applyFont="true" applyBorder="true" applyAlignment="true" applyProtection="false">
      <alignment horizontal="center" vertical="center" textRotation="0" wrapText="false" indent="0" shrinkToFit="false"/>
      <protection locked="true" hidden="false"/>
    </xf>
    <xf numFmtId="164" fontId="8" fillId="31" borderId="0" xfId="0" applyFont="true" applyBorder="false" applyAlignment="true" applyProtection="false">
      <alignment horizontal="center" vertical="center" textRotation="0" wrapText="false" indent="0" shrinkToFit="false"/>
      <protection locked="true" hidden="false"/>
    </xf>
    <xf numFmtId="164" fontId="56" fillId="0" borderId="118" xfId="0" applyFont="true" applyBorder="true" applyAlignment="true" applyProtection="false">
      <alignment horizontal="general" vertical="bottom" textRotation="0" wrapText="false" indent="0" shrinkToFit="false"/>
      <protection locked="true" hidden="false"/>
    </xf>
    <xf numFmtId="167" fontId="10" fillId="0" borderId="118" xfId="0" applyFont="true" applyBorder="true" applyAlignment="true" applyProtection="false">
      <alignment horizontal="general" vertical="bottom" textRotation="0" wrapText="false" indent="0" shrinkToFit="false"/>
      <protection locked="true" hidden="false"/>
    </xf>
    <xf numFmtId="167" fontId="10" fillId="15" borderId="118" xfId="0" applyFont="true" applyBorder="true" applyAlignment="true" applyProtection="false">
      <alignment horizontal="general" vertical="bottom" textRotation="0" wrapText="false" indent="0" shrinkToFit="false"/>
      <protection locked="true" hidden="false"/>
    </xf>
    <xf numFmtId="169" fontId="10" fillId="15" borderId="118" xfId="0" applyFont="true" applyBorder="true" applyAlignment="true" applyProtection="false">
      <alignment horizontal="general" vertical="bottom" textRotation="0" wrapText="false" indent="0" shrinkToFit="false"/>
      <protection locked="true" hidden="false"/>
    </xf>
    <xf numFmtId="164" fontId="48" fillId="20" borderId="1" xfId="0" applyFont="true" applyBorder="true" applyAlignment="true" applyProtection="false">
      <alignment horizontal="left" vertical="center" textRotation="0" wrapText="false" indent="0" shrinkToFit="false"/>
      <protection locked="true" hidden="false"/>
    </xf>
    <xf numFmtId="164" fontId="48" fillId="20" borderId="1" xfId="0" applyFont="true" applyBorder="true" applyAlignment="true" applyProtection="false">
      <alignment horizontal="general" vertical="bottom" textRotation="0" wrapText="false" indent="0" shrinkToFit="false"/>
      <protection locked="true" hidden="false"/>
    </xf>
    <xf numFmtId="164" fontId="179" fillId="20" borderId="1" xfId="0" applyFont="true" applyBorder="true" applyAlignment="true" applyProtection="false">
      <alignment horizontal="general" vertical="bottom" textRotation="0" wrapText="false" indent="0" shrinkToFit="false"/>
      <protection locked="true" hidden="false"/>
    </xf>
    <xf numFmtId="175" fontId="48" fillId="20" borderId="0" xfId="0" applyFont="true" applyBorder="false" applyAlignment="true" applyProtection="false">
      <alignment horizontal="general" vertical="bottom" textRotation="0" wrapText="false" indent="0" shrinkToFit="false"/>
      <protection locked="true" hidden="false"/>
    </xf>
    <xf numFmtId="179" fontId="48" fillId="20" borderId="0" xfId="0" applyFont="true" applyBorder="false" applyAlignment="true" applyProtection="false">
      <alignment horizontal="general" vertical="bottom" textRotation="0" wrapText="false" indent="0" shrinkToFit="false"/>
      <protection locked="true" hidden="false"/>
    </xf>
    <xf numFmtId="164" fontId="180" fillId="0" borderId="0" xfId="0" applyFont="true" applyBorder="false" applyAlignment="true" applyProtection="false">
      <alignment horizontal="center" vertical="center" textRotation="0" wrapText="false" indent="0" shrinkToFit="false"/>
      <protection locked="true" hidden="false"/>
    </xf>
    <xf numFmtId="177" fontId="55" fillId="0" borderId="0" xfId="0" applyFont="true" applyBorder="false" applyAlignment="true" applyProtection="false">
      <alignment horizontal="center" vertical="center" textRotation="0" wrapText="false" indent="0" shrinkToFit="false"/>
      <protection locked="true" hidden="false"/>
    </xf>
    <xf numFmtId="164" fontId="181" fillId="0" borderId="1" xfId="0" applyFont="true" applyBorder="true" applyAlignment="true" applyProtection="false">
      <alignment horizontal="general" vertical="center" textRotation="0" wrapText="true" indent="0" shrinkToFit="false"/>
      <protection locked="true" hidden="false"/>
    </xf>
    <xf numFmtId="164" fontId="181" fillId="0" borderId="1" xfId="0" applyFont="true" applyBorder="true" applyAlignment="true" applyProtection="false">
      <alignment horizontal="left" vertical="center" textRotation="0" wrapText="true" indent="0" shrinkToFit="false"/>
      <protection locked="true" hidden="false"/>
    </xf>
    <xf numFmtId="164" fontId="182" fillId="0" borderId="1" xfId="0" applyFont="true" applyBorder="true" applyAlignment="true" applyProtection="false">
      <alignment horizontal="left" vertical="center" textRotation="0" wrapText="true" indent="0" shrinkToFit="false"/>
      <protection locked="true" hidden="false"/>
    </xf>
    <xf numFmtId="175" fontId="56" fillId="18" borderId="0" xfId="0" applyFont="true" applyBorder="false" applyAlignment="true" applyProtection="false">
      <alignment horizontal="right" vertical="bottom" textRotation="0" wrapText="false" indent="0" shrinkToFit="false"/>
      <protection locked="true" hidden="false"/>
    </xf>
    <xf numFmtId="175" fontId="56" fillId="0" borderId="0" xfId="0" applyFont="true" applyBorder="false" applyAlignment="true" applyProtection="false">
      <alignment horizontal="right" vertical="bottom" textRotation="0" wrapText="false" indent="0" shrinkToFit="false"/>
      <protection locked="true" hidden="false"/>
    </xf>
    <xf numFmtId="179" fontId="56" fillId="0" borderId="0" xfId="0" applyFont="true" applyBorder="false" applyAlignment="true" applyProtection="false">
      <alignment horizontal="right" vertical="bottom" textRotation="0" wrapText="false" indent="0" shrinkToFit="false"/>
      <protection locked="true" hidden="false"/>
    </xf>
    <xf numFmtId="164" fontId="183" fillId="16" borderId="0" xfId="0" applyFont="true" applyBorder="false" applyAlignment="true" applyProtection="false">
      <alignment horizontal="general" vertical="bottom" textRotation="0" wrapText="false" indent="0" shrinkToFit="false"/>
      <protection locked="true" hidden="false"/>
    </xf>
    <xf numFmtId="175" fontId="183" fillId="16" borderId="0" xfId="0" applyFont="true" applyBorder="false" applyAlignment="true" applyProtection="false">
      <alignment horizontal="general" vertical="bottom" textRotation="0" wrapText="false" indent="0" shrinkToFit="false"/>
      <protection locked="true" hidden="false"/>
    </xf>
    <xf numFmtId="179" fontId="183" fillId="16" borderId="0" xfId="0" applyFont="true" applyBorder="false" applyAlignment="true" applyProtection="false">
      <alignment horizontal="general" vertical="bottom" textRotation="0" wrapText="false" indent="0" shrinkToFit="false"/>
      <protection locked="true" hidden="false"/>
    </xf>
    <xf numFmtId="164" fontId="107" fillId="0" borderId="0" xfId="0" applyFont="true" applyBorder="false" applyAlignment="true" applyProtection="false">
      <alignment horizontal="right" vertical="bottom" textRotation="0" wrapText="false" indent="0" shrinkToFit="false"/>
      <protection locked="true" hidden="false"/>
    </xf>
    <xf numFmtId="164" fontId="107" fillId="0" borderId="0" xfId="0" applyFont="true" applyBorder="false" applyAlignment="true" applyProtection="false">
      <alignment horizontal="center" vertical="bottom" textRotation="0" wrapText="false" indent="0" shrinkToFit="false"/>
      <protection locked="true" hidden="false"/>
    </xf>
    <xf numFmtId="164" fontId="138" fillId="0" borderId="0" xfId="0" applyFont="true" applyBorder="false" applyAlignment="true" applyProtection="false">
      <alignment horizontal="right" vertical="bottom" textRotation="0" wrapText="false" indent="0" shrinkToFit="false"/>
      <protection locked="true" hidden="false"/>
    </xf>
    <xf numFmtId="164" fontId="138" fillId="0" borderId="0" xfId="0" applyFont="true" applyBorder="false" applyAlignment="true" applyProtection="false">
      <alignment horizontal="general" vertical="bottom" textRotation="0" wrapText="false" indent="0" shrinkToFit="false"/>
      <protection locked="true" hidden="false"/>
    </xf>
    <xf numFmtId="177" fontId="138" fillId="0" borderId="15" xfId="0" applyFont="true" applyBorder="true" applyAlignment="true" applyProtection="false">
      <alignment horizontal="right" vertical="bottom" textRotation="0" wrapText="false" indent="0" shrinkToFit="false"/>
      <protection locked="true" hidden="false"/>
    </xf>
    <xf numFmtId="177" fontId="138" fillId="0" borderId="16" xfId="0" applyFont="true" applyBorder="true" applyAlignment="true" applyProtection="false">
      <alignment horizontal="right" vertical="bottom" textRotation="0" wrapText="false" indent="0" shrinkToFit="false"/>
      <protection locked="true" hidden="false"/>
    </xf>
    <xf numFmtId="177" fontId="132" fillId="50" borderId="22" xfId="0" applyFont="true" applyBorder="true" applyAlignment="true" applyProtection="false">
      <alignment horizontal="center" vertical="center" textRotation="90" wrapText="false" indent="0" shrinkToFit="false"/>
      <protection locked="true" hidden="false"/>
    </xf>
    <xf numFmtId="177" fontId="136" fillId="0" borderId="15" xfId="0" applyFont="true" applyBorder="true" applyAlignment="true" applyProtection="false">
      <alignment horizontal="right" vertical="bottom" textRotation="0" wrapText="false" indent="0" shrinkToFit="false"/>
      <protection locked="true" hidden="false"/>
    </xf>
    <xf numFmtId="177" fontId="136" fillId="0" borderId="16" xfId="0" applyFont="true" applyBorder="true" applyAlignment="true" applyProtection="false">
      <alignment horizontal="right" vertical="bottom" textRotation="0" wrapText="false" indent="0" shrinkToFit="false"/>
      <protection locked="true" hidden="false"/>
    </xf>
    <xf numFmtId="177" fontId="132" fillId="47" borderId="16" xfId="0" applyFont="true" applyBorder="true" applyAlignment="true" applyProtection="false">
      <alignment horizontal="center" vertical="center" textRotation="90" wrapText="false" indent="0" shrinkToFit="false"/>
      <protection locked="true" hidden="false"/>
    </xf>
    <xf numFmtId="177" fontId="184" fillId="47" borderId="77" xfId="0" applyFont="true" applyBorder="true" applyAlignment="true" applyProtection="false">
      <alignment horizontal="center" vertical="bottom" textRotation="0" wrapText="false" indent="0" shrinkToFit="false"/>
      <protection locked="true" hidden="false"/>
    </xf>
    <xf numFmtId="177" fontId="184" fillId="47" borderId="78" xfId="0" applyFont="true" applyBorder="true" applyAlignment="true" applyProtection="false">
      <alignment horizontal="center" vertical="bottom" textRotation="0" wrapText="false" indent="0" shrinkToFit="false"/>
      <protection locked="true" hidden="false"/>
    </xf>
    <xf numFmtId="177" fontId="132" fillId="47" borderId="40" xfId="0" applyFont="true" applyBorder="true" applyAlignment="true" applyProtection="false">
      <alignment horizontal="center" vertical="center" textRotation="90" wrapText="false" indent="0" shrinkToFit="false"/>
      <protection locked="true" hidden="false"/>
    </xf>
    <xf numFmtId="177" fontId="185" fillId="47" borderId="32" xfId="0" applyFont="true" applyBorder="true" applyAlignment="true" applyProtection="false">
      <alignment horizontal="center" vertical="bottom" textRotation="0" wrapText="false" indent="0" shrinkToFit="false"/>
      <protection locked="true" hidden="false"/>
    </xf>
    <xf numFmtId="177" fontId="185" fillId="47" borderId="15" xfId="0" applyFont="true" applyBorder="true" applyAlignment="true" applyProtection="false">
      <alignment horizontal="center" vertical="bottom" textRotation="0" wrapText="false" indent="0" shrinkToFit="false"/>
      <protection locked="true" hidden="false"/>
    </xf>
    <xf numFmtId="177" fontId="132" fillId="47" borderId="22" xfId="0" applyFont="true" applyBorder="true" applyAlignment="true" applyProtection="false">
      <alignment horizontal="center" vertical="center" textRotation="90" wrapText="false" indent="0" shrinkToFit="false"/>
      <protection locked="true" hidden="false"/>
    </xf>
    <xf numFmtId="177" fontId="136" fillId="0" borderId="15" xfId="0" applyFont="true" applyBorder="true" applyAlignment="true" applyProtection="false">
      <alignment horizontal="center" vertical="bottom" textRotation="0" wrapText="false" indent="0" shrinkToFit="false"/>
      <protection locked="true" hidden="false"/>
    </xf>
    <xf numFmtId="177" fontId="132" fillId="50" borderId="40" xfId="0" applyFont="true" applyBorder="true" applyAlignment="true" applyProtection="false">
      <alignment horizontal="center" vertical="center" textRotation="90" wrapText="false" indent="0" shrinkToFit="false"/>
      <protection locked="true" hidden="false"/>
    </xf>
    <xf numFmtId="177" fontId="136" fillId="0" borderId="16" xfId="0" applyFont="true" applyBorder="true" applyAlignment="true" applyProtection="false">
      <alignment horizontal="center" vertical="bottom" textRotation="0" wrapText="false" indent="0" shrinkToFit="false"/>
      <protection locked="true" hidden="false"/>
    </xf>
    <xf numFmtId="177" fontId="136" fillId="0" borderId="16" xfId="0" applyFont="true" applyBorder="true" applyAlignment="true" applyProtection="false">
      <alignment horizontal="general" vertical="bottom" textRotation="0" wrapText="false" indent="0" shrinkToFit="false"/>
      <protection locked="true" hidden="false"/>
    </xf>
    <xf numFmtId="177" fontId="132" fillId="50" borderId="15" xfId="0" applyFont="true" applyBorder="true" applyAlignment="true" applyProtection="false">
      <alignment horizontal="center" vertical="center" textRotation="90" wrapText="false" indent="0" shrinkToFit="false"/>
      <protection locked="true" hidden="false"/>
    </xf>
    <xf numFmtId="177" fontId="138" fillId="0" borderId="15" xfId="0" applyFont="true" applyBorder="true" applyAlignment="true" applyProtection="false">
      <alignment horizontal="center" vertical="bottom" textRotation="0" wrapText="false" indent="0" shrinkToFit="false"/>
      <protection locked="true" hidden="false"/>
    </xf>
    <xf numFmtId="177" fontId="138" fillId="0" borderId="16" xfId="0" applyFont="true" applyBorder="true" applyAlignment="true" applyProtection="false">
      <alignment horizontal="center" vertical="bottom" textRotation="0" wrapText="false" indent="0" shrinkToFit="false"/>
      <protection locked="true" hidden="false"/>
    </xf>
    <xf numFmtId="177" fontId="138" fillId="43" borderId="77" xfId="0" applyFont="true" applyBorder="true" applyAlignment="true" applyProtection="false">
      <alignment horizontal="left" vertical="bottom" textRotation="0" wrapText="false" indent="0" shrinkToFit="false"/>
      <protection locked="true" hidden="false"/>
    </xf>
    <xf numFmtId="177" fontId="138" fillId="43" borderId="78" xfId="0" applyFont="true" applyBorder="true" applyAlignment="true" applyProtection="false">
      <alignment horizontal="right" vertical="bottom" textRotation="0" wrapText="false" indent="0" shrinkToFit="false"/>
      <protection locked="true" hidden="false"/>
    </xf>
    <xf numFmtId="177" fontId="138" fillId="43" borderId="73" xfId="0" applyFont="true" applyBorder="true" applyAlignment="true" applyProtection="false">
      <alignment horizontal="right" vertical="bottom" textRotation="0" wrapText="false" indent="0" shrinkToFit="false"/>
      <protection locked="true" hidden="false"/>
    </xf>
    <xf numFmtId="177" fontId="138" fillId="43" borderId="74" xfId="0" applyFont="true" applyBorder="true" applyAlignment="true" applyProtection="false">
      <alignment horizontal="right" vertical="bottom" textRotation="0" wrapText="false" indent="0" shrinkToFit="false"/>
      <protection locked="true" hidden="false"/>
    </xf>
    <xf numFmtId="177" fontId="138" fillId="44" borderId="77" xfId="0" applyFont="true" applyBorder="true" applyAlignment="true" applyProtection="false">
      <alignment horizontal="left" vertical="bottom" textRotation="0" wrapText="false" indent="0" shrinkToFit="false"/>
      <protection locked="true" hidden="false"/>
    </xf>
    <xf numFmtId="177" fontId="138" fillId="44" borderId="78" xfId="0" applyFont="true" applyBorder="true" applyAlignment="true" applyProtection="false">
      <alignment horizontal="right" vertical="bottom" textRotation="0" wrapText="false" indent="0" shrinkToFit="false"/>
      <protection locked="true" hidden="false"/>
    </xf>
    <xf numFmtId="177" fontId="138" fillId="44" borderId="73" xfId="0" applyFont="true" applyBorder="true" applyAlignment="true" applyProtection="false">
      <alignment horizontal="right" vertical="bottom" textRotation="0" wrapText="false" indent="0" shrinkToFit="false"/>
      <protection locked="true" hidden="false"/>
    </xf>
    <xf numFmtId="177" fontId="138" fillId="44" borderId="74" xfId="0" applyFont="true" applyBorder="true" applyAlignment="true" applyProtection="false">
      <alignment horizontal="right" vertical="bottom" textRotation="0" wrapText="false" indent="0" shrinkToFit="false"/>
      <protection locked="true" hidden="false"/>
    </xf>
    <xf numFmtId="177" fontId="138" fillId="5" borderId="77" xfId="0" applyFont="true" applyBorder="true" applyAlignment="true" applyProtection="false">
      <alignment horizontal="left" vertical="bottom" textRotation="0" wrapText="false" indent="0" shrinkToFit="false"/>
      <protection locked="true" hidden="false"/>
    </xf>
    <xf numFmtId="177" fontId="138" fillId="5" borderId="78" xfId="0" applyFont="true" applyBorder="true" applyAlignment="true" applyProtection="false">
      <alignment horizontal="right" vertical="bottom" textRotation="0" wrapText="false" indent="0" shrinkToFit="false"/>
      <protection locked="true" hidden="false"/>
    </xf>
    <xf numFmtId="177" fontId="138" fillId="5" borderId="73" xfId="0" applyFont="true" applyBorder="true" applyAlignment="true" applyProtection="false">
      <alignment horizontal="right" vertical="bottom" textRotation="0" wrapText="false" indent="0" shrinkToFit="false"/>
      <protection locked="true" hidden="false"/>
    </xf>
    <xf numFmtId="177" fontId="138" fillId="5" borderId="74" xfId="0" applyFont="true" applyBorder="true" applyAlignment="true" applyProtection="false">
      <alignment horizontal="right" vertical="bottom" textRotation="0" wrapText="false" indent="0" shrinkToFit="false"/>
      <protection locked="true" hidden="false"/>
    </xf>
    <xf numFmtId="177" fontId="138" fillId="12" borderId="77" xfId="0" applyFont="true" applyBorder="true" applyAlignment="true" applyProtection="false">
      <alignment horizontal="left" vertical="bottom" textRotation="0" wrapText="false" indent="0" shrinkToFit="false"/>
      <protection locked="true" hidden="false"/>
    </xf>
    <xf numFmtId="177" fontId="138" fillId="12" borderId="78" xfId="0" applyFont="true" applyBorder="true" applyAlignment="true" applyProtection="false">
      <alignment horizontal="right" vertical="bottom" textRotation="0" wrapText="false" indent="0" shrinkToFit="false"/>
      <protection locked="true" hidden="false"/>
    </xf>
    <xf numFmtId="177" fontId="138" fillId="12" borderId="73" xfId="0" applyFont="true" applyBorder="true" applyAlignment="true" applyProtection="false">
      <alignment horizontal="right" vertical="bottom" textRotation="0" wrapText="false" indent="0" shrinkToFit="false"/>
      <protection locked="true" hidden="false"/>
    </xf>
    <xf numFmtId="177" fontId="138" fillId="12" borderId="74" xfId="0" applyFont="true" applyBorder="true" applyAlignment="true" applyProtection="false">
      <alignment horizontal="right" vertical="bottom" textRotation="0" wrapText="false" indent="0" shrinkToFit="false"/>
      <protection locked="true" hidden="false"/>
    </xf>
    <xf numFmtId="177" fontId="138" fillId="43" borderId="55" xfId="0" applyFont="true" applyBorder="true" applyAlignment="true" applyProtection="false">
      <alignment horizontal="center" vertical="bottom" textRotation="0" wrapText="false" indent="0" shrinkToFit="false"/>
      <protection locked="true" hidden="false"/>
    </xf>
    <xf numFmtId="177" fontId="138" fillId="43" borderId="81" xfId="0" applyFont="true" applyBorder="true" applyAlignment="true" applyProtection="false">
      <alignment horizontal="center" vertical="bottom" textRotation="0" wrapText="false" indent="0" shrinkToFit="false"/>
      <protection locked="true" hidden="false"/>
    </xf>
    <xf numFmtId="177" fontId="138" fillId="44" borderId="77" xfId="0" applyFont="true" applyBorder="true" applyAlignment="true" applyProtection="false">
      <alignment horizontal="center" vertical="bottom" textRotation="0" wrapText="false" indent="0" shrinkToFit="false"/>
      <protection locked="true" hidden="false"/>
    </xf>
    <xf numFmtId="177" fontId="138" fillId="44" borderId="73" xfId="0" applyFont="true" applyBorder="true" applyAlignment="true" applyProtection="false">
      <alignment horizontal="center" vertical="bottom" textRotation="0" wrapText="false" indent="0" shrinkToFit="false"/>
      <protection locked="true" hidden="false"/>
    </xf>
    <xf numFmtId="177" fontId="138" fillId="5" borderId="77" xfId="0" applyFont="true" applyBorder="true" applyAlignment="true" applyProtection="false">
      <alignment horizontal="center" vertical="bottom" textRotation="0" wrapText="false" indent="0" shrinkToFit="false"/>
      <protection locked="true" hidden="false"/>
    </xf>
    <xf numFmtId="177" fontId="138" fillId="5" borderId="78" xfId="0" applyFont="true" applyBorder="true" applyAlignment="true" applyProtection="false">
      <alignment horizontal="center" vertical="bottom" textRotation="0" wrapText="false" indent="0" shrinkToFit="false"/>
      <protection locked="true" hidden="false"/>
    </xf>
    <xf numFmtId="177" fontId="138" fillId="12" borderId="78" xfId="0" applyFont="true" applyBorder="true" applyAlignment="true" applyProtection="false">
      <alignment horizontal="center" vertical="bottom" textRotation="0" wrapText="false" indent="0" shrinkToFit="false"/>
      <protection locked="true" hidden="false"/>
    </xf>
    <xf numFmtId="177" fontId="138" fillId="12" borderId="77" xfId="0" applyFont="true" applyBorder="true" applyAlignment="true" applyProtection="false">
      <alignment horizontal="center" vertical="bottom" textRotation="0" wrapText="false" indent="0" shrinkToFit="false"/>
      <protection locked="true" hidden="false"/>
    </xf>
    <xf numFmtId="177" fontId="138" fillId="43" borderId="77" xfId="0" applyFont="true" applyBorder="true" applyAlignment="true" applyProtection="false">
      <alignment horizontal="general" vertical="bottom" textRotation="0" wrapText="false" indent="0" shrinkToFit="false"/>
      <protection locked="true" hidden="false"/>
    </xf>
    <xf numFmtId="177" fontId="138" fillId="43" borderId="78" xfId="0" applyFont="true" applyBorder="true" applyAlignment="true" applyProtection="false">
      <alignment horizontal="general" vertical="bottom" textRotation="0" wrapText="false" indent="0" shrinkToFit="false"/>
      <protection locked="true" hidden="false"/>
    </xf>
    <xf numFmtId="177" fontId="138" fillId="43" borderId="73" xfId="0" applyFont="true" applyBorder="true" applyAlignment="true" applyProtection="false">
      <alignment horizontal="general" vertical="bottom" textRotation="0" wrapText="false" indent="0" shrinkToFit="false"/>
      <protection locked="true" hidden="false"/>
    </xf>
    <xf numFmtId="177" fontId="138" fillId="43" borderId="74" xfId="0" applyFont="true" applyBorder="true" applyAlignment="true" applyProtection="false">
      <alignment horizontal="general" vertical="bottom" textRotation="0" wrapText="false" indent="0" shrinkToFit="false"/>
      <protection locked="true" hidden="false"/>
    </xf>
    <xf numFmtId="176" fontId="138" fillId="44" borderId="77" xfId="0" applyFont="true" applyBorder="true" applyAlignment="true" applyProtection="false">
      <alignment horizontal="right" vertical="bottom" textRotation="0" wrapText="false" indent="0" shrinkToFit="false"/>
      <protection locked="true" hidden="false"/>
    </xf>
    <xf numFmtId="176" fontId="138" fillId="44" borderId="78" xfId="0" applyFont="true" applyBorder="true" applyAlignment="true" applyProtection="false">
      <alignment horizontal="general" vertical="bottom" textRotation="0" wrapText="false" indent="0" shrinkToFit="false"/>
      <protection locked="true" hidden="false"/>
    </xf>
    <xf numFmtId="176" fontId="138" fillId="44" borderId="73" xfId="0" applyFont="true" applyBorder="true" applyAlignment="true" applyProtection="false">
      <alignment horizontal="general" vertical="bottom" textRotation="0" wrapText="false" indent="0" shrinkToFit="false"/>
      <protection locked="true" hidden="false"/>
    </xf>
    <xf numFmtId="176" fontId="138" fillId="44" borderId="74" xfId="0" applyFont="true" applyBorder="true" applyAlignment="true" applyProtection="false">
      <alignment horizontal="general" vertical="bottom" textRotation="0" wrapText="false" indent="0" shrinkToFit="false"/>
      <protection locked="true" hidden="false"/>
    </xf>
    <xf numFmtId="177" fontId="138" fillId="5" borderId="77" xfId="0" applyFont="true" applyBorder="true" applyAlignment="true" applyProtection="false">
      <alignment horizontal="right" vertical="bottom" textRotation="0" wrapText="false" indent="0" shrinkToFit="false"/>
      <protection locked="true" hidden="false"/>
    </xf>
    <xf numFmtId="177" fontId="138" fillId="12" borderId="77" xfId="0" applyFont="true" applyBorder="true" applyAlignment="true" applyProtection="false">
      <alignment horizontal="right" vertical="bottom" textRotation="0" wrapText="false" indent="0" shrinkToFit="false"/>
      <protection locked="true" hidden="false"/>
    </xf>
    <xf numFmtId="177" fontId="138" fillId="12" borderId="78" xfId="0" applyFont="true" applyBorder="true" applyAlignment="true" applyProtection="false">
      <alignment horizontal="general" vertical="bottom" textRotation="0" wrapText="false" indent="0" shrinkToFit="false"/>
      <protection locked="true" hidden="false"/>
    </xf>
    <xf numFmtId="177" fontId="138" fillId="12" borderId="73" xfId="0" applyFont="true" applyBorder="true" applyAlignment="true" applyProtection="false">
      <alignment horizontal="general" vertical="bottom" textRotation="0" wrapText="false" indent="0" shrinkToFit="false"/>
      <protection locked="true" hidden="false"/>
    </xf>
    <xf numFmtId="177" fontId="138" fillId="12" borderId="74" xfId="0" applyFont="true" applyBorder="true" applyAlignment="true" applyProtection="false">
      <alignment horizontal="general" vertical="bottom" textRotation="0" wrapText="false" indent="0" shrinkToFit="false"/>
      <protection locked="true" hidden="false"/>
    </xf>
    <xf numFmtId="177" fontId="138" fillId="43" borderId="55" xfId="0" applyFont="true" applyBorder="true" applyAlignment="true" applyProtection="false">
      <alignment horizontal="left" vertical="bottom" textRotation="0" wrapText="false" indent="1" shrinkToFit="false"/>
      <protection locked="true" hidden="false"/>
    </xf>
    <xf numFmtId="176" fontId="138" fillId="43" borderId="81" xfId="0" applyFont="true" applyBorder="true" applyAlignment="true" applyProtection="false">
      <alignment horizontal="right" vertical="bottom" textRotation="0" wrapText="false" indent="0" shrinkToFit="false"/>
      <protection locked="true" hidden="false"/>
    </xf>
    <xf numFmtId="176" fontId="138" fillId="43" borderId="79" xfId="0" applyFont="true" applyBorder="true" applyAlignment="true" applyProtection="false">
      <alignment horizontal="right" vertical="bottom" textRotation="0" wrapText="false" indent="0" shrinkToFit="false"/>
      <protection locked="true" hidden="false"/>
    </xf>
    <xf numFmtId="176" fontId="138" fillId="43" borderId="80" xfId="0" applyFont="true" applyBorder="true" applyAlignment="true" applyProtection="false">
      <alignment horizontal="right" vertical="bottom" textRotation="0" wrapText="false" indent="0" shrinkToFit="false"/>
      <protection locked="true" hidden="false"/>
    </xf>
    <xf numFmtId="177" fontId="138" fillId="44" borderId="55" xfId="0" applyFont="true" applyBorder="true" applyAlignment="true" applyProtection="false">
      <alignment horizontal="left" vertical="bottom" textRotation="0" wrapText="false" indent="1" shrinkToFit="false"/>
      <protection locked="true" hidden="false"/>
    </xf>
    <xf numFmtId="176" fontId="138" fillId="44" borderId="81" xfId="0" applyFont="true" applyBorder="true" applyAlignment="true" applyProtection="false">
      <alignment horizontal="right" vertical="bottom" textRotation="0" wrapText="false" indent="0" shrinkToFit="false"/>
      <protection locked="true" hidden="false"/>
    </xf>
    <xf numFmtId="176" fontId="138" fillId="44" borderId="79" xfId="0" applyFont="true" applyBorder="true" applyAlignment="true" applyProtection="false">
      <alignment horizontal="right" vertical="bottom" textRotation="0" wrapText="false" indent="0" shrinkToFit="false"/>
      <protection locked="true" hidden="false"/>
    </xf>
    <xf numFmtId="176" fontId="138" fillId="44" borderId="80" xfId="0" applyFont="true" applyBorder="true" applyAlignment="true" applyProtection="false">
      <alignment horizontal="right" vertical="bottom" textRotation="0" wrapText="false" indent="0" shrinkToFit="false"/>
      <protection locked="true" hidden="false"/>
    </xf>
    <xf numFmtId="177" fontId="138" fillId="5" borderId="55" xfId="0" applyFont="true" applyBorder="true" applyAlignment="true" applyProtection="false">
      <alignment horizontal="left" vertical="bottom" textRotation="0" wrapText="false" indent="1" shrinkToFit="false"/>
      <protection locked="true" hidden="false"/>
    </xf>
    <xf numFmtId="176" fontId="138" fillId="5" borderId="81" xfId="0" applyFont="true" applyBorder="true" applyAlignment="true" applyProtection="false">
      <alignment horizontal="right" vertical="bottom" textRotation="0" wrapText="false" indent="0" shrinkToFit="false"/>
      <protection locked="true" hidden="false"/>
    </xf>
    <xf numFmtId="176" fontId="138" fillId="5" borderId="79" xfId="0" applyFont="true" applyBorder="true" applyAlignment="true" applyProtection="false">
      <alignment horizontal="right" vertical="bottom" textRotation="0" wrapText="false" indent="0" shrinkToFit="false"/>
      <protection locked="true" hidden="false"/>
    </xf>
    <xf numFmtId="176" fontId="138" fillId="5" borderId="80" xfId="0" applyFont="true" applyBorder="true" applyAlignment="true" applyProtection="false">
      <alignment horizontal="right" vertical="bottom" textRotation="0" wrapText="false" indent="0" shrinkToFit="false"/>
      <protection locked="true" hidden="false"/>
    </xf>
    <xf numFmtId="177" fontId="138" fillId="12" borderId="55" xfId="0" applyFont="true" applyBorder="true" applyAlignment="true" applyProtection="false">
      <alignment horizontal="left" vertical="bottom" textRotation="0" wrapText="false" indent="1" shrinkToFit="false"/>
      <protection locked="true" hidden="false"/>
    </xf>
    <xf numFmtId="176" fontId="138" fillId="12" borderId="81" xfId="0" applyFont="true" applyBorder="true" applyAlignment="true" applyProtection="false">
      <alignment horizontal="right" vertical="bottom" textRotation="0" wrapText="false" indent="0" shrinkToFit="false"/>
      <protection locked="true" hidden="false"/>
    </xf>
    <xf numFmtId="176" fontId="138" fillId="12" borderId="79" xfId="0" applyFont="true" applyBorder="true" applyAlignment="true" applyProtection="false">
      <alignment horizontal="right" vertical="bottom" textRotation="0" wrapText="false" indent="0" shrinkToFit="false"/>
      <protection locked="true" hidden="false"/>
    </xf>
    <xf numFmtId="176" fontId="138" fillId="12" borderId="80" xfId="0" applyFont="true" applyBorder="true" applyAlignment="true" applyProtection="false">
      <alignment horizontal="right" vertical="bottom" textRotation="0" wrapText="false" indent="0" shrinkToFit="false"/>
      <protection locked="true" hidden="false"/>
    </xf>
    <xf numFmtId="177" fontId="138" fillId="44" borderId="55" xfId="0" applyFont="true" applyBorder="true" applyAlignment="true" applyProtection="false">
      <alignment horizontal="center" vertical="bottom" textRotation="0" wrapText="false" indent="0" shrinkToFit="false"/>
      <protection locked="true" hidden="false"/>
    </xf>
    <xf numFmtId="177" fontId="138" fillId="44" borderId="79" xfId="0" applyFont="true" applyBorder="true" applyAlignment="true" applyProtection="false">
      <alignment horizontal="center" vertical="bottom" textRotation="0" wrapText="false" indent="0" shrinkToFit="false"/>
      <protection locked="true" hidden="false"/>
    </xf>
    <xf numFmtId="177" fontId="138" fillId="5" borderId="55" xfId="0" applyFont="true" applyBorder="true" applyAlignment="true" applyProtection="false">
      <alignment horizontal="center" vertical="bottom" textRotation="0" wrapText="false" indent="0" shrinkToFit="false"/>
      <protection locked="true" hidden="false"/>
    </xf>
    <xf numFmtId="177" fontId="138" fillId="5" borderId="81" xfId="0" applyFont="true" applyBorder="true" applyAlignment="true" applyProtection="false">
      <alignment horizontal="center" vertical="bottom" textRotation="0" wrapText="false" indent="0" shrinkToFit="false"/>
      <protection locked="true" hidden="false"/>
    </xf>
    <xf numFmtId="177" fontId="138" fillId="12" borderId="81" xfId="0" applyFont="true" applyBorder="true" applyAlignment="true" applyProtection="false">
      <alignment horizontal="center" vertical="bottom" textRotation="0" wrapText="false" indent="0" shrinkToFit="false"/>
      <protection locked="true" hidden="false"/>
    </xf>
    <xf numFmtId="177" fontId="138" fillId="12" borderId="55" xfId="0" applyFont="true" applyBorder="true" applyAlignment="true" applyProtection="false">
      <alignment horizontal="center" vertical="bottom" textRotation="0" wrapText="false" indent="0" shrinkToFit="false"/>
      <protection locked="true" hidden="false"/>
    </xf>
    <xf numFmtId="177" fontId="138" fillId="43" borderId="55" xfId="0" applyFont="true" applyBorder="true" applyAlignment="true" applyProtection="false">
      <alignment horizontal="general" vertical="bottom" textRotation="0" wrapText="false" indent="0" shrinkToFit="false"/>
      <protection locked="true" hidden="false"/>
    </xf>
    <xf numFmtId="176" fontId="138" fillId="43" borderId="81" xfId="0" applyFont="true" applyBorder="true" applyAlignment="true" applyProtection="false">
      <alignment horizontal="general" vertical="bottom" textRotation="0" wrapText="false" indent="0" shrinkToFit="false"/>
      <protection locked="true" hidden="false"/>
    </xf>
    <xf numFmtId="176" fontId="138" fillId="43" borderId="79" xfId="0" applyFont="true" applyBorder="true" applyAlignment="true" applyProtection="false">
      <alignment horizontal="general" vertical="bottom" textRotation="0" wrapText="false" indent="0" shrinkToFit="false"/>
      <protection locked="true" hidden="false"/>
    </xf>
    <xf numFmtId="176" fontId="138" fillId="43" borderId="80" xfId="0" applyFont="true" applyBorder="true" applyAlignment="true" applyProtection="false">
      <alignment horizontal="general" vertical="bottom" textRotation="0" wrapText="false" indent="0" shrinkToFit="false"/>
      <protection locked="true" hidden="false"/>
    </xf>
    <xf numFmtId="176" fontId="138" fillId="44" borderId="55" xfId="0" applyFont="true" applyBorder="true" applyAlignment="true" applyProtection="false">
      <alignment horizontal="right" vertical="bottom" textRotation="0" wrapText="false" indent="1" shrinkToFit="false"/>
      <protection locked="true" hidden="false"/>
    </xf>
    <xf numFmtId="176" fontId="138" fillId="44" borderId="81" xfId="0" applyFont="true" applyBorder="true" applyAlignment="true" applyProtection="false">
      <alignment horizontal="general" vertical="bottom" textRotation="0" wrapText="false" indent="0" shrinkToFit="false"/>
      <protection locked="true" hidden="false"/>
    </xf>
    <xf numFmtId="176" fontId="138" fillId="44" borderId="79" xfId="0" applyFont="true" applyBorder="true" applyAlignment="true" applyProtection="false">
      <alignment horizontal="general" vertical="bottom" textRotation="0" wrapText="false" indent="0" shrinkToFit="false"/>
      <protection locked="true" hidden="false"/>
    </xf>
    <xf numFmtId="176" fontId="138" fillId="44" borderId="80" xfId="0" applyFont="true" applyBorder="true" applyAlignment="true" applyProtection="false">
      <alignment horizontal="general" vertical="bottom" textRotation="0" wrapText="false" indent="0" shrinkToFit="false"/>
      <protection locked="true" hidden="false"/>
    </xf>
    <xf numFmtId="177" fontId="138" fillId="5" borderId="55" xfId="0" applyFont="true" applyBorder="true" applyAlignment="true" applyProtection="false">
      <alignment horizontal="right" vertical="bottom" textRotation="0" wrapText="false" indent="1" shrinkToFit="false"/>
      <protection locked="true" hidden="false"/>
    </xf>
    <xf numFmtId="177" fontId="138" fillId="12" borderId="55" xfId="0" applyFont="true" applyBorder="true" applyAlignment="true" applyProtection="false">
      <alignment horizontal="right" vertical="bottom" textRotation="0" wrapText="false" indent="1" shrinkToFit="false"/>
      <protection locked="true" hidden="false"/>
    </xf>
    <xf numFmtId="176" fontId="138" fillId="12" borderId="81" xfId="0" applyFont="true" applyBorder="true" applyAlignment="true" applyProtection="false">
      <alignment horizontal="general" vertical="bottom" textRotation="0" wrapText="false" indent="0" shrinkToFit="false"/>
      <protection locked="true" hidden="false"/>
    </xf>
    <xf numFmtId="176" fontId="138" fillId="12" borderId="79" xfId="0" applyFont="true" applyBorder="true" applyAlignment="true" applyProtection="false">
      <alignment horizontal="general" vertical="bottom" textRotation="0" wrapText="false" indent="0" shrinkToFit="false"/>
      <protection locked="true" hidden="false"/>
    </xf>
    <xf numFmtId="176" fontId="138" fillId="12" borderId="80" xfId="0" applyFont="true" applyBorder="true" applyAlignment="true" applyProtection="false">
      <alignment horizontal="general" vertical="bottom" textRotation="0" wrapText="false" indent="0" shrinkToFit="false"/>
      <protection locked="true" hidden="false"/>
    </xf>
    <xf numFmtId="177" fontId="138" fillId="43" borderId="81" xfId="0" applyFont="true" applyBorder="true" applyAlignment="true" applyProtection="false">
      <alignment horizontal="right" vertical="bottom" textRotation="0" wrapText="false" indent="0" shrinkToFit="false"/>
      <protection locked="true" hidden="false"/>
    </xf>
    <xf numFmtId="177" fontId="138" fillId="43" borderId="79" xfId="0" applyFont="true" applyBorder="true" applyAlignment="true" applyProtection="false">
      <alignment horizontal="right" vertical="bottom" textRotation="0" wrapText="false" indent="0" shrinkToFit="false"/>
      <protection locked="true" hidden="false"/>
    </xf>
    <xf numFmtId="177" fontId="138" fillId="43" borderId="80" xfId="0" applyFont="true" applyBorder="true" applyAlignment="true" applyProtection="false">
      <alignment horizontal="right" vertical="bottom" textRotation="0" wrapText="false" indent="0" shrinkToFit="false"/>
      <protection locked="true" hidden="false"/>
    </xf>
    <xf numFmtId="177" fontId="138" fillId="44" borderId="55" xfId="0" applyFont="true" applyBorder="true" applyAlignment="true" applyProtection="false">
      <alignment horizontal="general" vertical="bottom" textRotation="0" wrapText="false" indent="0" shrinkToFit="false"/>
      <protection locked="true" hidden="false"/>
    </xf>
    <xf numFmtId="177" fontId="138" fillId="44" borderId="81" xfId="0" applyFont="true" applyBorder="true" applyAlignment="true" applyProtection="false">
      <alignment horizontal="right" vertical="bottom" textRotation="0" wrapText="false" indent="0" shrinkToFit="false"/>
      <protection locked="true" hidden="false"/>
    </xf>
    <xf numFmtId="177" fontId="138" fillId="44" borderId="79" xfId="0" applyFont="true" applyBorder="true" applyAlignment="true" applyProtection="false">
      <alignment horizontal="right" vertical="bottom" textRotation="0" wrapText="false" indent="0" shrinkToFit="false"/>
      <protection locked="true" hidden="false"/>
    </xf>
    <xf numFmtId="177" fontId="138" fillId="44" borderId="80" xfId="0" applyFont="true" applyBorder="true" applyAlignment="true" applyProtection="false">
      <alignment horizontal="right" vertical="bottom" textRotation="0" wrapText="false" indent="0" shrinkToFit="false"/>
      <protection locked="true" hidden="false"/>
    </xf>
    <xf numFmtId="177" fontId="138" fillId="5" borderId="55" xfId="0" applyFont="true" applyBorder="true" applyAlignment="true" applyProtection="false">
      <alignment horizontal="general" vertical="bottom" textRotation="0" wrapText="false" indent="0" shrinkToFit="false"/>
      <protection locked="true" hidden="false"/>
    </xf>
    <xf numFmtId="177" fontId="138" fillId="5" borderId="81" xfId="0" applyFont="true" applyBorder="true" applyAlignment="true" applyProtection="false">
      <alignment horizontal="right" vertical="bottom" textRotation="0" wrapText="false" indent="0" shrinkToFit="false"/>
      <protection locked="true" hidden="false"/>
    </xf>
    <xf numFmtId="177" fontId="138" fillId="5" borderId="79" xfId="0" applyFont="true" applyBorder="true" applyAlignment="true" applyProtection="false">
      <alignment horizontal="right" vertical="bottom" textRotation="0" wrapText="false" indent="0" shrinkToFit="false"/>
      <protection locked="true" hidden="false"/>
    </xf>
    <xf numFmtId="177" fontId="138" fillId="5" borderId="80" xfId="0" applyFont="true" applyBorder="true" applyAlignment="true" applyProtection="false">
      <alignment horizontal="right" vertical="bottom" textRotation="0" wrapText="false" indent="0" shrinkToFit="false"/>
      <protection locked="true" hidden="false"/>
    </xf>
    <xf numFmtId="177" fontId="138" fillId="12" borderId="55" xfId="0" applyFont="true" applyBorder="true" applyAlignment="true" applyProtection="false">
      <alignment horizontal="general" vertical="bottom" textRotation="0" wrapText="false" indent="0" shrinkToFit="false"/>
      <protection locked="true" hidden="false"/>
    </xf>
    <xf numFmtId="177" fontId="138" fillId="12" borderId="81" xfId="0" applyFont="true" applyBorder="true" applyAlignment="true" applyProtection="false">
      <alignment horizontal="right" vertical="bottom" textRotation="0" wrapText="false" indent="0" shrinkToFit="false"/>
      <protection locked="true" hidden="false"/>
    </xf>
    <xf numFmtId="177" fontId="138" fillId="12" borderId="79" xfId="0" applyFont="true" applyBorder="true" applyAlignment="true" applyProtection="false">
      <alignment horizontal="right" vertical="bottom" textRotation="0" wrapText="false" indent="0" shrinkToFit="false"/>
      <protection locked="true" hidden="false"/>
    </xf>
    <xf numFmtId="177" fontId="138" fillId="12" borderId="80" xfId="0" applyFont="true" applyBorder="true" applyAlignment="true" applyProtection="false">
      <alignment horizontal="right" vertical="bottom" textRotation="0" wrapText="false" indent="0" shrinkToFit="false"/>
      <protection locked="true" hidden="false"/>
    </xf>
    <xf numFmtId="177" fontId="138" fillId="43" borderId="88" xfId="0" applyFont="true" applyBorder="true" applyAlignment="true" applyProtection="false">
      <alignment horizontal="general" vertical="bottom" textRotation="0" wrapText="false" indent="0" shrinkToFit="false"/>
      <protection locked="true" hidden="false"/>
    </xf>
    <xf numFmtId="167" fontId="138" fillId="43" borderId="87" xfId="0" applyFont="true" applyBorder="true" applyAlignment="true" applyProtection="false">
      <alignment horizontal="right" vertical="bottom" textRotation="0" wrapText="false" indent="0" shrinkToFit="false"/>
      <protection locked="true" hidden="false"/>
    </xf>
    <xf numFmtId="167" fontId="138" fillId="43" borderId="89" xfId="0" applyFont="true" applyBorder="true" applyAlignment="true" applyProtection="false">
      <alignment horizontal="right" vertical="bottom" textRotation="0" wrapText="false" indent="0" shrinkToFit="false"/>
      <protection locked="true" hidden="false"/>
    </xf>
    <xf numFmtId="167" fontId="138" fillId="43" borderId="90" xfId="0" applyFont="true" applyBorder="true" applyAlignment="true" applyProtection="false">
      <alignment horizontal="right" vertical="bottom" textRotation="0" wrapText="false" indent="0" shrinkToFit="false"/>
      <protection locked="true" hidden="false"/>
    </xf>
    <xf numFmtId="177" fontId="138" fillId="44" borderId="88" xfId="0" applyFont="true" applyBorder="true" applyAlignment="true" applyProtection="false">
      <alignment horizontal="general" vertical="bottom" textRotation="0" wrapText="false" indent="0" shrinkToFit="false"/>
      <protection locked="true" hidden="false"/>
    </xf>
    <xf numFmtId="167" fontId="138" fillId="44" borderId="87" xfId="0" applyFont="true" applyBorder="true" applyAlignment="true" applyProtection="false">
      <alignment horizontal="right" vertical="bottom" textRotation="0" wrapText="false" indent="0" shrinkToFit="false"/>
      <protection locked="true" hidden="false"/>
    </xf>
    <xf numFmtId="167" fontId="138" fillId="44" borderId="89" xfId="0" applyFont="true" applyBorder="true" applyAlignment="true" applyProtection="false">
      <alignment horizontal="right" vertical="bottom" textRotation="0" wrapText="false" indent="0" shrinkToFit="false"/>
      <protection locked="true" hidden="false"/>
    </xf>
    <xf numFmtId="167" fontId="138" fillId="44" borderId="90" xfId="0" applyFont="true" applyBorder="true" applyAlignment="true" applyProtection="false">
      <alignment horizontal="right" vertical="bottom" textRotation="0" wrapText="false" indent="0" shrinkToFit="false"/>
      <protection locked="true" hidden="false"/>
    </xf>
    <xf numFmtId="177" fontId="138" fillId="5" borderId="88" xfId="0" applyFont="true" applyBorder="true" applyAlignment="true" applyProtection="false">
      <alignment horizontal="general" vertical="bottom" textRotation="0" wrapText="false" indent="0" shrinkToFit="false"/>
      <protection locked="true" hidden="false"/>
    </xf>
    <xf numFmtId="167" fontId="138" fillId="5" borderId="87" xfId="0" applyFont="true" applyBorder="true" applyAlignment="true" applyProtection="false">
      <alignment horizontal="right" vertical="bottom" textRotation="0" wrapText="false" indent="0" shrinkToFit="false"/>
      <protection locked="true" hidden="false"/>
    </xf>
    <xf numFmtId="167" fontId="138" fillId="5" borderId="89" xfId="0" applyFont="true" applyBorder="true" applyAlignment="true" applyProtection="false">
      <alignment horizontal="right" vertical="bottom" textRotation="0" wrapText="false" indent="0" shrinkToFit="false"/>
      <protection locked="true" hidden="false"/>
    </xf>
    <xf numFmtId="167" fontId="138" fillId="5" borderId="90" xfId="0" applyFont="true" applyBorder="true" applyAlignment="true" applyProtection="false">
      <alignment horizontal="right" vertical="bottom" textRotation="0" wrapText="false" indent="0" shrinkToFit="false"/>
      <protection locked="true" hidden="false"/>
    </xf>
    <xf numFmtId="177" fontId="138" fillId="12" borderId="88" xfId="0" applyFont="true" applyBorder="true" applyAlignment="true" applyProtection="false">
      <alignment horizontal="general" vertical="bottom" textRotation="0" wrapText="false" indent="0" shrinkToFit="false"/>
      <protection locked="true" hidden="false"/>
    </xf>
    <xf numFmtId="167" fontId="138" fillId="12" borderId="87" xfId="0" applyFont="true" applyBorder="true" applyAlignment="true" applyProtection="false">
      <alignment horizontal="right" vertical="bottom" textRotation="0" wrapText="false" indent="0" shrinkToFit="false"/>
      <protection locked="true" hidden="false"/>
    </xf>
    <xf numFmtId="167" fontId="138" fillId="12" borderId="89" xfId="0" applyFont="true" applyBorder="true" applyAlignment="true" applyProtection="false">
      <alignment horizontal="right" vertical="bottom" textRotation="0" wrapText="false" indent="0" shrinkToFit="false"/>
      <protection locked="true" hidden="false"/>
    </xf>
    <xf numFmtId="167" fontId="138" fillId="12" borderId="90" xfId="0" applyFont="true" applyBorder="true" applyAlignment="true" applyProtection="false">
      <alignment horizontal="right" vertical="bottom" textRotation="0" wrapText="false" indent="0" shrinkToFit="false"/>
      <protection locked="true" hidden="false"/>
    </xf>
    <xf numFmtId="177" fontId="138" fillId="0" borderId="31" xfId="0" applyFont="true" applyBorder="true" applyAlignment="true" applyProtection="false">
      <alignment horizontal="left" vertical="bottom" textRotation="0" wrapText="false" indent="1" shrinkToFit="false"/>
      <protection locked="true" hidden="false"/>
    </xf>
    <xf numFmtId="177" fontId="138" fillId="0" borderId="0" xfId="0" applyFont="true" applyBorder="false" applyAlignment="true" applyProtection="false">
      <alignment horizontal="right" vertical="bottom" textRotation="0" wrapText="false" indent="0" shrinkToFit="false"/>
      <protection locked="true" hidden="false"/>
    </xf>
    <xf numFmtId="177" fontId="138" fillId="0" borderId="18" xfId="0" applyFont="true" applyBorder="true" applyAlignment="true" applyProtection="false">
      <alignment horizontal="right" vertical="bottom" textRotation="0" wrapText="false" indent="0" shrinkToFit="false"/>
      <protection locked="true" hidden="false"/>
    </xf>
    <xf numFmtId="177" fontId="138" fillId="44" borderId="77" xfId="0" applyFont="true" applyBorder="true" applyAlignment="true" applyProtection="false">
      <alignment horizontal="general" vertical="bottom" textRotation="0" wrapText="false" indent="0" shrinkToFit="false"/>
      <protection locked="true" hidden="false"/>
    </xf>
    <xf numFmtId="177" fontId="138" fillId="5" borderId="77" xfId="0" applyFont="true" applyBorder="true" applyAlignment="true" applyProtection="false">
      <alignment horizontal="general" vertical="bottom" textRotation="0" wrapText="false" indent="0" shrinkToFit="false"/>
      <protection locked="true" hidden="false"/>
    </xf>
    <xf numFmtId="177" fontId="138" fillId="12" borderId="77" xfId="0" applyFont="true" applyBorder="true" applyAlignment="true" applyProtection="false">
      <alignment horizontal="general" vertical="bottom" textRotation="0" wrapText="false" indent="0" shrinkToFit="false"/>
      <protection locked="true" hidden="false"/>
    </xf>
    <xf numFmtId="189" fontId="138" fillId="43" borderId="55" xfId="0" applyFont="true" applyBorder="true" applyAlignment="true" applyProtection="false">
      <alignment horizontal="left" vertical="bottom" textRotation="0" wrapText="false" indent="1" shrinkToFit="false"/>
      <protection locked="true" hidden="false"/>
    </xf>
    <xf numFmtId="189" fontId="138" fillId="44" borderId="55" xfId="0" applyFont="true" applyBorder="true" applyAlignment="true" applyProtection="false">
      <alignment horizontal="left" vertical="bottom" textRotation="0" wrapText="false" indent="1" shrinkToFit="false"/>
      <protection locked="true" hidden="false"/>
    </xf>
    <xf numFmtId="189" fontId="138" fillId="5" borderId="55" xfId="0" applyFont="true" applyBorder="true" applyAlignment="true" applyProtection="false">
      <alignment horizontal="left" vertical="bottom" textRotation="0" wrapText="false" indent="1" shrinkToFit="false"/>
      <protection locked="true" hidden="false"/>
    </xf>
    <xf numFmtId="189" fontId="138" fillId="12" borderId="55" xfId="0" applyFont="true" applyBorder="true" applyAlignment="true" applyProtection="false">
      <alignment horizontal="left" vertical="bottom" textRotation="0" wrapText="false" indent="1" shrinkToFit="false"/>
      <protection locked="true" hidden="false"/>
    </xf>
    <xf numFmtId="176" fontId="138" fillId="43" borderId="87" xfId="0" applyFont="true" applyBorder="true" applyAlignment="true" applyProtection="false">
      <alignment horizontal="general" vertical="bottom" textRotation="0" wrapText="false" indent="0" shrinkToFit="false"/>
      <protection locked="true" hidden="false"/>
    </xf>
    <xf numFmtId="176" fontId="138" fillId="43" borderId="89" xfId="0" applyFont="true" applyBorder="true" applyAlignment="true" applyProtection="false">
      <alignment horizontal="general" vertical="bottom" textRotation="0" wrapText="false" indent="0" shrinkToFit="false"/>
      <protection locked="true" hidden="false"/>
    </xf>
    <xf numFmtId="176" fontId="138" fillId="43" borderId="90" xfId="0" applyFont="true" applyBorder="true" applyAlignment="true" applyProtection="false">
      <alignment horizontal="general" vertical="bottom" textRotation="0" wrapText="false" indent="0" shrinkToFit="false"/>
      <protection locked="true" hidden="false"/>
    </xf>
    <xf numFmtId="176" fontId="138" fillId="44" borderId="88" xfId="0" applyFont="true" applyBorder="true" applyAlignment="true" applyProtection="false">
      <alignment horizontal="right" vertical="bottom" textRotation="0" wrapText="false" indent="0" shrinkToFit="false"/>
      <protection locked="true" hidden="false"/>
    </xf>
    <xf numFmtId="176" fontId="138" fillId="44" borderId="87" xfId="0" applyFont="true" applyBorder="true" applyAlignment="true" applyProtection="false">
      <alignment horizontal="general" vertical="bottom" textRotation="0" wrapText="false" indent="0" shrinkToFit="false"/>
      <protection locked="true" hidden="false"/>
    </xf>
    <xf numFmtId="176" fontId="138" fillId="44" borderId="89" xfId="0" applyFont="true" applyBorder="true" applyAlignment="true" applyProtection="false">
      <alignment horizontal="general" vertical="bottom" textRotation="0" wrapText="false" indent="0" shrinkToFit="false"/>
      <protection locked="true" hidden="false"/>
    </xf>
    <xf numFmtId="176" fontId="138" fillId="44" borderId="90" xfId="0" applyFont="true" applyBorder="true" applyAlignment="true" applyProtection="false">
      <alignment horizontal="general" vertical="bottom" textRotation="0" wrapText="false" indent="0" shrinkToFit="false"/>
      <protection locked="true" hidden="false"/>
    </xf>
    <xf numFmtId="177" fontId="138" fillId="5" borderId="88" xfId="0" applyFont="true" applyBorder="true" applyAlignment="true" applyProtection="false">
      <alignment horizontal="right" vertical="bottom" textRotation="0" wrapText="false" indent="0" shrinkToFit="false"/>
      <protection locked="true" hidden="false"/>
    </xf>
    <xf numFmtId="176" fontId="138" fillId="5" borderId="87" xfId="0" applyFont="true" applyBorder="true" applyAlignment="true" applyProtection="false">
      <alignment horizontal="right" vertical="bottom" textRotation="0" wrapText="false" indent="0" shrinkToFit="false"/>
      <protection locked="true" hidden="false"/>
    </xf>
    <xf numFmtId="176" fontId="138" fillId="5" borderId="89" xfId="0" applyFont="true" applyBorder="true" applyAlignment="true" applyProtection="false">
      <alignment horizontal="right" vertical="bottom" textRotation="0" wrapText="false" indent="0" shrinkToFit="false"/>
      <protection locked="true" hidden="false"/>
    </xf>
    <xf numFmtId="176" fontId="138" fillId="5" borderId="90" xfId="0" applyFont="true" applyBorder="true" applyAlignment="true" applyProtection="false">
      <alignment horizontal="right" vertical="bottom" textRotation="0" wrapText="false" indent="0" shrinkToFit="false"/>
      <protection locked="true" hidden="false"/>
    </xf>
    <xf numFmtId="177" fontId="138" fillId="12" borderId="88" xfId="0" applyFont="true" applyBorder="true" applyAlignment="true" applyProtection="false">
      <alignment horizontal="right" vertical="bottom" textRotation="0" wrapText="false" indent="0" shrinkToFit="false"/>
      <protection locked="true" hidden="false"/>
    </xf>
    <xf numFmtId="176" fontId="138" fillId="12" borderId="87" xfId="0" applyFont="true" applyBorder="true" applyAlignment="true" applyProtection="false">
      <alignment horizontal="general" vertical="bottom" textRotation="0" wrapText="false" indent="0" shrinkToFit="false"/>
      <protection locked="true" hidden="false"/>
    </xf>
    <xf numFmtId="176" fontId="138" fillId="12" borderId="89" xfId="0" applyFont="true" applyBorder="true" applyAlignment="true" applyProtection="false">
      <alignment horizontal="general" vertical="bottom" textRotation="0" wrapText="false" indent="0" shrinkToFit="false"/>
      <protection locked="true" hidden="false"/>
    </xf>
    <xf numFmtId="176" fontId="138" fillId="12" borderId="90" xfId="0" applyFont="true" applyBorder="true" applyAlignment="true" applyProtection="false">
      <alignment horizontal="general" vertical="bottom" textRotation="0" wrapText="false" indent="0" shrinkToFit="false"/>
      <protection locked="true" hidden="false"/>
    </xf>
    <xf numFmtId="177" fontId="138" fillId="43" borderId="88" xfId="0" applyFont="true" applyBorder="true" applyAlignment="true" applyProtection="false">
      <alignment horizontal="left" vertical="bottom" textRotation="0" wrapText="false" indent="0" shrinkToFit="false"/>
      <protection locked="true" hidden="false"/>
    </xf>
    <xf numFmtId="176" fontId="138" fillId="43" borderId="87" xfId="0" applyFont="true" applyBorder="true" applyAlignment="true" applyProtection="false">
      <alignment horizontal="right" vertical="bottom" textRotation="0" wrapText="false" indent="0" shrinkToFit="false"/>
      <protection locked="true" hidden="false"/>
    </xf>
    <xf numFmtId="176" fontId="138" fillId="43" borderId="89" xfId="0" applyFont="true" applyBorder="true" applyAlignment="true" applyProtection="false">
      <alignment horizontal="right" vertical="bottom" textRotation="0" wrapText="false" indent="0" shrinkToFit="false"/>
      <protection locked="true" hidden="false"/>
    </xf>
    <xf numFmtId="176" fontId="138" fillId="43" borderId="90" xfId="0" applyFont="true" applyBorder="true" applyAlignment="true" applyProtection="false">
      <alignment horizontal="right" vertical="bottom" textRotation="0" wrapText="false" indent="0" shrinkToFit="false"/>
      <protection locked="true" hidden="false"/>
    </xf>
    <xf numFmtId="177" fontId="138" fillId="44" borderId="88" xfId="0" applyFont="true" applyBorder="true" applyAlignment="true" applyProtection="false">
      <alignment horizontal="left" vertical="bottom" textRotation="0" wrapText="false" indent="0" shrinkToFit="false"/>
      <protection locked="true" hidden="false"/>
    </xf>
    <xf numFmtId="176" fontId="138" fillId="44" borderId="87" xfId="0" applyFont="true" applyBorder="true" applyAlignment="true" applyProtection="false">
      <alignment horizontal="right" vertical="bottom" textRotation="0" wrapText="false" indent="0" shrinkToFit="false"/>
      <protection locked="true" hidden="false"/>
    </xf>
    <xf numFmtId="176" fontId="138" fillId="44" borderId="89" xfId="0" applyFont="true" applyBorder="true" applyAlignment="true" applyProtection="false">
      <alignment horizontal="right" vertical="bottom" textRotation="0" wrapText="false" indent="0" shrinkToFit="false"/>
      <protection locked="true" hidden="false"/>
    </xf>
    <xf numFmtId="176" fontId="138" fillId="44" borderId="90" xfId="0" applyFont="true" applyBorder="true" applyAlignment="true" applyProtection="false">
      <alignment horizontal="right" vertical="bottom" textRotation="0" wrapText="false" indent="0" shrinkToFit="false"/>
      <protection locked="true" hidden="false"/>
    </xf>
    <xf numFmtId="177" fontId="138" fillId="5" borderId="88" xfId="0" applyFont="true" applyBorder="true" applyAlignment="true" applyProtection="false">
      <alignment horizontal="left" vertical="bottom" textRotation="0" wrapText="false" indent="0" shrinkToFit="false"/>
      <protection locked="true" hidden="false"/>
    </xf>
    <xf numFmtId="177" fontId="138" fillId="12" borderId="88" xfId="0" applyFont="true" applyBorder="true" applyAlignment="true" applyProtection="false">
      <alignment horizontal="left" vertical="bottom" textRotation="0" wrapText="false" indent="0" shrinkToFit="false"/>
      <protection locked="true" hidden="false"/>
    </xf>
    <xf numFmtId="176" fontId="138" fillId="12" borderId="87" xfId="0" applyFont="true" applyBorder="true" applyAlignment="true" applyProtection="false">
      <alignment horizontal="right" vertical="bottom" textRotation="0" wrapText="false" indent="0" shrinkToFit="false"/>
      <protection locked="true" hidden="false"/>
    </xf>
    <xf numFmtId="176" fontId="138" fillId="12" borderId="89" xfId="0" applyFont="true" applyBorder="true" applyAlignment="true" applyProtection="false">
      <alignment horizontal="right" vertical="bottom" textRotation="0" wrapText="false" indent="0" shrinkToFit="false"/>
      <protection locked="true" hidden="false"/>
    </xf>
    <xf numFmtId="176" fontId="138" fillId="12" borderId="90" xfId="0" applyFont="true" applyBorder="true" applyAlignment="true" applyProtection="false">
      <alignment horizontal="right" vertical="bottom" textRotation="0" wrapText="false" indent="0" shrinkToFit="false"/>
      <protection locked="true" hidden="false"/>
    </xf>
    <xf numFmtId="177" fontId="138" fillId="0" borderId="0" xfId="0" applyFont="true" applyBorder="false" applyAlignment="true" applyProtection="false">
      <alignment horizontal="general" vertical="bottom" textRotation="0" wrapText="false" indent="0" shrinkToFit="false"/>
      <protection locked="true" hidden="false"/>
    </xf>
    <xf numFmtId="177" fontId="136" fillId="0" borderId="0" xfId="0" applyFont="true" applyBorder="false" applyAlignment="true" applyProtection="false">
      <alignment horizontal="right" vertical="bottom" textRotation="0" wrapText="false" indent="0" shrinkToFit="false"/>
      <protection locked="true" hidden="false"/>
    </xf>
    <xf numFmtId="177" fontId="138" fillId="0" borderId="18" xfId="0" applyFont="true" applyBorder="true" applyAlignment="true" applyProtection="false">
      <alignment horizontal="general" vertical="bottom" textRotation="0" wrapText="false" indent="0" shrinkToFit="false"/>
      <protection locked="true" hidden="false"/>
    </xf>
    <xf numFmtId="177" fontId="138" fillId="0" borderId="23" xfId="0" applyFont="true" applyBorder="true" applyAlignment="true" applyProtection="false">
      <alignment horizontal="left" vertical="bottom" textRotation="0" wrapText="false" indent="0" shrinkToFit="false"/>
      <protection locked="true" hidden="false"/>
    </xf>
    <xf numFmtId="177" fontId="138" fillId="0" borderId="40" xfId="0" applyFont="true" applyBorder="true" applyAlignment="true" applyProtection="false">
      <alignment horizontal="left" vertical="bottom" textRotation="0" wrapText="false" indent="0" shrinkToFit="false"/>
      <protection locked="true" hidden="false"/>
    </xf>
    <xf numFmtId="177" fontId="138" fillId="0" borderId="46" xfId="0" applyFont="true" applyBorder="true" applyAlignment="true" applyProtection="false">
      <alignment horizontal="right" vertical="bottom" textRotation="0" wrapText="false" indent="0" shrinkToFit="false"/>
      <protection locked="true" hidden="false"/>
    </xf>
    <xf numFmtId="177" fontId="138" fillId="0" borderId="47" xfId="0" applyFont="true" applyBorder="true" applyAlignment="true" applyProtection="false">
      <alignment horizontal="right" vertical="bottom" textRotation="0" wrapText="false" indent="0" shrinkToFit="false"/>
      <protection locked="true" hidden="false"/>
    </xf>
    <xf numFmtId="177" fontId="138" fillId="44" borderId="77" xfId="0" applyFont="true" applyBorder="true" applyAlignment="true" applyProtection="false">
      <alignment horizontal="right" vertical="bottom" textRotation="0" wrapText="false" indent="0" shrinkToFit="false"/>
      <protection locked="true" hidden="false"/>
    </xf>
    <xf numFmtId="177" fontId="138" fillId="44" borderId="78" xfId="0" applyFont="true" applyBorder="true" applyAlignment="true" applyProtection="false">
      <alignment horizontal="general" vertical="bottom" textRotation="0" wrapText="false" indent="0" shrinkToFit="false"/>
      <protection locked="true" hidden="false"/>
    </xf>
    <xf numFmtId="177" fontId="138" fillId="44" borderId="73" xfId="0" applyFont="true" applyBorder="true" applyAlignment="true" applyProtection="false">
      <alignment horizontal="general" vertical="bottom" textRotation="0" wrapText="false" indent="0" shrinkToFit="false"/>
      <protection locked="true" hidden="false"/>
    </xf>
    <xf numFmtId="177" fontId="138" fillId="44" borderId="74" xfId="0" applyFont="true" applyBorder="true" applyAlignment="true" applyProtection="false">
      <alignment horizontal="general" vertical="bottom" textRotation="0" wrapText="false" indent="0" shrinkToFit="false"/>
      <protection locked="true" hidden="false"/>
    </xf>
    <xf numFmtId="177" fontId="138" fillId="43" borderId="81" xfId="0" applyFont="true" applyBorder="true" applyAlignment="true" applyProtection="false">
      <alignment horizontal="general" vertical="bottom" textRotation="0" wrapText="false" indent="0" shrinkToFit="false"/>
      <protection locked="true" hidden="false"/>
    </xf>
    <xf numFmtId="177" fontId="138" fillId="43" borderId="79" xfId="0" applyFont="true" applyBorder="true" applyAlignment="true" applyProtection="false">
      <alignment horizontal="general" vertical="bottom" textRotation="0" wrapText="false" indent="0" shrinkToFit="false"/>
      <protection locked="true" hidden="false"/>
    </xf>
    <xf numFmtId="177" fontId="138" fillId="43" borderId="80" xfId="0" applyFont="true" applyBorder="true" applyAlignment="true" applyProtection="false">
      <alignment horizontal="general" vertical="bottom" textRotation="0" wrapText="false" indent="0" shrinkToFit="false"/>
      <protection locked="true" hidden="false"/>
    </xf>
    <xf numFmtId="177" fontId="138" fillId="44" borderId="55" xfId="0" applyFont="true" applyBorder="true" applyAlignment="true" applyProtection="false">
      <alignment horizontal="right" vertical="bottom" textRotation="0" wrapText="false" indent="1" shrinkToFit="false"/>
      <protection locked="true" hidden="false"/>
    </xf>
    <xf numFmtId="177" fontId="138" fillId="44" borderId="81" xfId="0" applyFont="true" applyBorder="true" applyAlignment="true" applyProtection="false">
      <alignment horizontal="general" vertical="bottom" textRotation="0" wrapText="false" indent="0" shrinkToFit="false"/>
      <protection locked="true" hidden="false"/>
    </xf>
    <xf numFmtId="177" fontId="138" fillId="44" borderId="79" xfId="0" applyFont="true" applyBorder="true" applyAlignment="true" applyProtection="false">
      <alignment horizontal="general" vertical="bottom" textRotation="0" wrapText="false" indent="0" shrinkToFit="false"/>
      <protection locked="true" hidden="false"/>
    </xf>
    <xf numFmtId="177" fontId="138" fillId="44" borderId="80" xfId="0" applyFont="true" applyBorder="true" applyAlignment="true" applyProtection="false">
      <alignment horizontal="general" vertical="bottom" textRotation="0" wrapText="false" indent="0" shrinkToFit="false"/>
      <protection locked="true" hidden="false"/>
    </xf>
    <xf numFmtId="177" fontId="138" fillId="12" borderId="81" xfId="0" applyFont="true" applyBorder="true" applyAlignment="true" applyProtection="false">
      <alignment horizontal="general" vertical="bottom" textRotation="0" wrapText="false" indent="0" shrinkToFit="false"/>
      <protection locked="true" hidden="false"/>
    </xf>
    <xf numFmtId="177" fontId="138" fillId="12" borderId="79" xfId="0" applyFont="true" applyBorder="true" applyAlignment="true" applyProtection="false">
      <alignment horizontal="general" vertical="bottom" textRotation="0" wrapText="false" indent="0" shrinkToFit="false"/>
      <protection locked="true" hidden="false"/>
    </xf>
    <xf numFmtId="177" fontId="138" fillId="12" borderId="80" xfId="0" applyFont="true" applyBorder="true" applyAlignment="true" applyProtection="false">
      <alignment horizontal="general" vertical="bottom" textRotation="0" wrapText="false" indent="0" shrinkToFit="false"/>
      <protection locked="true" hidden="false"/>
    </xf>
    <xf numFmtId="177" fontId="138" fillId="0" borderId="55" xfId="0" applyFont="true" applyBorder="true" applyAlignment="true" applyProtection="false">
      <alignment horizontal="center" vertical="bottom" textRotation="0" wrapText="false" indent="0" shrinkToFit="false"/>
      <protection locked="true" hidden="false"/>
    </xf>
    <xf numFmtId="177" fontId="138" fillId="0" borderId="81" xfId="0" applyFont="true" applyBorder="true" applyAlignment="true" applyProtection="false">
      <alignment horizontal="center" vertical="bottom" textRotation="0" wrapText="false" indent="0" shrinkToFit="false"/>
      <protection locked="true" hidden="false"/>
    </xf>
    <xf numFmtId="177" fontId="138" fillId="0" borderId="79" xfId="0" applyFont="true" applyBorder="true" applyAlignment="true" applyProtection="false">
      <alignment horizontal="center" vertical="bottom" textRotation="0" wrapText="false" indent="0" shrinkToFit="false"/>
      <protection locked="true" hidden="false"/>
    </xf>
    <xf numFmtId="177" fontId="138" fillId="43" borderId="87" xfId="0" applyFont="true" applyBorder="true" applyAlignment="true" applyProtection="false">
      <alignment horizontal="right" vertical="bottom" textRotation="0" wrapText="false" indent="0" shrinkToFit="false"/>
      <protection locked="true" hidden="false"/>
    </xf>
    <xf numFmtId="177" fontId="138" fillId="43" borderId="89" xfId="0" applyFont="true" applyBorder="true" applyAlignment="true" applyProtection="false">
      <alignment horizontal="right" vertical="bottom" textRotation="0" wrapText="false" indent="0" shrinkToFit="false"/>
      <protection locked="true" hidden="false"/>
    </xf>
    <xf numFmtId="177" fontId="138" fillId="43" borderId="90" xfId="0" applyFont="true" applyBorder="true" applyAlignment="true" applyProtection="false">
      <alignment horizontal="right" vertical="bottom" textRotation="0" wrapText="false" indent="0" shrinkToFit="false"/>
      <protection locked="true" hidden="false"/>
    </xf>
    <xf numFmtId="177" fontId="138" fillId="44" borderId="87" xfId="0" applyFont="true" applyBorder="true" applyAlignment="true" applyProtection="false">
      <alignment horizontal="right" vertical="bottom" textRotation="0" wrapText="false" indent="0" shrinkToFit="false"/>
      <protection locked="true" hidden="false"/>
    </xf>
    <xf numFmtId="177" fontId="138" fillId="44" borderId="89" xfId="0" applyFont="true" applyBorder="true" applyAlignment="true" applyProtection="false">
      <alignment horizontal="right" vertical="bottom" textRotation="0" wrapText="false" indent="0" shrinkToFit="false"/>
      <protection locked="true" hidden="false"/>
    </xf>
    <xf numFmtId="177" fontId="138" fillId="44" borderId="90" xfId="0" applyFont="true" applyBorder="true" applyAlignment="true" applyProtection="false">
      <alignment horizontal="right" vertical="bottom" textRotation="0" wrapText="false" indent="0" shrinkToFit="false"/>
      <protection locked="true" hidden="false"/>
    </xf>
    <xf numFmtId="177" fontId="138" fillId="5" borderId="87" xfId="0" applyFont="true" applyBorder="true" applyAlignment="true" applyProtection="false">
      <alignment horizontal="right" vertical="bottom" textRotation="0" wrapText="false" indent="0" shrinkToFit="false"/>
      <protection locked="true" hidden="false"/>
    </xf>
    <xf numFmtId="177" fontId="138" fillId="5" borderId="89" xfId="0" applyFont="true" applyBorder="true" applyAlignment="true" applyProtection="false">
      <alignment horizontal="right" vertical="bottom" textRotation="0" wrapText="false" indent="0" shrinkToFit="false"/>
      <protection locked="true" hidden="false"/>
    </xf>
    <xf numFmtId="177" fontId="138" fillId="5" borderId="90" xfId="0" applyFont="true" applyBorder="true" applyAlignment="true" applyProtection="false">
      <alignment horizontal="right" vertical="bottom" textRotation="0" wrapText="false" indent="0" shrinkToFit="false"/>
      <protection locked="true" hidden="false"/>
    </xf>
    <xf numFmtId="177" fontId="138" fillId="12" borderId="87" xfId="0" applyFont="true" applyBorder="true" applyAlignment="true" applyProtection="false">
      <alignment horizontal="right" vertical="bottom" textRotation="0" wrapText="false" indent="0" shrinkToFit="false"/>
      <protection locked="true" hidden="false"/>
    </xf>
    <xf numFmtId="177" fontId="138" fillId="12" borderId="89" xfId="0" applyFont="true" applyBorder="true" applyAlignment="true" applyProtection="false">
      <alignment horizontal="right" vertical="bottom" textRotation="0" wrapText="false" indent="0" shrinkToFit="false"/>
      <protection locked="true" hidden="false"/>
    </xf>
    <xf numFmtId="177" fontId="138" fillId="12" borderId="90" xfId="0" applyFont="true" applyBorder="true" applyAlignment="true" applyProtection="false">
      <alignment horizontal="right" vertical="bottom" textRotation="0" wrapText="false" indent="0" shrinkToFit="false"/>
      <protection locked="true" hidden="false"/>
    </xf>
    <xf numFmtId="177" fontId="138" fillId="43" borderId="87" xfId="0" applyFont="true" applyBorder="true" applyAlignment="true" applyProtection="false">
      <alignment horizontal="general" vertical="bottom" textRotation="0" wrapText="false" indent="0" shrinkToFit="false"/>
      <protection locked="true" hidden="false"/>
    </xf>
    <xf numFmtId="177" fontId="138" fillId="43" borderId="89" xfId="0" applyFont="true" applyBorder="true" applyAlignment="true" applyProtection="false">
      <alignment horizontal="general" vertical="bottom" textRotation="0" wrapText="false" indent="0" shrinkToFit="false"/>
      <protection locked="true" hidden="false"/>
    </xf>
    <xf numFmtId="177" fontId="138" fillId="43" borderId="90" xfId="0" applyFont="true" applyBorder="true" applyAlignment="true" applyProtection="false">
      <alignment horizontal="general" vertical="bottom" textRotation="0" wrapText="false" indent="0" shrinkToFit="false"/>
      <protection locked="true" hidden="false"/>
    </xf>
    <xf numFmtId="177" fontId="138" fillId="44" borderId="88" xfId="0" applyFont="true" applyBorder="true" applyAlignment="true" applyProtection="false">
      <alignment horizontal="right" vertical="bottom" textRotation="0" wrapText="false" indent="1" shrinkToFit="false"/>
      <protection locked="true" hidden="false"/>
    </xf>
    <xf numFmtId="177" fontId="138" fillId="44" borderId="87" xfId="0" applyFont="true" applyBorder="true" applyAlignment="true" applyProtection="false">
      <alignment horizontal="general" vertical="bottom" textRotation="0" wrapText="false" indent="0" shrinkToFit="false"/>
      <protection locked="true" hidden="false"/>
    </xf>
    <xf numFmtId="177" fontId="138" fillId="44" borderId="89" xfId="0" applyFont="true" applyBorder="true" applyAlignment="true" applyProtection="false">
      <alignment horizontal="general" vertical="bottom" textRotation="0" wrapText="false" indent="0" shrinkToFit="false"/>
      <protection locked="true" hidden="false"/>
    </xf>
    <xf numFmtId="177" fontId="138" fillId="44" borderId="90" xfId="0" applyFont="true" applyBorder="true" applyAlignment="true" applyProtection="false">
      <alignment horizontal="general" vertical="bottom" textRotation="0" wrapText="false" indent="0" shrinkToFit="false"/>
      <protection locked="true" hidden="false"/>
    </xf>
    <xf numFmtId="177" fontId="138" fillId="5" borderId="88" xfId="0" applyFont="true" applyBorder="true" applyAlignment="true" applyProtection="false">
      <alignment horizontal="right" vertical="bottom" textRotation="0" wrapText="false" indent="1" shrinkToFit="false"/>
      <protection locked="true" hidden="false"/>
    </xf>
    <xf numFmtId="177" fontId="138" fillId="12" borderId="88" xfId="0" applyFont="true" applyBorder="true" applyAlignment="true" applyProtection="false">
      <alignment horizontal="right" vertical="bottom" textRotation="0" wrapText="false" indent="1" shrinkToFit="false"/>
      <protection locked="true" hidden="false"/>
    </xf>
    <xf numFmtId="177" fontId="138" fillId="12" borderId="87" xfId="0" applyFont="true" applyBorder="true" applyAlignment="true" applyProtection="false">
      <alignment horizontal="general" vertical="bottom" textRotation="0" wrapText="false" indent="0" shrinkToFit="false"/>
      <protection locked="true" hidden="false"/>
    </xf>
    <xf numFmtId="177" fontId="138" fillId="12" borderId="89" xfId="0" applyFont="true" applyBorder="true" applyAlignment="true" applyProtection="false">
      <alignment horizontal="general" vertical="bottom" textRotation="0" wrapText="false" indent="0" shrinkToFit="false"/>
      <protection locked="true" hidden="false"/>
    </xf>
    <xf numFmtId="177" fontId="138" fillId="12" borderId="90" xfId="0" applyFont="true" applyBorder="true" applyAlignment="true" applyProtection="false">
      <alignment horizontal="general" vertical="bottom" textRotation="0" wrapText="false" indent="0" shrinkToFit="false"/>
      <protection locked="true" hidden="false"/>
    </xf>
    <xf numFmtId="177" fontId="138" fillId="0" borderId="0" xfId="0" applyFont="true" applyBorder="false" applyAlignment="true" applyProtection="false">
      <alignment horizontal="right" vertical="bottom" textRotation="0" wrapText="false" indent="1" shrinkToFit="false"/>
      <protection locked="true" hidden="false"/>
    </xf>
    <xf numFmtId="189" fontId="138" fillId="43" borderId="88" xfId="0" applyFont="true" applyBorder="true" applyAlignment="true" applyProtection="false">
      <alignment horizontal="left" vertical="bottom" textRotation="0" wrapText="false" indent="1" shrinkToFit="false"/>
      <protection locked="true" hidden="false"/>
    </xf>
    <xf numFmtId="189" fontId="138" fillId="44" borderId="88" xfId="0" applyFont="true" applyBorder="true" applyAlignment="true" applyProtection="false">
      <alignment horizontal="left" vertical="bottom" textRotation="0" wrapText="false" indent="1" shrinkToFit="false"/>
      <protection locked="true" hidden="false"/>
    </xf>
    <xf numFmtId="189" fontId="138" fillId="5" borderId="88" xfId="0" applyFont="true" applyBorder="true" applyAlignment="true" applyProtection="false">
      <alignment horizontal="left" vertical="bottom" textRotation="0" wrapText="false" indent="1" shrinkToFit="false"/>
      <protection locked="true" hidden="false"/>
    </xf>
    <xf numFmtId="189" fontId="138" fillId="12" borderId="88" xfId="0" applyFont="true" applyBorder="true" applyAlignment="true" applyProtection="false">
      <alignment horizontal="left" vertical="bottom" textRotation="0" wrapText="false" indent="1" shrinkToFit="false"/>
      <protection locked="true" hidden="false"/>
    </xf>
    <xf numFmtId="167" fontId="138" fillId="5" borderId="92" xfId="0" applyFont="true" applyBorder="true" applyAlignment="true" applyProtection="false">
      <alignment horizontal="left" vertical="bottom" textRotation="0" wrapText="false" indent="0" shrinkToFit="false"/>
      <protection locked="true" hidden="false"/>
    </xf>
    <xf numFmtId="167" fontId="138" fillId="5" borderId="85" xfId="0" applyFont="true" applyBorder="true" applyAlignment="true" applyProtection="false">
      <alignment horizontal="right" vertical="bottom" textRotation="0" wrapText="false" indent="0" shrinkToFit="false"/>
      <protection locked="true" hidden="false"/>
    </xf>
    <xf numFmtId="167" fontId="138" fillId="5" borderId="86" xfId="0" applyFont="true" applyBorder="true" applyAlignment="true" applyProtection="false">
      <alignment horizontal="right" vertical="bottom" textRotation="0" wrapText="false" indent="0" shrinkToFit="false"/>
      <protection locked="true" hidden="false"/>
    </xf>
    <xf numFmtId="167" fontId="138" fillId="12" borderId="92" xfId="0" applyFont="true" applyBorder="true" applyAlignment="true" applyProtection="false">
      <alignment horizontal="left" vertical="bottom" textRotation="0" wrapText="false" indent="0" shrinkToFit="false"/>
      <protection locked="true" hidden="false"/>
    </xf>
    <xf numFmtId="167" fontId="138" fillId="12" borderId="85" xfId="0" applyFont="true" applyBorder="true" applyAlignment="true" applyProtection="false">
      <alignment horizontal="right" vertical="bottom" textRotation="0" wrapText="false" indent="0" shrinkToFit="false"/>
      <protection locked="true" hidden="false"/>
    </xf>
    <xf numFmtId="167" fontId="138" fillId="12" borderId="86" xfId="0" applyFont="true" applyBorder="true" applyAlignment="true" applyProtection="false">
      <alignment horizontal="right" vertical="bottom" textRotation="0" wrapText="false" indent="0" shrinkToFit="false"/>
      <protection locked="true" hidden="false"/>
    </xf>
    <xf numFmtId="177" fontId="138" fillId="0" borderId="31" xfId="0" applyFont="true" applyBorder="true" applyAlignment="true" applyProtection="false">
      <alignment horizontal="general" vertical="bottom" textRotation="0" wrapText="false" indent="0" shrinkToFit="false"/>
      <protection locked="true" hidden="false"/>
    </xf>
    <xf numFmtId="177" fontId="138" fillId="0" borderId="32" xfId="0" applyFont="true" applyBorder="true" applyAlignment="true" applyProtection="false">
      <alignment horizontal="general" vertical="bottom" textRotation="0" wrapText="false" indent="0" shrinkToFit="false"/>
      <protection locked="true" hidden="false"/>
    </xf>
    <xf numFmtId="177" fontId="138" fillId="0" borderId="37" xfId="0" applyFont="true" applyBorder="true" applyAlignment="true" applyProtection="false">
      <alignment horizontal="general" vertical="bottom" textRotation="0" wrapText="false" indent="0" shrinkToFit="false"/>
      <protection locked="true" hidden="false"/>
    </xf>
    <xf numFmtId="177" fontId="184" fillId="47" borderId="55" xfId="0" applyFont="true" applyBorder="true" applyAlignment="true" applyProtection="false">
      <alignment horizontal="center" vertical="bottom" textRotation="0" wrapText="false" indent="0" shrinkToFit="false"/>
      <protection locked="true" hidden="false"/>
    </xf>
    <xf numFmtId="177" fontId="184" fillId="47" borderId="81" xfId="0" applyFont="true" applyBorder="true" applyAlignment="true" applyProtection="false">
      <alignment horizontal="center" vertical="bottom" textRotation="0" wrapText="false" indent="0" shrinkToFit="false"/>
      <protection locked="true" hidden="false"/>
    </xf>
    <xf numFmtId="177" fontId="184" fillId="47" borderId="79" xfId="0" applyFont="true" applyBorder="true" applyAlignment="true" applyProtection="false">
      <alignment horizontal="center" vertical="bottom" textRotation="0" wrapText="false" indent="0" shrinkToFit="false"/>
      <protection locked="true" hidden="false"/>
    </xf>
    <xf numFmtId="177" fontId="138" fillId="5" borderId="26" xfId="0" applyFont="true" applyBorder="true" applyAlignment="true" applyProtection="false">
      <alignment horizontal="general" vertical="bottom" textRotation="0" wrapText="false" indent="0" shrinkToFit="false"/>
      <protection locked="true" hidden="false"/>
    </xf>
    <xf numFmtId="177" fontId="138" fillId="5" borderId="46" xfId="0" applyFont="true" applyBorder="true" applyAlignment="true" applyProtection="false">
      <alignment horizontal="right" vertical="bottom" textRotation="0" wrapText="false" indent="0" shrinkToFit="false"/>
      <protection locked="true" hidden="false"/>
    </xf>
    <xf numFmtId="177" fontId="138" fillId="5" borderId="47" xfId="0" applyFont="true" applyBorder="true" applyAlignment="true" applyProtection="false">
      <alignment horizontal="right" vertical="bottom" textRotation="0" wrapText="false" indent="0" shrinkToFit="false"/>
      <protection locked="true" hidden="false"/>
    </xf>
    <xf numFmtId="177" fontId="138" fillId="43" borderId="55" xfId="0" applyFont="true" applyBorder="true" applyAlignment="true" applyProtection="false">
      <alignment horizontal="center" vertical="center" textRotation="0" wrapText="false" indent="0" shrinkToFit="false"/>
      <protection locked="true" hidden="false"/>
    </xf>
    <xf numFmtId="177" fontId="138" fillId="43" borderId="81" xfId="0" applyFont="true" applyBorder="true" applyAlignment="true" applyProtection="false">
      <alignment horizontal="center" vertical="center" textRotation="0" wrapText="false" indent="0" shrinkToFit="false"/>
      <protection locked="true" hidden="false"/>
    </xf>
    <xf numFmtId="177" fontId="0" fillId="0" borderId="0" xfId="0" applyFont="false" applyBorder="false" applyAlignment="true" applyProtection="false">
      <alignment horizontal="general" vertical="center" textRotation="0" wrapText="false" indent="0" shrinkToFit="false"/>
      <protection locked="true" hidden="false"/>
    </xf>
    <xf numFmtId="164" fontId="107" fillId="0" borderId="0" xfId="0" applyFont="true" applyBorder="false" applyAlignment="true" applyProtection="false">
      <alignment horizontal="general" vertical="center" textRotation="0" wrapText="false" indent="0" shrinkToFit="false"/>
      <protection locked="true" hidden="false"/>
    </xf>
    <xf numFmtId="164" fontId="107" fillId="0" borderId="0" xfId="0" applyFont="true" applyBorder="false" applyAlignment="true" applyProtection="false">
      <alignment horizontal="right" vertical="center" textRotation="0" wrapText="false" indent="0" shrinkToFit="false"/>
      <protection locked="true" hidden="false"/>
    </xf>
    <xf numFmtId="177" fontId="107" fillId="0" borderId="0" xfId="0" applyFont="true" applyBorder="false" applyAlignment="true" applyProtection="false">
      <alignment horizontal="general" vertical="center" textRotation="0" wrapText="false" indent="0" shrinkToFit="false"/>
      <protection locked="true" hidden="false"/>
    </xf>
    <xf numFmtId="177" fontId="107" fillId="0" borderId="0" xfId="0" applyFont="true" applyBorder="false" applyAlignment="true" applyProtection="false">
      <alignment horizontal="right" vertical="center" textRotation="0" wrapText="false" indent="0" shrinkToFit="false"/>
      <protection locked="true" hidden="false"/>
    </xf>
    <xf numFmtId="177" fontId="138" fillId="0" borderId="0" xfId="0" applyFont="true" applyBorder="false" applyAlignment="true" applyProtection="false">
      <alignment horizontal="right" vertical="center" textRotation="0" wrapText="false" indent="0" shrinkToFit="false"/>
      <protection locked="true" hidden="false"/>
    </xf>
    <xf numFmtId="177" fontId="138" fillId="0" borderId="0" xfId="0" applyFont="true" applyBorder="false" applyAlignment="true" applyProtection="false">
      <alignment horizontal="general" vertical="center" textRotation="0" wrapText="false" indent="0" shrinkToFit="false"/>
      <protection locked="true" hidden="false"/>
    </xf>
    <xf numFmtId="164" fontId="186" fillId="0" borderId="0" xfId="0" applyFont="true" applyBorder="false" applyAlignment="true" applyProtection="false">
      <alignment horizontal="general" vertical="center" textRotation="0" wrapText="false" indent="0" shrinkToFit="false"/>
      <protection locked="true" hidden="false"/>
    </xf>
    <xf numFmtId="164" fontId="186" fillId="0" borderId="0" xfId="0" applyFont="true" applyBorder="false" applyAlignment="true" applyProtection="false">
      <alignment horizontal="right" vertical="center" textRotation="0" wrapText="false" indent="0" shrinkToFit="false"/>
      <protection locked="true" hidden="false"/>
    </xf>
    <xf numFmtId="164" fontId="138" fillId="0" borderId="0" xfId="0" applyFont="true" applyBorder="false" applyAlignment="true" applyProtection="false">
      <alignment horizontal="right" vertical="center" textRotation="0" wrapText="false" indent="0" shrinkToFit="false"/>
      <protection locked="true" hidden="false"/>
    </xf>
    <xf numFmtId="164" fontId="138" fillId="0" borderId="0" xfId="0" applyFont="true" applyBorder="false" applyAlignment="true" applyProtection="false">
      <alignment horizontal="general" vertical="center" textRotation="0" wrapText="false" indent="0" shrinkToFit="false"/>
      <protection locked="true" hidden="false"/>
    </xf>
    <xf numFmtId="164" fontId="134" fillId="0" borderId="0" xfId="0" applyFont="true" applyBorder="false" applyAlignment="true" applyProtection="false">
      <alignment horizontal="general" vertical="center" textRotation="0" wrapText="false" indent="0" shrinkToFit="false"/>
      <protection locked="true" hidden="false"/>
    </xf>
    <xf numFmtId="164" fontId="187" fillId="0" borderId="0" xfId="0" applyFont="true" applyBorder="false" applyAlignment="true" applyProtection="false">
      <alignment horizontal="general" vertical="center" textRotation="0" wrapText="false" indent="0" shrinkToFit="false"/>
      <protection locked="true" hidden="false"/>
    </xf>
    <xf numFmtId="167" fontId="107" fillId="0" borderId="0" xfId="0" applyFont="true" applyBorder="false" applyAlignment="true" applyProtection="false">
      <alignment horizontal="right" vertical="center" textRotation="0" wrapText="false" indent="0" shrinkToFit="false"/>
      <protection locked="true" hidden="false"/>
    </xf>
    <xf numFmtId="164" fontId="188" fillId="0" borderId="0" xfId="0" applyFont="true" applyBorder="false" applyAlignment="true" applyProtection="false">
      <alignment horizontal="general" vertical="center" textRotation="0" wrapText="false" indent="0" shrinkToFit="false"/>
      <protection locked="true" hidden="false"/>
    </xf>
    <xf numFmtId="177" fontId="138" fillId="0" borderId="55" xfId="0" applyFont="true" applyBorder="true" applyAlignment="true" applyProtection="false">
      <alignment horizontal="center" vertical="center" textRotation="0" wrapText="false" indent="0" shrinkToFit="false"/>
      <protection locked="true" hidden="false"/>
    </xf>
    <xf numFmtId="177" fontId="138" fillId="0" borderId="81" xfId="0" applyFont="true" applyBorder="true" applyAlignment="true" applyProtection="false">
      <alignment horizontal="center" vertical="center" textRotation="0" wrapText="false" indent="0" shrinkToFit="false"/>
      <protection locked="true" hidden="false"/>
    </xf>
    <xf numFmtId="177" fontId="184" fillId="0" borderId="55" xfId="0" applyFont="true" applyBorder="true" applyAlignment="true" applyProtection="false">
      <alignment horizontal="center" vertical="bottom" textRotation="0" wrapText="false" indent="0" shrinkToFit="false"/>
      <protection locked="true" hidden="false"/>
    </xf>
    <xf numFmtId="177" fontId="184" fillId="0" borderId="81" xfId="0" applyFont="true" applyBorder="true" applyAlignment="true" applyProtection="false">
      <alignment horizontal="center" vertical="bottom" textRotation="0" wrapText="false" indent="0" shrinkToFit="false"/>
      <protection locked="true" hidden="false"/>
    </xf>
    <xf numFmtId="177" fontId="184" fillId="47" borderId="88" xfId="0" applyFont="true" applyBorder="true" applyAlignment="true" applyProtection="false">
      <alignment horizontal="center" vertical="bottom" textRotation="0" wrapText="false" indent="0" shrinkToFit="false"/>
      <protection locked="true" hidden="false"/>
    </xf>
    <xf numFmtId="177" fontId="184" fillId="47" borderId="87" xfId="0" applyFont="true" applyBorder="true" applyAlignment="true" applyProtection="false">
      <alignment horizontal="center" vertical="bottom" textRotation="0" wrapText="false" indent="0" shrinkToFit="false"/>
      <protection locked="true" hidden="false"/>
    </xf>
    <xf numFmtId="177" fontId="184" fillId="47" borderId="89" xfId="0" applyFont="true" applyBorder="true" applyAlignment="true" applyProtection="false">
      <alignment horizontal="center" vertical="bottom" textRotation="0" wrapText="false" indent="0" shrinkToFit="false"/>
      <protection locked="true" hidden="false"/>
    </xf>
    <xf numFmtId="177" fontId="138" fillId="0" borderId="0" xfId="0" applyFont="true" applyBorder="false" applyAlignment="true" applyProtection="false">
      <alignment horizontal="center" vertical="bottom" textRotation="0" wrapText="false" indent="0" shrinkToFit="false"/>
      <protection locked="true" hidden="false"/>
    </xf>
    <xf numFmtId="168" fontId="107" fillId="0" borderId="0" xfId="0" applyFont="true" applyBorder="false" applyAlignment="true" applyProtection="false">
      <alignment horizontal="center" vertical="bottom" textRotation="0" wrapText="false" indent="0" shrinkToFit="false"/>
      <protection locked="true" hidden="false"/>
    </xf>
    <xf numFmtId="177" fontId="136" fillId="0" borderId="16" xfId="0" applyFont="true" applyBorder="true" applyAlignment="true" applyProtection="false">
      <alignment horizontal="right" vertical="bottom" textRotation="0" wrapText="false" indent="1" shrinkToFit="false"/>
      <protection locked="true" hidden="false"/>
    </xf>
    <xf numFmtId="177" fontId="132" fillId="50" borderId="26" xfId="0" applyFont="true" applyBorder="true" applyAlignment="true" applyProtection="false">
      <alignment horizontal="center" vertical="center" textRotation="90" wrapText="false" indent="0" shrinkToFit="false"/>
      <protection locked="true" hidden="false"/>
    </xf>
    <xf numFmtId="177" fontId="189" fillId="0" borderId="15" xfId="0" applyFont="true" applyBorder="true" applyAlignment="true" applyProtection="false">
      <alignment horizontal="center" vertical="bottom" textRotation="0" wrapText="false" indent="0" shrinkToFit="false"/>
      <protection locked="true" hidden="false"/>
    </xf>
    <xf numFmtId="177" fontId="189" fillId="0" borderId="16" xfId="0" applyFont="true" applyBorder="true" applyAlignment="true" applyProtection="false">
      <alignment horizontal="center" vertical="bottom" textRotation="0" wrapText="false" indent="0" shrinkToFit="false"/>
      <protection locked="true" hidden="false"/>
    </xf>
    <xf numFmtId="177" fontId="189" fillId="0" borderId="15" xfId="0" applyFont="true" applyBorder="true" applyAlignment="true" applyProtection="false">
      <alignment horizontal="right" vertical="bottom" textRotation="0" wrapText="false" indent="1" shrinkToFit="false"/>
      <protection locked="true" hidden="false"/>
    </xf>
    <xf numFmtId="177" fontId="189" fillId="0" borderId="16" xfId="0" applyFont="true" applyBorder="true" applyAlignment="true" applyProtection="false">
      <alignment horizontal="right" vertical="bottom" textRotation="0" wrapText="false" indent="1" shrinkToFit="false"/>
      <protection locked="true" hidden="false"/>
    </xf>
    <xf numFmtId="177" fontId="136" fillId="43" borderId="77" xfId="0" applyFont="true" applyBorder="true" applyAlignment="true" applyProtection="false">
      <alignment horizontal="general" vertical="bottom" textRotation="0" wrapText="false" indent="0" shrinkToFit="false"/>
      <protection locked="true" hidden="false"/>
    </xf>
    <xf numFmtId="177" fontId="138" fillId="43" borderId="74" xfId="0" applyFont="true" applyBorder="true" applyAlignment="true" applyProtection="false">
      <alignment horizontal="right" vertical="bottom" textRotation="0" wrapText="false" indent="1" shrinkToFit="false"/>
      <protection locked="true" hidden="false"/>
    </xf>
    <xf numFmtId="177" fontId="136" fillId="44" borderId="77" xfId="0" applyFont="true" applyBorder="true" applyAlignment="true" applyProtection="false">
      <alignment horizontal="general" vertical="bottom" textRotation="0" wrapText="false" indent="0" shrinkToFit="false"/>
      <protection locked="true" hidden="false"/>
    </xf>
    <xf numFmtId="177" fontId="138" fillId="44" borderId="74" xfId="0" applyFont="true" applyBorder="true" applyAlignment="true" applyProtection="false">
      <alignment horizontal="right" vertical="bottom" textRotation="0" wrapText="false" indent="1" shrinkToFit="false"/>
      <protection locked="true" hidden="false"/>
    </xf>
    <xf numFmtId="177" fontId="136" fillId="5" borderId="77" xfId="0" applyFont="true" applyBorder="true" applyAlignment="true" applyProtection="false">
      <alignment horizontal="general" vertical="bottom" textRotation="0" wrapText="false" indent="0" shrinkToFit="false"/>
      <protection locked="true" hidden="false"/>
    </xf>
    <xf numFmtId="177" fontId="138" fillId="5" borderId="74" xfId="0" applyFont="true" applyBorder="true" applyAlignment="true" applyProtection="false">
      <alignment horizontal="right" vertical="bottom" textRotation="0" wrapText="false" indent="1" shrinkToFit="false"/>
      <protection locked="true" hidden="false"/>
    </xf>
    <xf numFmtId="177" fontId="136" fillId="12" borderId="32" xfId="0" applyFont="true" applyBorder="true" applyAlignment="true" applyProtection="false">
      <alignment horizontal="general" vertical="bottom" textRotation="0" wrapText="false" indent="0" shrinkToFit="false"/>
      <protection locked="true" hidden="false"/>
    </xf>
    <xf numFmtId="177" fontId="138" fillId="12" borderId="74" xfId="0" applyFont="true" applyBorder="true" applyAlignment="true" applyProtection="false">
      <alignment horizontal="right" vertical="bottom" textRotation="0" wrapText="false" indent="1" shrinkToFit="false"/>
      <protection locked="true" hidden="false"/>
    </xf>
    <xf numFmtId="177" fontId="190" fillId="43" borderId="73" xfId="0" applyFont="true" applyBorder="true" applyAlignment="true" applyProtection="false">
      <alignment horizontal="general" vertical="bottom" textRotation="0" wrapText="false" indent="0" shrinkToFit="false"/>
      <protection locked="true" hidden="false"/>
    </xf>
    <xf numFmtId="177" fontId="190" fillId="43" borderId="74" xfId="0" applyFont="true" applyBorder="true" applyAlignment="true" applyProtection="false">
      <alignment horizontal="general" vertical="bottom" textRotation="0" wrapText="false" indent="0" shrinkToFit="false"/>
      <protection locked="true" hidden="false"/>
    </xf>
    <xf numFmtId="177" fontId="190" fillId="44" borderId="73" xfId="0" applyFont="true" applyBorder="true" applyAlignment="true" applyProtection="false">
      <alignment horizontal="general" vertical="bottom" textRotation="0" wrapText="false" indent="0" shrinkToFit="false"/>
      <protection locked="true" hidden="false"/>
    </xf>
    <xf numFmtId="177" fontId="190" fillId="44" borderId="74" xfId="0" applyFont="true" applyBorder="true" applyAlignment="true" applyProtection="false">
      <alignment horizontal="general" vertical="bottom" textRotation="0" wrapText="false" indent="0" shrinkToFit="false"/>
      <protection locked="true" hidden="false"/>
    </xf>
    <xf numFmtId="177" fontId="190" fillId="5" borderId="73" xfId="0" applyFont="true" applyBorder="true" applyAlignment="true" applyProtection="false">
      <alignment horizontal="general" vertical="bottom" textRotation="0" wrapText="false" indent="0" shrinkToFit="false"/>
      <protection locked="true" hidden="false"/>
    </xf>
    <xf numFmtId="177" fontId="190" fillId="5" borderId="74" xfId="0" applyFont="true" applyBorder="true" applyAlignment="true" applyProtection="false">
      <alignment horizontal="general" vertical="bottom" textRotation="0" wrapText="false" indent="0" shrinkToFit="false"/>
      <protection locked="true" hidden="false"/>
    </xf>
    <xf numFmtId="177" fontId="190" fillId="12" borderId="73" xfId="0" applyFont="true" applyBorder="true" applyAlignment="true" applyProtection="false">
      <alignment horizontal="general" vertical="bottom" textRotation="0" wrapText="false" indent="0" shrinkToFit="false"/>
      <protection locked="true" hidden="false"/>
    </xf>
    <xf numFmtId="177" fontId="190" fillId="12" borderId="74" xfId="0" applyFont="true" applyBorder="true" applyAlignment="true" applyProtection="false">
      <alignment horizontal="general" vertical="bottom" textRotation="0" wrapText="false" indent="0" shrinkToFit="false"/>
      <protection locked="true" hidden="false"/>
    </xf>
    <xf numFmtId="177" fontId="138" fillId="43" borderId="80" xfId="0" applyFont="true" applyBorder="true" applyAlignment="true" applyProtection="false">
      <alignment horizontal="right" vertical="bottom" textRotation="0" wrapText="false" indent="1" shrinkToFit="false"/>
      <protection locked="true" hidden="false"/>
    </xf>
    <xf numFmtId="177" fontId="138" fillId="44" borderId="80" xfId="0" applyFont="true" applyBorder="true" applyAlignment="true" applyProtection="false">
      <alignment horizontal="right" vertical="bottom" textRotation="0" wrapText="false" indent="1" shrinkToFit="false"/>
      <protection locked="true" hidden="false"/>
    </xf>
    <xf numFmtId="177" fontId="138" fillId="5" borderId="80" xfId="0" applyFont="true" applyBorder="true" applyAlignment="true" applyProtection="false">
      <alignment horizontal="right" vertical="bottom" textRotation="0" wrapText="false" indent="1" shrinkToFit="false"/>
      <protection locked="true" hidden="false"/>
    </xf>
    <xf numFmtId="177" fontId="138" fillId="12" borderId="31" xfId="0" applyFont="true" applyBorder="true" applyAlignment="true" applyProtection="false">
      <alignment horizontal="general" vertical="bottom" textRotation="0" wrapText="false" indent="0" shrinkToFit="false"/>
      <protection locked="true" hidden="false"/>
    </xf>
    <xf numFmtId="177" fontId="138" fillId="12" borderId="80" xfId="0" applyFont="true" applyBorder="true" applyAlignment="true" applyProtection="false">
      <alignment horizontal="right" vertical="bottom" textRotation="0" wrapText="false" indent="1" shrinkToFit="false"/>
      <protection locked="true" hidden="false"/>
    </xf>
    <xf numFmtId="177" fontId="190" fillId="43" borderId="79" xfId="0" applyFont="true" applyBorder="true" applyAlignment="true" applyProtection="false">
      <alignment horizontal="general" vertical="bottom" textRotation="0" wrapText="false" indent="0" shrinkToFit="false"/>
      <protection locked="true" hidden="false"/>
    </xf>
    <xf numFmtId="177" fontId="190" fillId="43" borderId="80" xfId="0" applyFont="true" applyBorder="true" applyAlignment="true" applyProtection="false">
      <alignment horizontal="general" vertical="bottom" textRotation="0" wrapText="false" indent="0" shrinkToFit="false"/>
      <protection locked="true" hidden="false"/>
    </xf>
    <xf numFmtId="177" fontId="190" fillId="44" borderId="79" xfId="0" applyFont="true" applyBorder="true" applyAlignment="true" applyProtection="false">
      <alignment horizontal="general" vertical="bottom" textRotation="0" wrapText="false" indent="0" shrinkToFit="false"/>
      <protection locked="true" hidden="false"/>
    </xf>
    <xf numFmtId="177" fontId="190" fillId="44" borderId="80" xfId="0" applyFont="true" applyBorder="true" applyAlignment="true" applyProtection="false">
      <alignment horizontal="general" vertical="bottom" textRotation="0" wrapText="false" indent="0" shrinkToFit="false"/>
      <protection locked="true" hidden="false"/>
    </xf>
    <xf numFmtId="177" fontId="190" fillId="5" borderId="79" xfId="0" applyFont="true" applyBorder="true" applyAlignment="true" applyProtection="false">
      <alignment horizontal="general" vertical="bottom" textRotation="0" wrapText="false" indent="0" shrinkToFit="false"/>
      <protection locked="true" hidden="false"/>
    </xf>
    <xf numFmtId="177" fontId="190" fillId="5" borderId="80" xfId="0" applyFont="true" applyBorder="true" applyAlignment="true" applyProtection="false">
      <alignment horizontal="general" vertical="bottom" textRotation="0" wrapText="false" indent="0" shrinkToFit="false"/>
      <protection locked="true" hidden="false"/>
    </xf>
    <xf numFmtId="177" fontId="190" fillId="12" borderId="79" xfId="0" applyFont="true" applyBorder="true" applyAlignment="true" applyProtection="false">
      <alignment horizontal="general" vertical="bottom" textRotation="0" wrapText="false" indent="0" shrinkToFit="false"/>
      <protection locked="true" hidden="false"/>
    </xf>
    <xf numFmtId="177" fontId="190" fillId="12" borderId="80" xfId="0" applyFont="true" applyBorder="true" applyAlignment="true" applyProtection="false">
      <alignment horizontal="general" vertical="bottom" textRotation="0" wrapText="false" indent="0" shrinkToFit="false"/>
      <protection locked="true" hidden="false"/>
    </xf>
    <xf numFmtId="177" fontId="163" fillId="43" borderId="55" xfId="0" applyFont="true" applyBorder="true" applyAlignment="true" applyProtection="false">
      <alignment horizontal="general" vertical="bottom" textRotation="0" wrapText="false" indent="0" shrinkToFit="false"/>
      <protection locked="true" hidden="false"/>
    </xf>
    <xf numFmtId="177" fontId="163" fillId="44" borderId="55" xfId="0" applyFont="true" applyBorder="true" applyAlignment="true" applyProtection="false">
      <alignment horizontal="general" vertical="bottom" textRotation="0" wrapText="false" indent="0" shrinkToFit="false"/>
      <protection locked="true" hidden="false"/>
    </xf>
    <xf numFmtId="177" fontId="163" fillId="5" borderId="55" xfId="0" applyFont="true" applyBorder="true" applyAlignment="true" applyProtection="false">
      <alignment horizontal="general" vertical="bottom" textRotation="0" wrapText="false" indent="0" shrinkToFit="false"/>
      <protection locked="true" hidden="false"/>
    </xf>
    <xf numFmtId="177" fontId="163" fillId="12" borderId="31" xfId="0" applyFont="true" applyBorder="true" applyAlignment="true" applyProtection="false">
      <alignment horizontal="general" vertical="bottom" textRotation="0" wrapText="false" indent="0" shrinkToFit="false"/>
      <protection locked="true" hidden="false"/>
    </xf>
    <xf numFmtId="177" fontId="138" fillId="12" borderId="31" xfId="0" applyFont="true" applyBorder="true" applyAlignment="true" applyProtection="false">
      <alignment horizontal="left" vertical="bottom" textRotation="0" wrapText="false" indent="1" shrinkToFit="false"/>
      <protection locked="true" hidden="false"/>
    </xf>
    <xf numFmtId="177" fontId="190" fillId="43" borderId="89" xfId="0" applyFont="true" applyBorder="true" applyAlignment="true" applyProtection="false">
      <alignment horizontal="general" vertical="bottom" textRotation="0" wrapText="false" indent="0" shrinkToFit="false"/>
      <protection locked="true" hidden="false"/>
    </xf>
    <xf numFmtId="177" fontId="190" fillId="43" borderId="90" xfId="0" applyFont="true" applyBorder="true" applyAlignment="true" applyProtection="false">
      <alignment horizontal="general" vertical="bottom" textRotation="0" wrapText="false" indent="0" shrinkToFit="false"/>
      <protection locked="true" hidden="false"/>
    </xf>
    <xf numFmtId="177" fontId="190" fillId="44" borderId="89" xfId="0" applyFont="true" applyBorder="true" applyAlignment="true" applyProtection="false">
      <alignment horizontal="general" vertical="bottom" textRotation="0" wrapText="false" indent="0" shrinkToFit="false"/>
      <protection locked="true" hidden="false"/>
    </xf>
    <xf numFmtId="177" fontId="190" fillId="44" borderId="90" xfId="0" applyFont="true" applyBorder="true" applyAlignment="true" applyProtection="false">
      <alignment horizontal="general" vertical="bottom" textRotation="0" wrapText="false" indent="0" shrinkToFit="false"/>
      <protection locked="true" hidden="false"/>
    </xf>
    <xf numFmtId="177" fontId="190" fillId="5" borderId="89" xfId="0" applyFont="true" applyBorder="true" applyAlignment="true" applyProtection="false">
      <alignment horizontal="general" vertical="bottom" textRotation="0" wrapText="false" indent="0" shrinkToFit="false"/>
      <protection locked="true" hidden="false"/>
    </xf>
    <xf numFmtId="177" fontId="190" fillId="5" borderId="90" xfId="0" applyFont="true" applyBorder="true" applyAlignment="true" applyProtection="false">
      <alignment horizontal="general" vertical="bottom" textRotation="0" wrapText="false" indent="0" shrinkToFit="false"/>
      <protection locked="true" hidden="false"/>
    </xf>
    <xf numFmtId="177" fontId="190" fillId="12" borderId="89" xfId="0" applyFont="true" applyBorder="true" applyAlignment="true" applyProtection="false">
      <alignment horizontal="general" vertical="bottom" textRotation="0" wrapText="false" indent="0" shrinkToFit="false"/>
      <protection locked="true" hidden="false"/>
    </xf>
    <xf numFmtId="177" fontId="190" fillId="12" borderId="90" xfId="0" applyFont="true" applyBorder="true" applyAlignment="true" applyProtection="false">
      <alignment horizontal="general" vertical="bottom" textRotation="0" wrapText="false" indent="0" shrinkToFit="false"/>
      <protection locked="true" hidden="false"/>
    </xf>
    <xf numFmtId="177" fontId="138" fillId="43" borderId="90" xfId="0" applyFont="true" applyBorder="true" applyAlignment="true" applyProtection="false">
      <alignment horizontal="right" vertical="bottom" textRotation="0" wrapText="false" indent="1" shrinkToFit="false"/>
      <protection locked="true" hidden="false"/>
    </xf>
    <xf numFmtId="177" fontId="138" fillId="44" borderId="90" xfId="0" applyFont="true" applyBorder="true" applyAlignment="true" applyProtection="false">
      <alignment horizontal="right" vertical="bottom" textRotation="0" wrapText="false" indent="1" shrinkToFit="false"/>
      <protection locked="true" hidden="false"/>
    </xf>
    <xf numFmtId="177" fontId="138" fillId="5" borderId="90" xfId="0" applyFont="true" applyBorder="true" applyAlignment="true" applyProtection="false">
      <alignment horizontal="right" vertical="bottom" textRotation="0" wrapText="false" indent="1" shrinkToFit="false"/>
      <protection locked="true" hidden="false"/>
    </xf>
    <xf numFmtId="177" fontId="138" fillId="12" borderId="37" xfId="0" applyFont="true" applyBorder="true" applyAlignment="true" applyProtection="false">
      <alignment horizontal="general" vertical="bottom" textRotation="0" wrapText="false" indent="0" shrinkToFit="false"/>
      <protection locked="true" hidden="false"/>
    </xf>
    <xf numFmtId="177" fontId="138" fillId="12" borderId="90" xfId="0" applyFont="true" applyBorder="true" applyAlignment="true" applyProtection="false">
      <alignment horizontal="right" vertical="bottom" textRotation="0" wrapText="false" indent="1" shrinkToFit="false"/>
      <protection locked="true" hidden="false"/>
    </xf>
    <xf numFmtId="177" fontId="138" fillId="0" borderId="31" xfId="0" applyFont="true" applyBorder="true" applyAlignment="true" applyProtection="false">
      <alignment horizontal="left" vertical="bottom" textRotation="0" wrapText="false" indent="0" shrinkToFit="false"/>
      <protection locked="true" hidden="false"/>
    </xf>
    <xf numFmtId="177" fontId="190" fillId="0" borderId="0" xfId="0" applyFont="true" applyBorder="false" applyAlignment="true" applyProtection="false">
      <alignment horizontal="general" vertical="bottom" textRotation="0" wrapText="false" indent="0" shrinkToFit="false"/>
      <protection locked="true" hidden="false"/>
    </xf>
    <xf numFmtId="177" fontId="190" fillId="0" borderId="18" xfId="0" applyFont="true" applyBorder="true" applyAlignment="true" applyProtection="false">
      <alignment horizontal="general" vertical="bottom" textRotation="0" wrapText="false" indent="0" shrinkToFit="false"/>
      <protection locked="true" hidden="false"/>
    </xf>
    <xf numFmtId="177" fontId="138" fillId="0" borderId="18" xfId="0" applyFont="true" applyBorder="true" applyAlignment="true" applyProtection="false">
      <alignment horizontal="right" vertical="bottom" textRotation="0" wrapText="false" indent="1" shrinkToFit="false"/>
      <protection locked="true" hidden="false"/>
    </xf>
    <xf numFmtId="177" fontId="138" fillId="43" borderId="55" xfId="0" applyFont="true" applyBorder="true" applyAlignment="true" applyProtection="false">
      <alignment horizontal="left" vertical="bottom" textRotation="0" wrapText="false" indent="0" shrinkToFit="false"/>
      <protection locked="true" hidden="false"/>
    </xf>
    <xf numFmtId="177" fontId="138" fillId="44" borderId="55" xfId="0" applyFont="true" applyBorder="true" applyAlignment="true" applyProtection="false">
      <alignment horizontal="left" vertical="bottom" textRotation="0" wrapText="false" indent="0" shrinkToFit="false"/>
      <protection locked="true" hidden="false"/>
    </xf>
    <xf numFmtId="177" fontId="138" fillId="5" borderId="55" xfId="0" applyFont="true" applyBorder="true" applyAlignment="true" applyProtection="false">
      <alignment horizontal="left" vertical="bottom" textRotation="0" wrapText="false" indent="0" shrinkToFit="false"/>
      <protection locked="true" hidden="false"/>
    </xf>
    <xf numFmtId="177" fontId="138" fillId="12" borderId="55" xfId="0" applyFont="true" applyBorder="true" applyAlignment="true" applyProtection="false">
      <alignment horizontal="left" vertical="bottom" textRotation="0" wrapText="false" indent="0" shrinkToFit="false"/>
      <protection locked="true" hidden="false"/>
    </xf>
    <xf numFmtId="177" fontId="138" fillId="43" borderId="55" xfId="0" applyFont="true" applyBorder="true" applyAlignment="true" applyProtection="false">
      <alignment horizontal="left" vertical="bottom" textRotation="0" wrapText="false" indent="2" shrinkToFit="false"/>
      <protection locked="true" hidden="false"/>
    </xf>
    <xf numFmtId="177" fontId="138" fillId="44" borderId="55" xfId="0" applyFont="true" applyBorder="true" applyAlignment="true" applyProtection="false">
      <alignment horizontal="left" vertical="bottom" textRotation="0" wrapText="false" indent="2" shrinkToFit="false"/>
      <protection locked="true" hidden="false"/>
    </xf>
    <xf numFmtId="177" fontId="138" fillId="5" borderId="55" xfId="0" applyFont="true" applyBorder="true" applyAlignment="true" applyProtection="false">
      <alignment horizontal="left" vertical="bottom" textRotation="0" wrapText="false" indent="2" shrinkToFit="false"/>
      <protection locked="true" hidden="false"/>
    </xf>
    <xf numFmtId="177" fontId="138" fillId="12" borderId="55" xfId="0" applyFont="true" applyBorder="true" applyAlignment="true" applyProtection="false">
      <alignment horizontal="left" vertical="bottom" textRotation="0" wrapText="false" indent="2" shrinkToFit="false"/>
      <protection locked="true" hidden="false"/>
    </xf>
    <xf numFmtId="177" fontId="138" fillId="43" borderId="88" xfId="0" applyFont="true" applyBorder="true" applyAlignment="true" applyProtection="false">
      <alignment horizontal="left" vertical="bottom" textRotation="0" wrapText="false" indent="1" shrinkToFit="false"/>
      <protection locked="true" hidden="false"/>
    </xf>
    <xf numFmtId="177" fontId="138" fillId="44" borderId="88" xfId="0" applyFont="true" applyBorder="true" applyAlignment="true" applyProtection="false">
      <alignment horizontal="left" vertical="bottom" textRotation="0" wrapText="false" indent="1" shrinkToFit="false"/>
      <protection locked="true" hidden="false"/>
    </xf>
    <xf numFmtId="177" fontId="138" fillId="5" borderId="88" xfId="0" applyFont="true" applyBorder="true" applyAlignment="true" applyProtection="false">
      <alignment horizontal="left" vertical="bottom" textRotation="0" wrapText="false" indent="1" shrinkToFit="false"/>
      <protection locked="true" hidden="false"/>
    </xf>
    <xf numFmtId="177" fontId="138" fillId="12" borderId="88" xfId="0" applyFont="true" applyBorder="true" applyAlignment="true" applyProtection="false">
      <alignment horizontal="left" vertical="bottom" textRotation="0" wrapText="false" indent="1" shrinkToFit="false"/>
      <protection locked="true" hidden="false"/>
    </xf>
    <xf numFmtId="177" fontId="138" fillId="0" borderId="31" xfId="0" applyFont="true" applyBorder="true" applyAlignment="true" applyProtection="false">
      <alignment horizontal="left" vertical="bottom" textRotation="0" wrapText="false" indent="2" shrinkToFit="false"/>
      <protection locked="true" hidden="false"/>
    </xf>
    <xf numFmtId="177" fontId="138" fillId="43" borderId="77" xfId="0" applyFont="true" applyBorder="true" applyAlignment="true" applyProtection="false">
      <alignment horizontal="left" vertical="bottom" textRotation="0" wrapText="false" indent="1" shrinkToFit="false"/>
      <protection locked="true" hidden="false"/>
    </xf>
    <xf numFmtId="177" fontId="138" fillId="44" borderId="77" xfId="0" applyFont="true" applyBorder="true" applyAlignment="true" applyProtection="false">
      <alignment horizontal="left" vertical="bottom" textRotation="0" wrapText="false" indent="1" shrinkToFit="false"/>
      <protection locked="true" hidden="false"/>
    </xf>
    <xf numFmtId="177" fontId="138" fillId="5" borderId="77" xfId="0" applyFont="true" applyBorder="true" applyAlignment="true" applyProtection="false">
      <alignment horizontal="left" vertical="bottom" textRotation="0" wrapText="false" indent="1" shrinkToFit="false"/>
      <protection locked="true" hidden="false"/>
    </xf>
    <xf numFmtId="177" fontId="138" fillId="12" borderId="77" xfId="0" applyFont="true" applyBorder="true" applyAlignment="true" applyProtection="false">
      <alignment horizontal="left" vertical="bottom" textRotation="0" wrapText="false" indent="1" shrinkToFit="false"/>
      <protection locked="true" hidden="false"/>
    </xf>
    <xf numFmtId="177" fontId="136" fillId="0" borderId="82" xfId="0" applyFont="true" applyBorder="true" applyAlignment="true" applyProtection="false">
      <alignment horizontal="general" vertical="bottom" textRotation="0" wrapText="false" indent="0" shrinkToFit="false"/>
      <protection locked="true" hidden="false"/>
    </xf>
    <xf numFmtId="177" fontId="136" fillId="0" borderId="75" xfId="0" applyFont="true" applyBorder="true" applyAlignment="true" applyProtection="false">
      <alignment horizontal="right" vertical="bottom" textRotation="0" wrapText="false" indent="0" shrinkToFit="false"/>
      <protection locked="true" hidden="false"/>
    </xf>
    <xf numFmtId="177" fontId="136" fillId="0" borderId="76" xfId="0" applyFont="true" applyBorder="true" applyAlignment="true" applyProtection="false">
      <alignment horizontal="right" vertical="bottom" textRotation="0" wrapText="false" indent="1" shrinkToFit="false"/>
      <protection locked="true" hidden="false"/>
    </xf>
    <xf numFmtId="177" fontId="136" fillId="0" borderId="31" xfId="0" applyFont="true" applyBorder="true" applyAlignment="true" applyProtection="false">
      <alignment horizontal="general" vertical="bottom" textRotation="0" wrapText="false" indent="0" shrinkToFit="false"/>
      <protection locked="true" hidden="false"/>
    </xf>
    <xf numFmtId="177" fontId="136" fillId="0" borderId="55" xfId="0" applyFont="true" applyBorder="true" applyAlignment="true" applyProtection="false">
      <alignment horizontal="general" vertical="bottom" textRotation="0" wrapText="false" indent="0" shrinkToFit="false"/>
      <protection locked="true" hidden="false"/>
    </xf>
    <xf numFmtId="177" fontId="136" fillId="0" borderId="79" xfId="0" applyFont="true" applyBorder="true" applyAlignment="true" applyProtection="false">
      <alignment horizontal="right" vertical="bottom" textRotation="0" wrapText="false" indent="0" shrinkToFit="false"/>
      <protection locked="true" hidden="false"/>
    </xf>
    <xf numFmtId="177" fontId="136" fillId="0" borderId="80" xfId="0" applyFont="true" applyBorder="true" applyAlignment="true" applyProtection="false">
      <alignment horizontal="right" vertical="bottom" textRotation="0" wrapText="false" indent="1" shrinkToFit="false"/>
      <protection locked="true" hidden="false"/>
    </xf>
    <xf numFmtId="177" fontId="136" fillId="0" borderId="88" xfId="0" applyFont="true" applyBorder="true" applyAlignment="true" applyProtection="false">
      <alignment horizontal="general" vertical="bottom" textRotation="0" wrapText="false" indent="0" shrinkToFit="false"/>
      <protection locked="true" hidden="false"/>
    </xf>
    <xf numFmtId="177" fontId="136" fillId="0" borderId="89" xfId="0" applyFont="true" applyBorder="true" applyAlignment="true" applyProtection="false">
      <alignment horizontal="right" vertical="bottom" textRotation="0" wrapText="false" indent="0" shrinkToFit="false"/>
      <protection locked="true" hidden="false"/>
    </xf>
    <xf numFmtId="177" fontId="136" fillId="0" borderId="90" xfId="0" applyFont="true" applyBorder="true" applyAlignment="true" applyProtection="false">
      <alignment horizontal="right" vertical="bottom" textRotation="0" wrapText="false" indent="1" shrinkToFit="false"/>
      <protection locked="true" hidden="false"/>
    </xf>
    <xf numFmtId="177" fontId="136" fillId="0" borderId="37" xfId="0" applyFont="true" applyBorder="true" applyAlignment="true" applyProtection="false">
      <alignment horizontal="general" vertical="bottom" textRotation="0" wrapText="false" indent="0" shrinkToFit="false"/>
      <protection locked="true" hidden="false"/>
    </xf>
    <xf numFmtId="164" fontId="134" fillId="50" borderId="21" xfId="0" applyFont="true" applyBorder="true" applyAlignment="true" applyProtection="false">
      <alignment horizontal="general" vertical="bottom" textRotation="0" wrapText="false" indent="0" shrinkToFit="false"/>
      <protection locked="true" hidden="false"/>
    </xf>
    <xf numFmtId="164" fontId="136" fillId="5" borderId="37" xfId="0" applyFont="true" applyBorder="true" applyAlignment="true" applyProtection="false">
      <alignment horizontal="general" vertical="bottom" textRotation="0" wrapText="false" indent="0" shrinkToFit="false"/>
      <protection locked="true" hidden="false"/>
    </xf>
    <xf numFmtId="174" fontId="136" fillId="5" borderId="40" xfId="0" applyFont="true" applyBorder="true" applyAlignment="true" applyProtection="false">
      <alignment horizontal="general" vertical="bottom" textRotation="0" wrapText="false" indent="0" shrinkToFit="false"/>
      <protection locked="true" hidden="false"/>
    </xf>
    <xf numFmtId="174" fontId="136" fillId="5" borderId="46" xfId="0" applyFont="true" applyBorder="true" applyAlignment="true" applyProtection="false">
      <alignment horizontal="general" vertical="bottom" textRotation="0" wrapText="false" indent="0" shrinkToFit="false"/>
      <protection locked="true" hidden="false"/>
    </xf>
    <xf numFmtId="174" fontId="136" fillId="5" borderId="47" xfId="0" applyFont="true" applyBorder="true" applyAlignment="true" applyProtection="false">
      <alignment horizontal="general" vertical="bottom" textRotation="0" wrapText="false" indent="0" shrinkToFit="false"/>
      <protection locked="true" hidden="false"/>
    </xf>
    <xf numFmtId="173" fontId="107" fillId="50" borderId="21" xfId="0" applyFont="true" applyBorder="true" applyAlignment="true" applyProtection="false">
      <alignment horizontal="general" vertical="bottom" textRotation="0" wrapText="false" indent="0" shrinkToFit="false"/>
      <protection locked="true" hidden="false"/>
    </xf>
    <xf numFmtId="164" fontId="136" fillId="5" borderId="26" xfId="0" applyFont="true" applyBorder="true" applyAlignment="true" applyProtection="false">
      <alignment horizontal="general" vertical="bottom" textRotation="0" wrapText="false" indent="0" shrinkToFit="false"/>
      <protection locked="true" hidden="false"/>
    </xf>
    <xf numFmtId="177" fontId="191" fillId="5" borderId="37" xfId="0" applyFont="true" applyBorder="true" applyAlignment="true" applyProtection="false">
      <alignment horizontal="left" vertical="bottom" textRotation="0" wrapText="false" indent="0" shrinkToFit="false"/>
      <protection locked="true" hidden="false"/>
    </xf>
    <xf numFmtId="177" fontId="106" fillId="5" borderId="26" xfId="0" applyFont="true" applyBorder="true" applyAlignment="true" applyProtection="false">
      <alignment horizontal="left" vertical="bottom" textRotation="0" wrapText="false" indent="0" shrinkToFit="false"/>
      <protection locked="true" hidden="false"/>
    </xf>
    <xf numFmtId="174" fontId="134" fillId="5" borderId="46" xfId="0" applyFont="true" applyBorder="true" applyAlignment="true" applyProtection="false">
      <alignment horizontal="general" vertical="bottom" textRotation="0" wrapText="false" indent="0" shrinkToFit="false"/>
      <protection locked="true" hidden="false"/>
    </xf>
    <xf numFmtId="174" fontId="134" fillId="5" borderId="47" xfId="0" applyFont="true" applyBorder="true" applyAlignment="true" applyProtection="false">
      <alignment horizontal="general" vertical="bottom" textRotation="0" wrapText="false" indent="0" shrinkToFit="false"/>
      <protection locked="true" hidden="false"/>
    </xf>
    <xf numFmtId="164" fontId="136" fillId="0" borderId="37" xfId="0" applyFont="true" applyBorder="true" applyAlignment="true" applyProtection="false">
      <alignment horizontal="general" vertical="bottom" textRotation="0" wrapText="false" indent="0" shrinkToFit="false"/>
      <protection locked="true" hidden="false"/>
    </xf>
    <xf numFmtId="177" fontId="136" fillId="0" borderId="11" xfId="0" applyFont="true" applyBorder="true" applyAlignment="true" applyProtection="false">
      <alignment horizontal="general" vertical="bottom" textRotation="0" wrapText="false" indent="0" shrinkToFit="false"/>
      <protection locked="true" hidden="false"/>
    </xf>
    <xf numFmtId="177" fontId="136" fillId="0" borderId="20" xfId="0" applyFont="true" applyBorder="true" applyAlignment="true" applyProtection="false">
      <alignment horizontal="general" vertical="bottom" textRotation="0" wrapText="false" indent="0" shrinkToFit="false"/>
      <protection locked="true" hidden="false"/>
    </xf>
    <xf numFmtId="177" fontId="136" fillId="0" borderId="21" xfId="0" applyFont="true" applyBorder="true" applyAlignment="true" applyProtection="false">
      <alignment horizontal="general" vertical="bottom" textRotation="0" wrapText="false" indent="0" shrinkToFit="false"/>
      <protection locked="true" hidden="false"/>
    </xf>
    <xf numFmtId="164" fontId="136" fillId="44" borderId="26" xfId="0" applyFont="true" applyBorder="true" applyAlignment="true" applyProtection="false">
      <alignment horizontal="general" vertical="bottom" textRotation="0" wrapText="false" indent="0" shrinkToFit="false"/>
      <protection locked="true" hidden="false"/>
    </xf>
    <xf numFmtId="177" fontId="136" fillId="44" borderId="46" xfId="0" applyFont="true" applyBorder="true" applyAlignment="true" applyProtection="false">
      <alignment horizontal="general" vertical="bottom" textRotation="0" wrapText="false" indent="0" shrinkToFit="false"/>
      <protection locked="true" hidden="false"/>
    </xf>
    <xf numFmtId="177" fontId="136" fillId="44" borderId="47" xfId="0" applyFont="true" applyBorder="true" applyAlignment="true" applyProtection="false">
      <alignment horizontal="general" vertical="bottom" textRotation="0" wrapText="false" indent="0" shrinkToFit="false"/>
      <protection locked="true" hidden="false"/>
    </xf>
    <xf numFmtId="177" fontId="136" fillId="44" borderId="40" xfId="0" applyFont="true" applyBorder="true" applyAlignment="true" applyProtection="false">
      <alignment horizontal="general" vertical="bottom" textRotation="0" wrapText="false" indent="0" shrinkToFit="false"/>
      <protection locked="true" hidden="false"/>
    </xf>
    <xf numFmtId="164" fontId="107" fillId="0" borderId="26" xfId="0" applyFont="true" applyBorder="true" applyAlignment="true" applyProtection="false">
      <alignment horizontal="general" vertical="bottom" textRotation="0" wrapText="false" indent="0" shrinkToFit="false"/>
      <protection locked="true" hidden="false"/>
    </xf>
  </cellXfs>
  <cellStyles count="68">
    <cellStyle name="Normal" xfId="0" builtinId="0"/>
    <cellStyle name="Comma" xfId="15" builtinId="3"/>
    <cellStyle name="Comma [0]" xfId="16" builtinId="6"/>
    <cellStyle name="Currency" xfId="17" builtinId="4"/>
    <cellStyle name="Currency [0]" xfId="18" builtinId="7"/>
    <cellStyle name="Percent" xfId="19" builtinId="5"/>
    <cellStyle name="20% - Accent1 2" xfId="20"/>
    <cellStyle name="20% - Accent2 2" xfId="21"/>
    <cellStyle name="20% - Accent3 2" xfId="22"/>
    <cellStyle name="20% - Accent4 2" xfId="23"/>
    <cellStyle name="20% - Accent5 2" xfId="24"/>
    <cellStyle name="20% - Accent6 2" xfId="25"/>
    <cellStyle name="40% - Accent1 2" xfId="26"/>
    <cellStyle name="40% - Accent2 2" xfId="27"/>
    <cellStyle name="40% - Accent3 2" xfId="28"/>
    <cellStyle name="40% - Accent4 2" xfId="29"/>
    <cellStyle name="40% - Accent5 2" xfId="30"/>
    <cellStyle name="40% - Accent6 2" xfId="31"/>
    <cellStyle name="60% - Accent1 2" xfId="32"/>
    <cellStyle name="60% - Accent2 2" xfId="33"/>
    <cellStyle name="60% - Accent3 2" xfId="34"/>
    <cellStyle name="60% - Accent4 2" xfId="35"/>
    <cellStyle name="60% - Accent5 2" xfId="36"/>
    <cellStyle name="60% - Accent6 2" xfId="37"/>
    <cellStyle name="Accent1 2" xfId="38"/>
    <cellStyle name="Accent2 2" xfId="39"/>
    <cellStyle name="Accent3 2" xfId="40"/>
    <cellStyle name="Accent4 2" xfId="41"/>
    <cellStyle name="Accent5 2" xfId="42"/>
    <cellStyle name="Accent6 2" xfId="43"/>
    <cellStyle name="Bad 2" xfId="44"/>
    <cellStyle name="Calculation 2" xfId="45"/>
    <cellStyle name="Check Cell 2" xfId="46"/>
    <cellStyle name="Comma 2" xfId="47"/>
    <cellStyle name="Comma 2 2" xfId="48"/>
    <cellStyle name="Comma 3" xfId="49"/>
    <cellStyle name="Currency 2" xfId="50"/>
    <cellStyle name="Currency 2 2" xfId="51"/>
    <cellStyle name="Currency 3" xfId="52"/>
    <cellStyle name="Currency 4" xfId="53"/>
    <cellStyle name="Currency 5" xfId="54"/>
    <cellStyle name="Currency 6" xfId="55"/>
    <cellStyle name="Explanatory Text 2" xfId="56"/>
    <cellStyle name="Good 2" xfId="57"/>
    <cellStyle name="Heading 1 2" xfId="58"/>
    <cellStyle name="Heading 2 2" xfId="59"/>
    <cellStyle name="Heading 3 2" xfId="60"/>
    <cellStyle name="Heading 4 2" xfId="61"/>
    <cellStyle name="Hyperlink 2" xfId="62"/>
    <cellStyle name="Input 2" xfId="63"/>
    <cellStyle name="Linked Cell 2" xfId="64"/>
    <cellStyle name="Neutral 2" xfId="65"/>
    <cellStyle name="Normal 2" xfId="66"/>
    <cellStyle name="Normal 2 2" xfId="67"/>
    <cellStyle name="Normal 3" xfId="68"/>
    <cellStyle name="Normal 4" xfId="69"/>
    <cellStyle name="Normal 5" xfId="70"/>
    <cellStyle name="Normal 5 2" xfId="71"/>
    <cellStyle name="Normal 6" xfId="72"/>
    <cellStyle name="Note 2" xfId="73"/>
    <cellStyle name="Output 2" xfId="74"/>
    <cellStyle name="Percent 2" xfId="75"/>
    <cellStyle name="Percent 2 2" xfId="76"/>
    <cellStyle name="Percent 3" xfId="77"/>
    <cellStyle name="Percent 4" xfId="78"/>
    <cellStyle name="Title 2" xfId="79"/>
    <cellStyle name="Total 2" xfId="80"/>
    <cellStyle name="Warning Text 2" xfId="81"/>
  </cellStyles>
  <dxfs count="12">
    <dxf>
      <font>
        <b val="1"/>
        <color rgb="FFFFFFFF"/>
      </font>
      <fill>
        <patternFill>
          <bgColor rgb="FFFF0000"/>
        </patternFill>
      </fill>
    </dxf>
    <dxf>
      <font>
        <b val="1"/>
        <color rgb="FFFFFFFF"/>
      </font>
      <fill>
        <patternFill>
          <bgColor rgb="FF00B050"/>
        </patternFill>
      </fill>
    </dxf>
    <dxf>
      <font>
        <b val="1"/>
        <color rgb="FFFFFFFF"/>
      </font>
      <fill>
        <patternFill>
          <bgColor rgb="FFDD0806"/>
        </patternFill>
      </fill>
    </dxf>
    <dxf>
      <fill>
        <patternFill>
          <bgColor rgb="FF00FF00"/>
        </patternFill>
      </fill>
    </dxf>
    <dxf>
      <font>
        <color rgb="FFFF0000"/>
      </font>
    </dxf>
    <dxf>
      <font>
        <color rgb="FF000000"/>
      </font>
    </dxf>
    <dxf>
      <font>
        <color rgb="FF006100"/>
      </font>
      <fill>
        <patternFill>
          <bgColor rgb="FF92D050"/>
        </patternFill>
      </fill>
    </dxf>
    <dxf>
      <font>
        <color rgb="FF9C0006"/>
      </font>
      <fill>
        <patternFill>
          <bgColor rgb="FFFFC7CE"/>
        </patternFill>
      </fill>
    </dxf>
    <dxf>
      <fill>
        <patternFill>
          <bgColor rgb="FFD4F4DD"/>
        </patternFill>
      </fill>
    </dxf>
    <dxf>
      <fill>
        <patternFill>
          <bgColor rgb="FFFADBD8"/>
        </patternFill>
      </fill>
    </dxf>
    <dxf>
      <fill>
        <patternFill>
          <bgColor rgb="FF92D050"/>
        </patternFill>
      </fill>
    </dxf>
    <dxf>
      <fill>
        <patternFill>
          <bgColor rgb="FFFF6B6B"/>
        </patternFill>
      </fill>
    </dxf>
  </dxfs>
  <colors>
    <indexedColors>
      <rgbColor rgb="FF000000"/>
      <rgbColor rgb="FFFFFFFF"/>
      <rgbColor rgb="FFFF0000"/>
      <rgbColor rgb="FF00FF00"/>
      <rgbColor rgb="FF0000FF"/>
      <rgbColor rgb="FFFFFF00"/>
      <rgbColor rgb="FFFFC553"/>
      <rgbColor rgb="FFDEE4F1"/>
      <rgbColor rgb="FF0D1215"/>
      <rgbColor rgb="FF006707"/>
      <rgbColor rgb="FF0A2137"/>
      <rgbColor rgb="FF5E5F42"/>
      <rgbColor rgb="FFF2F2F2"/>
      <rgbColor rgb="FF028979"/>
      <rgbColor rgb="FFC0C0C1"/>
      <rgbColor rgb="FF5983C6"/>
      <rgbColor rgb="FFBEC5B4"/>
      <rgbColor rgb="FF183B57"/>
      <rgbColor rgb="FFFFF9DD"/>
      <rgbColor rgb="FFCCFFFF"/>
      <rgbColor rgb="FF1A2028"/>
      <rgbColor rgb="FFEA760A"/>
      <rgbColor rgb="FF0070C4"/>
      <rgbColor rgb="FFCCCCEA"/>
      <rgbColor rgb="FF0D1117"/>
      <rgbColor rgb="FFF2F2F8"/>
      <rgbColor rgb="FFFCF305"/>
      <rgbColor rgb="FFEAEAE8"/>
      <rgbColor rgb="FFFFF2CD"/>
      <rgbColor rgb="FFFFF3CC"/>
      <rgbColor rgb="FF0C7D96"/>
      <rgbColor rgb="FFFFFBE3"/>
      <rgbColor rgb="FFD9D9D9"/>
      <rgbColor rgb="FFF2F2FA"/>
      <rgbColor rgb="FFD4F4DD"/>
      <rgbColor rgb="FFFFFF99"/>
      <rgbColor rgb="FF99CCFF"/>
      <rgbColor rgb="FFFCDAD7"/>
      <rgbColor rgb="FFCD99FF"/>
      <rgbColor rgb="FFFFC588"/>
      <rgbColor rgb="FF214E89"/>
      <rgbColor rgb="FF91D051"/>
      <rgbColor rgb="FF99CC00"/>
      <rgbColor rgb="FFFFC400"/>
      <rgbColor rgb="FFFF9900"/>
      <rgbColor rgb="FFFC6E2A"/>
      <rgbColor rgb="FF5D789D"/>
      <rgbColor rgb="FF8C8C8F"/>
      <rgbColor rgb="FF183760"/>
      <rgbColor rgb="FF9DFF43"/>
      <rgbColor rgb="FF172028"/>
      <rgbColor rgb="FF1A2027"/>
      <rgbColor rgb="FFDA080B"/>
      <rgbColor rgb="FFE8720A"/>
      <rgbColor rgb="FF323398"/>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worksheet" Target="worksheets/sheet17.xml"/><Relationship Id="rId20" Type="http://schemas.openxmlformats.org/officeDocument/2006/relationships/worksheet" Target="worksheets/sheet18.xml"/><Relationship Id="rId21" Type="http://schemas.openxmlformats.org/officeDocument/2006/relationships/worksheet" Target="worksheets/sheet19.xml"/><Relationship Id="rId22" Type="http://schemas.openxmlformats.org/officeDocument/2006/relationships/worksheet" Target="worksheets/sheet20.xml"/><Relationship Id="rId23" Type="http://schemas.openxmlformats.org/officeDocument/2006/relationships/worksheet" Target="worksheets/sheet21.xml"/><Relationship Id="rId24" Type="http://schemas.openxmlformats.org/officeDocument/2006/relationships/worksheet" Target="worksheets/sheet22.xml"/><Relationship Id="rId25" Type="http://schemas.openxmlformats.org/officeDocument/2006/relationships/worksheet" Target="worksheets/sheet23.xml"/><Relationship Id="rId26" Type="http://schemas.openxmlformats.org/officeDocument/2006/relationships/worksheet" Target="worksheets/sheet24.xml"/><Relationship Id="rId27" Type="http://schemas.openxmlformats.org/officeDocument/2006/relationships/worksheet" Target="worksheets/sheet25.xml"/><Relationship Id="rId28" Type="http://schemas.openxmlformats.org/officeDocument/2006/relationships/worksheet" Target="worksheets/sheet26.xml"/><Relationship Id="rId29" Type="http://schemas.openxmlformats.org/officeDocument/2006/relationships/sharedStrings" Target="sharedStrings.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en-US" sz="1800" strike="noStrike" u="none">
                <a:solidFill>
                  <a:srgbClr val="000000"/>
                </a:solidFill>
                <a:uFillTx/>
                <a:latin typeface="Calibri"/>
              </a:rPr>
              <a:t>Project Revenue Monthly</a:t>
            </a:r>
          </a:p>
        </c:rich>
      </c:tx>
      <c:layout>
        <c:manualLayout>
          <c:xMode val="edge"/>
          <c:yMode val="edge"/>
          <c:x val="0.27471133659902"/>
          <c:y val="0.0286445012787724"/>
        </c:manualLayout>
      </c:layout>
      <c:overlay val="0"/>
      <c:spPr>
        <a:noFill/>
        <a:ln w="25560">
          <a:noFill/>
        </a:ln>
      </c:spPr>
    </c:title>
    <c:autoTitleDeleted val="0"/>
    <c:plotArea>
      <c:layout>
        <c:manualLayout>
          <c:layoutTarget val="inner"/>
          <c:xMode val="edge"/>
          <c:yMode val="edge"/>
          <c:x val="0.0889170748775367"/>
          <c:y val="0.146376811594203"/>
          <c:w val="0.677702939118265"/>
          <c:h val="0.589514066496164"/>
        </c:manualLayout>
      </c:layout>
      <c:barChart>
        <c:barDir val="col"/>
        <c:grouping val="stacked"/>
        <c:varyColors val="0"/>
        <c:ser>
          <c:idx val="0"/>
          <c:order val="0"/>
          <c:spPr>
            <a:solidFill>
              <a:srgbClr val="8eb4e3"/>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0"/>
            <c:extLst>
              <c:ext xmlns:c15="http://schemas.microsoft.com/office/drawing/2012/chart" uri="{CE6537A1-D6FC-4f65-9D91-7224C49458BB}">
                <c15:showLeaderLines val="0"/>
              </c:ext>
            </c:extLst>
          </c:dLbls>
          <c:cat>
            <c:strRef>
              <c:f>Existing!$H$1:$S$1</c:f>
              <c:strCache>
                <c:ptCount val="12"/>
                <c:pt idx="0">
                  <c:v>Month 1</c:v>
                </c:pt>
                <c:pt idx="1">
                  <c:v>Month 2</c:v>
                </c:pt>
                <c:pt idx="2">
                  <c:v>Month 3</c:v>
                </c:pt>
                <c:pt idx="3">
                  <c:v>Month 4</c:v>
                </c:pt>
                <c:pt idx="4">
                  <c:v>Month 5</c:v>
                </c:pt>
                <c:pt idx="5">
                  <c:v>Month 6</c:v>
                </c:pt>
                <c:pt idx="6">
                  <c:v>Month 7</c:v>
                </c:pt>
                <c:pt idx="7">
                  <c:v>Month 8</c:v>
                </c:pt>
                <c:pt idx="8">
                  <c:v>Month 9</c:v>
                </c:pt>
                <c:pt idx="9">
                  <c:v>Month 10</c:v>
                </c:pt>
                <c:pt idx="10">
                  <c:v>Month 11</c:v>
                </c:pt>
                <c:pt idx="11">
                  <c:v>Month 12</c:v>
                </c:pt>
              </c:strCache>
            </c:strRef>
          </c:cat>
          <c:val>
            <c:numRef>
              <c:f>Existing!$H$2:$S$2</c:f>
              <c:numCache>
                <c:formatCode>\$#,##0_);[RED]"($"#,##0\)</c:formatCode>
                <c:ptCount val="12"/>
                <c:pt idx="0">
                  <c:v>0</c:v>
                </c:pt>
                <c:pt idx="1">
                  <c:v>0</c:v>
                </c:pt>
                <c:pt idx="2">
                  <c:v>917.14</c:v>
                </c:pt>
                <c:pt idx="3">
                  <c:v>134197.060869048</c:v>
                </c:pt>
                <c:pt idx="4">
                  <c:v>268394.121738095</c:v>
                </c:pt>
                <c:pt idx="5">
                  <c:v>536788.243476191</c:v>
                </c:pt>
                <c:pt idx="6">
                  <c:v>805182.365214286</c:v>
                </c:pt>
                <c:pt idx="7">
                  <c:v>1073576.48695238</c:v>
                </c:pt>
                <c:pt idx="8">
                  <c:v>1341970.60869048</c:v>
                </c:pt>
                <c:pt idx="9">
                  <c:v>1610364.73042857</c:v>
                </c:pt>
                <c:pt idx="10">
                  <c:v>1878758.85216667</c:v>
                </c:pt>
                <c:pt idx="11">
                  <c:v>2147152.97390476</c:v>
                </c:pt>
              </c:numCache>
            </c:numRef>
          </c:val>
        </c:ser>
        <c:gapWidth val="50"/>
        <c:overlap val="100"/>
        <c:axId val="49044053"/>
        <c:axId val="58179800"/>
      </c:barChart>
      <c:catAx>
        <c:axId val="49044053"/>
        <c:scaling>
          <c:orientation val="minMax"/>
        </c:scaling>
        <c:delete val="0"/>
        <c:axPos val="b"/>
        <c:numFmt formatCode="General" sourceLinked="0"/>
        <c:majorTickMark val="out"/>
        <c:minorTickMark val="none"/>
        <c:tickLblPos val="low"/>
        <c:spPr>
          <a:ln w="9360">
            <a:solidFill>
              <a:srgbClr val="878787"/>
            </a:solidFill>
            <a:round/>
          </a:ln>
        </c:spPr>
        <c:txPr>
          <a:bodyPr rot="-1800000"/>
          <a:lstStyle/>
          <a:p>
            <a:pPr>
              <a:defRPr b="0" sz="1000" strike="noStrike" u="none">
                <a:solidFill>
                  <a:srgbClr val="000000"/>
                </a:solidFill>
                <a:uFillTx/>
                <a:latin typeface="Calibri"/>
              </a:defRPr>
            </a:pPr>
          </a:p>
        </c:txPr>
        <c:crossAx val="58179800"/>
        <c:crosses val="autoZero"/>
        <c:auto val="1"/>
        <c:lblAlgn val="ctr"/>
        <c:lblOffset val="100"/>
        <c:noMultiLvlLbl val="0"/>
      </c:catAx>
      <c:valAx>
        <c:axId val="58179800"/>
        <c:scaling>
          <c:orientation val="minMax"/>
        </c:scaling>
        <c:delete val="0"/>
        <c:axPos val="l"/>
        <c:majorGridlines>
          <c:spPr>
            <a:ln w="9360">
              <a:solidFill>
                <a:srgbClr val="878787"/>
              </a:solidFill>
              <a:round/>
            </a:ln>
          </c:spPr>
        </c:majorGridlines>
        <c:numFmt formatCode="\$#,##0_);[RED]&quot;($&quot;#,##0\)" sourceLinked="0"/>
        <c:majorTickMark val="out"/>
        <c:minorTickMark val="none"/>
        <c:tickLblPos val="nextTo"/>
        <c:spPr>
          <a:ln w="9360">
            <a:solidFill>
              <a:srgbClr val="878787"/>
            </a:solidFill>
            <a:round/>
          </a:ln>
        </c:spPr>
        <c:txPr>
          <a:bodyPr/>
          <a:lstStyle/>
          <a:p>
            <a:pPr>
              <a:defRPr b="0" sz="1000" strike="noStrike" u="none">
                <a:solidFill>
                  <a:srgbClr val="000000"/>
                </a:solidFill>
                <a:uFillTx/>
                <a:latin typeface="Calibri"/>
              </a:defRPr>
            </a:pPr>
          </a:p>
        </c:txPr>
        <c:crossAx val="49044053"/>
        <c:crosses val="autoZero"/>
        <c:crossBetween val="between"/>
      </c:valAx>
      <c:spPr>
        <a:noFill/>
        <a:ln w="0">
          <a:noFill/>
        </a:ln>
      </c:spPr>
    </c:plotArea>
    <c:plotVisOnly val="1"/>
    <c:dispBlanksAs val="gap"/>
  </c:chart>
  <c:spPr>
    <a:solidFill>
      <a:srgbClr val="ffffff"/>
    </a:solidFill>
    <a:ln w="9360">
      <a:noFill/>
    </a:ln>
  </c:spPr>
</c:chartSpace>
</file>

<file path=xl/charts/chart10.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en-US" sz="250" strike="noStrike" u="none">
                <a:solidFill>
                  <a:srgbClr val="000000"/>
                </a:solidFill>
                <a:uFillTx/>
                <a:latin typeface="Arial"/>
                <a:ea typeface="Arial"/>
              </a:rPr>
              <a:t>Gross Margin &amp; Profit Yearly</a:t>
            </a:r>
          </a:p>
        </c:rich>
      </c:tx>
      <c:overlay val="0"/>
      <c:spPr>
        <a:noFill/>
        <a:ln w="25560">
          <a:noFill/>
        </a:ln>
      </c:spPr>
    </c:title>
    <c:autoTitleDeleted val="0"/>
    <c:plotArea>
      <c:barChart>
        <c:barDir val="col"/>
        <c:grouping val="clustered"/>
        <c:varyColors val="0"/>
        <c:ser>
          <c:idx val="0"/>
          <c:order val="0"/>
          <c:spPr>
            <a:solidFill>
              <a:srgbClr val="900000"/>
            </a:solidFill>
            <a:ln w="25560">
              <a:noFill/>
            </a:ln>
          </c:spPr>
          <c:invertIfNegative val="0"/>
        </c:ser>
        <c:ser>
          <c:idx val="1"/>
          <c:order val="1"/>
          <c:spPr>
            <a:solidFill>
              <a:srgbClr val="006411"/>
            </a:solidFill>
            <a:ln w="25560">
              <a:noFill/>
            </a:ln>
          </c:spPr>
          <c:invertIfNegative val="0"/>
        </c:ser>
        <c:gapWidth val="110"/>
        <c:overlap val="-30"/>
        <c:axId val="70782232"/>
        <c:axId val="51224006"/>
      </c:barChart>
      <c:catAx>
        <c:axId val="70782232"/>
        <c:scaling>
          <c:orientation val="minMax"/>
        </c:scaling>
        <c:delete val="0"/>
        <c:axPos val="b"/>
        <c:numFmt formatCode="General" sourceLinked="0"/>
        <c:majorTickMark val="out"/>
        <c:minorTickMark val="none"/>
        <c:tickLblPos val="low"/>
        <c:spPr>
          <a:ln w="3240">
            <a:solidFill>
              <a:srgbClr val="969696"/>
            </a:solidFill>
            <a:round/>
          </a:ln>
        </c:spPr>
        <c:txPr>
          <a:bodyPr/>
          <a:lstStyle/>
          <a:p>
            <a:pPr>
              <a:defRPr b="0" sz="200" strike="noStrike" u="none">
                <a:solidFill>
                  <a:srgbClr val="000000"/>
                </a:solidFill>
                <a:uFillTx/>
                <a:latin typeface="Arial"/>
                <a:ea typeface="Arial"/>
              </a:defRPr>
            </a:pPr>
          </a:p>
        </c:txPr>
        <c:crossAx val="51224006"/>
        <c:crosses val="autoZero"/>
        <c:auto val="1"/>
        <c:lblAlgn val="ctr"/>
        <c:lblOffset val="100"/>
        <c:noMultiLvlLbl val="0"/>
      </c:catAx>
      <c:valAx>
        <c:axId val="51224006"/>
        <c:scaling>
          <c:orientation val="minMax"/>
        </c:scaling>
        <c:delete val="0"/>
        <c:axPos val="l"/>
        <c:majorGridlines>
          <c:spPr>
            <a:ln w="3240">
              <a:solidFill>
                <a:srgbClr val="969696"/>
              </a:solidFill>
              <a:round/>
            </a:ln>
          </c:spPr>
        </c:majorGridlines>
        <c:numFmt formatCode="General" sourceLinked="0"/>
        <c:majorTickMark val="out"/>
        <c:minorTickMark val="none"/>
        <c:tickLblPos val="nextTo"/>
        <c:spPr>
          <a:ln w="3240">
            <a:solidFill>
              <a:srgbClr val="969696"/>
            </a:solidFill>
            <a:round/>
          </a:ln>
        </c:spPr>
        <c:txPr>
          <a:bodyPr/>
          <a:lstStyle/>
          <a:p>
            <a:pPr>
              <a:defRPr b="0" sz="200" strike="noStrike" u="none">
                <a:solidFill>
                  <a:srgbClr val="000000"/>
                </a:solidFill>
                <a:uFillTx/>
                <a:latin typeface="Arial"/>
                <a:ea typeface="Arial"/>
              </a:defRPr>
            </a:pPr>
          </a:p>
        </c:txPr>
        <c:crossAx val="70782232"/>
        <c:crosses val="autoZero"/>
        <c:crossBetween val="between"/>
      </c:valAx>
      <c:spPr>
        <a:noFill/>
        <a:ln w="0">
          <a:noFill/>
        </a:ln>
      </c:spPr>
    </c:plotArea>
    <c:legend>
      <c:legendPos val="r"/>
      <c:overlay val="0"/>
      <c:spPr>
        <a:solidFill>
          <a:srgbClr val="ffffff"/>
        </a:solidFill>
        <a:ln w="25560">
          <a:noFill/>
        </a:ln>
      </c:spPr>
      <c:txPr>
        <a:bodyPr/>
        <a:lstStyle/>
        <a:p>
          <a:pPr>
            <a:defRPr b="0" sz="160" strike="noStrike" u="none">
              <a:solidFill>
                <a:srgbClr val="000000"/>
              </a:solidFill>
              <a:uFillTx/>
              <a:latin typeface="Times New Roman"/>
              <a:ea typeface="Times New Roman"/>
            </a:defRPr>
          </a:pPr>
        </a:p>
      </c:txPr>
    </c:legend>
    <c:plotVisOnly val="1"/>
    <c:dispBlanksAs val="gap"/>
  </c:chart>
  <c:spPr>
    <a:solidFill>
      <a:srgbClr val="ffffff"/>
    </a:solidFill>
    <a:ln w="9360">
      <a:noFill/>
    </a:ln>
  </c:spPr>
</c:chartSpace>
</file>

<file path=xl/charts/chart1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en-US" sz="1800" strike="noStrike" u="none">
                <a:solidFill>
                  <a:srgbClr val="000000"/>
                </a:solidFill>
                <a:uFillTx/>
                <a:latin typeface="Calibri"/>
              </a:rPr>
              <a:t>Financial Highlights</a:t>
            </a:r>
          </a:p>
        </c:rich>
      </c:tx>
      <c:layout>
        <c:manualLayout>
          <c:xMode val="edge"/>
          <c:yMode val="edge"/>
          <c:x val="0.318895563283802"/>
          <c:y val="0.0784710511523328"/>
        </c:manualLayout>
      </c:layout>
      <c:overlay val="0"/>
      <c:spPr>
        <a:noFill/>
        <a:ln w="25560">
          <a:noFill/>
        </a:ln>
      </c:spPr>
    </c:title>
    <c:autoTitleDeleted val="0"/>
    <c:plotArea>
      <c:layout>
        <c:manualLayout>
          <c:layoutTarget val="inner"/>
          <c:xMode val="edge"/>
          <c:yMode val="edge"/>
          <c:x val="0.10754557909158"/>
          <c:y val="0.21247892074199"/>
          <c:w val="0.713404995257667"/>
          <c:h val="0.631028667790894"/>
        </c:manualLayout>
      </c:layout>
      <c:barChart>
        <c:barDir val="col"/>
        <c:grouping val="clustered"/>
        <c:varyColors val="0"/>
        <c:ser>
          <c:idx val="0"/>
          <c:order val="0"/>
          <c:tx>
            <c:strRef>
              <c:f>'Graphs 5Y'!$A$3</c:f>
              <c:strCache>
                <c:ptCount val="1"/>
                <c:pt idx="0">
                  <c:v>Revenue</c:v>
                </c:pt>
              </c:strCache>
            </c:strRef>
          </c:tx>
          <c:spPr>
            <a:solidFill>
              <a:srgbClr val="8eb4e3"/>
            </a:solidFill>
            <a:ln w="0">
              <a:noFill/>
            </a:ln>
          </c:spPr>
          <c:invertIfNegative val="0"/>
          <c:dLbls>
            <c:txPr>
              <a:bodyPr wrap="square"/>
              <a:lstStyle/>
              <a:p>
                <a:pPr>
                  <a:defRPr b="0" sz="1000" strike="noStrike" u="none">
                    <a:solidFill>
                      <a:srgbClr val="000000"/>
                    </a:solidFill>
                    <a:uFillTx/>
                    <a:latin typeface="Calibri"/>
                  </a:defRPr>
                </a:pPr>
              </a:p>
            </c:txPr>
            <c:dLblPos val="outEnd"/>
            <c:showLegendKey val="0"/>
            <c:showVal val="0"/>
            <c:showCatName val="0"/>
            <c:showSerName val="0"/>
            <c:showPercent val="0"/>
            <c:separator>; </c:separator>
            <c:showLeaderLines val="0"/>
            <c:extLst>
              <c:ext xmlns:c15="http://schemas.microsoft.com/office/drawing/2012/chart" uri="{CE6537A1-D6FC-4f65-9D91-7224C49458BB}">
                <c15:showLeaderLines val="0"/>
              </c:ext>
            </c:extLst>
          </c:dLbls>
          <c:cat>
            <c:strRef>
              <c:f>'Graphs 5Y'!$B$2:$F$2</c:f>
              <c:strCache>
                <c:ptCount val="5"/>
                <c:pt idx="0">
                  <c:v>Year 1</c:v>
                </c:pt>
                <c:pt idx="1">
                  <c:v>Year 2</c:v>
                </c:pt>
                <c:pt idx="2">
                  <c:v>Year 3</c:v>
                </c:pt>
                <c:pt idx="3">
                  <c:v>Year 4</c:v>
                </c:pt>
                <c:pt idx="4">
                  <c:v>Year 5</c:v>
                </c:pt>
              </c:strCache>
            </c:strRef>
          </c:cat>
          <c:val>
            <c:numRef>
              <c:f>'Graphs 5Y'!$B$3:$F$3</c:f>
              <c:numCache>
                <c:formatCode>\$#,##0_);[RED]"($"#,##0\)</c:formatCode>
                <c:ptCount val="5"/>
                <c:pt idx="0">
                  <c:v>0</c:v>
                </c:pt>
                <c:pt idx="1">
                  <c:v>0</c:v>
                </c:pt>
                <c:pt idx="2">
                  <c:v>0</c:v>
                </c:pt>
                <c:pt idx="3">
                  <c:v>0</c:v>
                </c:pt>
                <c:pt idx="4">
                  <c:v>0</c:v>
                </c:pt>
              </c:numCache>
            </c:numRef>
          </c:val>
        </c:ser>
        <c:ser>
          <c:idx val="1"/>
          <c:order val="1"/>
          <c:tx>
            <c:strRef>
              <c:f>'Graphs 5Y'!$A$4</c:f>
              <c:strCache>
                <c:ptCount val="1"/>
                <c:pt idx="0">
                  <c:v>Direct Costs</c:v>
                </c:pt>
              </c:strCache>
            </c:strRef>
          </c:tx>
          <c:spPr>
            <a:solidFill>
              <a:srgbClr val="99cc00"/>
            </a:solidFill>
            <a:ln w="0">
              <a:solidFill>
                <a:srgbClr val="92d050"/>
              </a:solidFill>
            </a:ln>
          </c:spPr>
          <c:invertIfNegative val="0"/>
          <c:dLbls>
            <c:txPr>
              <a:bodyPr wrap="square"/>
              <a:lstStyle/>
              <a:p>
                <a:pPr>
                  <a:defRPr b="0" sz="1000" strike="noStrike" u="none">
                    <a:solidFill>
                      <a:srgbClr val="000000"/>
                    </a:solidFill>
                    <a:uFillTx/>
                    <a:latin typeface="Calibri"/>
                  </a:defRPr>
                </a:pPr>
              </a:p>
            </c:txPr>
            <c:dLblPos val="outEnd"/>
            <c:showLegendKey val="0"/>
            <c:showVal val="0"/>
            <c:showCatName val="0"/>
            <c:showSerName val="0"/>
            <c:showPercent val="0"/>
            <c:separator>; </c:separator>
            <c:showLeaderLines val="0"/>
            <c:leaderLines>
              <c:spPr>
                <a:ln>
                  <a:solidFill>
                    <a:srgbClr val="92d050"/>
                  </a:solidFill>
                </a:ln>
              </c:spPr>
            </c:leaderLines>
            <c:extLst>
              <c:ext xmlns:c15="http://schemas.microsoft.com/office/drawing/2012/chart" uri="{CE6537A1-D6FC-4f65-9D91-7224C49458BB}">
                <c15:showLeaderLines val="0"/>
              </c:ext>
            </c:extLst>
          </c:dLbls>
          <c:cat>
            <c:strRef>
              <c:f>'Graphs 5Y'!$B$2:$F$2</c:f>
              <c:strCache>
                <c:ptCount val="5"/>
                <c:pt idx="0">
                  <c:v>Year 1</c:v>
                </c:pt>
                <c:pt idx="1">
                  <c:v>Year 2</c:v>
                </c:pt>
                <c:pt idx="2">
                  <c:v>Year 3</c:v>
                </c:pt>
                <c:pt idx="3">
                  <c:v>Year 4</c:v>
                </c:pt>
                <c:pt idx="4">
                  <c:v>Year 5</c:v>
                </c:pt>
              </c:strCache>
            </c:strRef>
          </c:cat>
          <c:val>
            <c:numRef>
              <c:f>'Graphs 5Y'!$B$4:$F$4</c:f>
              <c:numCache>
                <c:formatCode>\$#,##0_);[RED]"($"#,##0\)</c:formatCode>
                <c:ptCount val="5"/>
                <c:pt idx="0">
                  <c:v>6087649.67781669</c:v>
                </c:pt>
                <c:pt idx="1">
                  <c:v>31915417.3897659</c:v>
                </c:pt>
                <c:pt idx="2">
                  <c:v>81368910.4966181</c:v>
                </c:pt>
                <c:pt idx="3">
                  <c:v>85700606.6041462</c:v>
                </c:pt>
                <c:pt idx="4">
                  <c:v>90032302.7116743</c:v>
                </c:pt>
              </c:numCache>
            </c:numRef>
          </c:val>
        </c:ser>
        <c:ser>
          <c:idx val="2"/>
          <c:order val="2"/>
          <c:tx>
            <c:strRef>
              <c:f>'Graphs 5Y'!$A$5</c:f>
              <c:strCache>
                <c:ptCount val="1"/>
                <c:pt idx="0">
                  <c:v>Operating Expenses</c:v>
                </c:pt>
              </c:strCache>
            </c:strRef>
          </c:tx>
          <c:spPr>
            <a:solidFill>
              <a:srgbClr val="ffff00"/>
            </a:solidFill>
            <a:ln w="0">
              <a:noFill/>
            </a:ln>
          </c:spPr>
          <c:invertIfNegative val="0"/>
          <c:dLbls>
            <c:txPr>
              <a:bodyPr wrap="square"/>
              <a:lstStyle/>
              <a:p>
                <a:pPr>
                  <a:defRPr b="0" sz="1000" strike="noStrike" u="none">
                    <a:solidFill>
                      <a:srgbClr val="000000"/>
                    </a:solidFill>
                    <a:uFillTx/>
                    <a:latin typeface="Calibri"/>
                  </a:defRPr>
                </a:pPr>
              </a:p>
            </c:txPr>
            <c:dLblPos val="outEnd"/>
            <c:showLegendKey val="0"/>
            <c:showVal val="0"/>
            <c:showCatName val="0"/>
            <c:showSerName val="0"/>
            <c:showPercent val="0"/>
            <c:separator>; </c:separator>
            <c:showLeaderLines val="0"/>
            <c:extLst>
              <c:ext xmlns:c15="http://schemas.microsoft.com/office/drawing/2012/chart" uri="{CE6537A1-D6FC-4f65-9D91-7224C49458BB}">
                <c15:showLeaderLines val="0"/>
              </c:ext>
            </c:extLst>
          </c:dLbls>
          <c:cat>
            <c:strRef>
              <c:f>'Graphs 5Y'!$B$2:$F$2</c:f>
              <c:strCache>
                <c:ptCount val="5"/>
                <c:pt idx="0">
                  <c:v>Year 1</c:v>
                </c:pt>
                <c:pt idx="1">
                  <c:v>Year 2</c:v>
                </c:pt>
                <c:pt idx="2">
                  <c:v>Year 3</c:v>
                </c:pt>
                <c:pt idx="3">
                  <c:v>Year 4</c:v>
                </c:pt>
                <c:pt idx="4">
                  <c:v>Year 5</c:v>
                </c:pt>
              </c:strCache>
            </c:strRef>
          </c:cat>
          <c:val>
            <c:numRef>
              <c:f>'Graphs 5Y'!$B$5:$F$5</c:f>
              <c:numCache>
                <c:formatCode>\$#,##0_);[RED]"($"#,##0\)</c:formatCode>
                <c:ptCount val="5"/>
                <c:pt idx="0">
                  <c:v>7158057.74494405</c:v>
                </c:pt>
                <c:pt idx="1">
                  <c:v>20895282.5696614</c:v>
                </c:pt>
                <c:pt idx="2">
                  <c:v>35027776.063542</c:v>
                </c:pt>
                <c:pt idx="3">
                  <c:v>37218991.7694791</c:v>
                </c:pt>
                <c:pt idx="4">
                  <c:v>39450126.2413681</c:v>
                </c:pt>
              </c:numCache>
            </c:numRef>
          </c:val>
        </c:ser>
        <c:ser>
          <c:idx val="3"/>
          <c:order val="3"/>
          <c:tx>
            <c:strRef>
              <c:f>'Graphs 5Y'!$A$6</c:f>
              <c:strCache>
                <c:ptCount val="1"/>
                <c:pt idx="0">
                  <c:v>Net Profit</c:v>
                </c:pt>
              </c:strCache>
            </c:strRef>
          </c:tx>
          <c:spPr>
            <a:solidFill>
              <a:srgbClr val="ffc000"/>
            </a:solidFill>
            <a:ln w="0">
              <a:noFill/>
            </a:ln>
          </c:spPr>
          <c:invertIfNegative val="0"/>
          <c:dLbls>
            <c:txPr>
              <a:bodyPr wrap="square"/>
              <a:lstStyle/>
              <a:p>
                <a:pPr>
                  <a:defRPr b="0" sz="1000" strike="noStrike" u="none">
                    <a:solidFill>
                      <a:srgbClr val="000000"/>
                    </a:solidFill>
                    <a:uFillTx/>
                    <a:latin typeface="Calibri"/>
                  </a:defRPr>
                </a:pPr>
              </a:p>
            </c:txPr>
            <c:dLblPos val="outEnd"/>
            <c:showLegendKey val="0"/>
            <c:showVal val="0"/>
            <c:showCatName val="0"/>
            <c:showSerName val="0"/>
            <c:showPercent val="0"/>
            <c:separator>; </c:separator>
            <c:showLeaderLines val="0"/>
            <c:extLst>
              <c:ext xmlns:c15="http://schemas.microsoft.com/office/drawing/2012/chart" uri="{CE6537A1-D6FC-4f65-9D91-7224C49458BB}">
                <c15:showLeaderLines val="0"/>
              </c:ext>
            </c:extLst>
          </c:dLbls>
          <c:cat>
            <c:strRef>
              <c:f>'Graphs 5Y'!$B$2:$F$2</c:f>
              <c:strCache>
                <c:ptCount val="5"/>
                <c:pt idx="0">
                  <c:v>Year 1</c:v>
                </c:pt>
                <c:pt idx="1">
                  <c:v>Year 2</c:v>
                </c:pt>
                <c:pt idx="2">
                  <c:v>Year 3</c:v>
                </c:pt>
                <c:pt idx="3">
                  <c:v>Year 4</c:v>
                </c:pt>
                <c:pt idx="4">
                  <c:v>Year 5</c:v>
                </c:pt>
              </c:strCache>
            </c:strRef>
          </c:cat>
          <c:val>
            <c:numRef>
              <c:f>'Graphs 5Y'!$B$6:$F$6</c:f>
              <c:numCache>
                <c:formatCode>\$#,##0_);[RED]"($"#,##0\)</c:formatCode>
                <c:ptCount val="5"/>
                <c:pt idx="0">
                  <c:v>0</c:v>
                </c:pt>
                <c:pt idx="1">
                  <c:v>0</c:v>
                </c:pt>
                <c:pt idx="2">
                  <c:v>0</c:v>
                </c:pt>
                <c:pt idx="3">
                  <c:v>0</c:v>
                </c:pt>
                <c:pt idx="4">
                  <c:v>0</c:v>
                </c:pt>
              </c:numCache>
            </c:numRef>
          </c:val>
        </c:ser>
        <c:gapWidth val="150"/>
        <c:overlap val="0"/>
        <c:axId val="23069901"/>
        <c:axId val="65730263"/>
      </c:barChart>
      <c:catAx>
        <c:axId val="23069901"/>
        <c:scaling>
          <c:orientation val="minMax"/>
        </c:scaling>
        <c:delete val="0"/>
        <c:axPos val="b"/>
        <c:numFmt formatCode="General" sourceLinked="0"/>
        <c:majorTickMark val="out"/>
        <c:minorTickMark val="none"/>
        <c:tickLblPos val="low"/>
        <c:spPr>
          <a:ln w="9360">
            <a:solidFill>
              <a:srgbClr val="878787"/>
            </a:solidFill>
            <a:round/>
          </a:ln>
        </c:spPr>
        <c:txPr>
          <a:bodyPr rot="-1800000"/>
          <a:lstStyle/>
          <a:p>
            <a:pPr>
              <a:defRPr b="0" sz="1000" strike="noStrike" u="none">
                <a:solidFill>
                  <a:srgbClr val="000000"/>
                </a:solidFill>
                <a:uFillTx/>
                <a:latin typeface="Calibri"/>
              </a:defRPr>
            </a:pPr>
          </a:p>
        </c:txPr>
        <c:crossAx val="65730263"/>
        <c:crosses val="autoZero"/>
        <c:auto val="1"/>
        <c:lblAlgn val="ctr"/>
        <c:lblOffset val="100"/>
        <c:noMultiLvlLbl val="0"/>
      </c:catAx>
      <c:valAx>
        <c:axId val="65730263"/>
        <c:scaling>
          <c:orientation val="minMax"/>
        </c:scaling>
        <c:delete val="0"/>
        <c:axPos val="l"/>
        <c:majorGridlines>
          <c:spPr>
            <a:ln w="9360">
              <a:solidFill>
                <a:srgbClr val="878787"/>
              </a:solidFill>
              <a:round/>
            </a:ln>
          </c:spPr>
        </c:majorGridlines>
        <c:numFmt formatCode="\$#,##0_);[RED]&quot;($&quot;#,##0\)" sourceLinked="0"/>
        <c:majorTickMark val="out"/>
        <c:minorTickMark val="none"/>
        <c:tickLblPos val="nextTo"/>
        <c:spPr>
          <a:ln w="9360">
            <a:solidFill>
              <a:srgbClr val="878787"/>
            </a:solidFill>
            <a:round/>
          </a:ln>
        </c:spPr>
        <c:txPr>
          <a:bodyPr/>
          <a:lstStyle/>
          <a:p>
            <a:pPr>
              <a:defRPr b="0" sz="1000" strike="noStrike" u="none">
                <a:solidFill>
                  <a:srgbClr val="000000"/>
                </a:solidFill>
                <a:uFillTx/>
                <a:latin typeface="Calibri"/>
              </a:defRPr>
            </a:pPr>
          </a:p>
        </c:txPr>
        <c:crossAx val="23069901"/>
        <c:crosses val="autoZero"/>
        <c:crossBetween val="between"/>
      </c:valAx>
      <c:spPr>
        <a:noFill/>
        <a:ln w="0">
          <a:noFill/>
        </a:ln>
      </c:spPr>
    </c:plotArea>
    <c:legend>
      <c:legendPos val="r"/>
      <c:layout>
        <c:manualLayout>
          <c:xMode val="edge"/>
          <c:yMode val="edge"/>
          <c:x val="0.850746268656716"/>
          <c:y val="0.308333333333333"/>
          <c:w val="0.143283582089552"/>
          <c:h val="0.522222222222222"/>
        </c:manualLayout>
      </c:layout>
      <c:overlay val="0"/>
      <c:spPr>
        <a:noFill/>
        <a:ln w="0">
          <a:noFill/>
        </a:ln>
      </c:spPr>
      <c:txPr>
        <a:bodyPr/>
        <a:lstStyle/>
        <a:p>
          <a:pPr>
            <a:defRPr b="0" sz="880" strike="noStrike" u="none">
              <a:solidFill>
                <a:srgbClr val="000000"/>
              </a:solidFill>
              <a:uFillTx/>
              <a:latin typeface="Calibri"/>
            </a:defRPr>
          </a:pPr>
        </a:p>
      </c:txPr>
    </c:legend>
    <c:plotVisOnly val="1"/>
    <c:dispBlanksAs val="gap"/>
  </c:chart>
  <c:spPr>
    <a:solidFill>
      <a:srgbClr val="ffffff"/>
    </a:solidFill>
    <a:ln w="9360">
      <a:noFill/>
    </a:ln>
  </c:spPr>
</c:chartSpace>
</file>

<file path=xl/charts/chart1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en-US" sz="1800" strike="noStrike" u="none">
                <a:solidFill>
                  <a:srgbClr val="000000"/>
                </a:solidFill>
                <a:uFillTx/>
                <a:latin typeface="Calibri"/>
              </a:rPr>
              <a:t>Cash Flow</a:t>
            </a:r>
          </a:p>
        </c:rich>
      </c:tx>
      <c:layout>
        <c:manualLayout>
          <c:xMode val="edge"/>
          <c:yMode val="edge"/>
          <c:x val="0.318604124178563"/>
          <c:y val="0.0787475016655563"/>
        </c:manualLayout>
      </c:layout>
      <c:overlay val="0"/>
      <c:spPr>
        <a:noFill/>
        <a:ln w="25560">
          <a:noFill/>
        </a:ln>
      </c:spPr>
    </c:title>
    <c:autoTitleDeleted val="0"/>
    <c:plotArea>
      <c:layout>
        <c:manualLayout>
          <c:layoutTarget val="inner"/>
          <c:xMode val="edge"/>
          <c:yMode val="edge"/>
          <c:x val="0.107579877634262"/>
          <c:y val="0.21292471685543"/>
          <c:w val="0.713290278721958"/>
          <c:h val="0.630246502331779"/>
        </c:manualLayout>
      </c:layout>
      <c:barChart>
        <c:barDir val="col"/>
        <c:grouping val="clustered"/>
        <c:varyColors val="0"/>
        <c:ser>
          <c:idx val="0"/>
          <c:order val="0"/>
          <c:tx>
            <c:strRef>
              <c:f>'Graphs 5Y'!$A$32</c:f>
              <c:strCache>
                <c:ptCount val="1"/>
                <c:pt idx="0">
                  <c:v>Net Cash Flow</c:v>
                </c:pt>
              </c:strCache>
            </c:strRef>
          </c:tx>
          <c:spPr>
            <a:solidFill>
              <a:srgbClr val="8eb4e3"/>
            </a:solidFill>
            <a:ln w="0">
              <a:noFill/>
            </a:ln>
          </c:spPr>
          <c:invertIfNegative val="0"/>
          <c:dLbls>
            <c:txPr>
              <a:bodyPr wrap="square"/>
              <a:lstStyle/>
              <a:p>
                <a:pPr>
                  <a:defRPr b="0" sz="1000" strike="noStrike" u="none">
                    <a:solidFill>
                      <a:srgbClr val="000000"/>
                    </a:solidFill>
                    <a:uFillTx/>
                    <a:latin typeface="Calibri"/>
                  </a:defRPr>
                </a:pPr>
              </a:p>
            </c:txPr>
            <c:dLblPos val="outEnd"/>
            <c:showLegendKey val="0"/>
            <c:showVal val="0"/>
            <c:showCatName val="0"/>
            <c:showSerName val="0"/>
            <c:showPercent val="0"/>
            <c:separator>; </c:separator>
            <c:showLeaderLines val="0"/>
            <c:extLst>
              <c:ext xmlns:c15="http://schemas.microsoft.com/office/drawing/2012/chart" uri="{CE6537A1-D6FC-4f65-9D91-7224C49458BB}">
                <c15:showLeaderLines val="0"/>
              </c:ext>
            </c:extLst>
          </c:dLbls>
          <c:cat>
            <c:strRef>
              <c:f>'Graphs 5Y'!$B$31:$F$31</c:f>
              <c:strCache>
                <c:ptCount val="5"/>
                <c:pt idx="0">
                  <c:v>Year 1</c:v>
                </c:pt>
                <c:pt idx="1">
                  <c:v>Year 2</c:v>
                </c:pt>
                <c:pt idx="2">
                  <c:v>Year 3</c:v>
                </c:pt>
                <c:pt idx="3">
                  <c:v>Year 4</c:v>
                </c:pt>
                <c:pt idx="4">
                  <c:v>Year 5</c:v>
                </c:pt>
              </c:strCache>
            </c:strRef>
          </c:cat>
          <c:val>
            <c:numRef>
              <c:f>'Graphs 5Y'!$B$32:$F$32</c:f>
              <c:numCache>
                <c:formatCode>\$#,##0_);[RED]"($"#,##0\)</c:formatCode>
                <c:ptCount val="5"/>
                <c:pt idx="0">
                  <c:v>6344386.38122366</c:v>
                </c:pt>
                <c:pt idx="1">
                  <c:v>7591274.12745243</c:v>
                </c:pt>
                <c:pt idx="2">
                  <c:v>40237740.4209782</c:v>
                </c:pt>
                <c:pt idx="3">
                  <c:v>48287275.6655105</c:v>
                </c:pt>
                <c:pt idx="4">
                  <c:v>54531564.3629462</c:v>
                </c:pt>
              </c:numCache>
            </c:numRef>
          </c:val>
        </c:ser>
        <c:ser>
          <c:idx val="1"/>
          <c:order val="1"/>
          <c:tx>
            <c:strRef>
              <c:f>'Graphs 5Y'!$A$33</c:f>
              <c:strCache>
                <c:ptCount val="1"/>
                <c:pt idx="0">
                  <c:v>Cash Balance</c:v>
                </c:pt>
              </c:strCache>
            </c:strRef>
          </c:tx>
          <c:spPr>
            <a:solidFill>
              <a:srgbClr val="99cc00"/>
            </a:solidFill>
            <a:ln w="0">
              <a:solidFill>
                <a:srgbClr val="92d050"/>
              </a:solidFill>
            </a:ln>
          </c:spPr>
          <c:invertIfNegative val="0"/>
          <c:dLbls>
            <c:txPr>
              <a:bodyPr wrap="square"/>
              <a:lstStyle/>
              <a:p>
                <a:pPr>
                  <a:defRPr b="0" sz="1000" strike="noStrike" u="none">
                    <a:solidFill>
                      <a:srgbClr val="000000"/>
                    </a:solidFill>
                    <a:uFillTx/>
                    <a:latin typeface="Calibri"/>
                  </a:defRPr>
                </a:pPr>
              </a:p>
            </c:txPr>
            <c:dLblPos val="outEnd"/>
            <c:showLegendKey val="0"/>
            <c:showVal val="0"/>
            <c:showCatName val="0"/>
            <c:showSerName val="0"/>
            <c:showPercent val="0"/>
            <c:separator>; </c:separator>
            <c:showLeaderLines val="0"/>
            <c:leaderLines>
              <c:spPr>
                <a:ln>
                  <a:solidFill>
                    <a:srgbClr val="92d050"/>
                  </a:solidFill>
                </a:ln>
              </c:spPr>
            </c:leaderLines>
            <c:extLst>
              <c:ext xmlns:c15="http://schemas.microsoft.com/office/drawing/2012/chart" uri="{CE6537A1-D6FC-4f65-9D91-7224C49458BB}">
                <c15:showLeaderLines val="0"/>
              </c:ext>
            </c:extLst>
          </c:dLbls>
          <c:cat>
            <c:strRef>
              <c:f>'Graphs 5Y'!$B$31:$F$31</c:f>
              <c:strCache>
                <c:ptCount val="5"/>
                <c:pt idx="0">
                  <c:v>Year 1</c:v>
                </c:pt>
                <c:pt idx="1">
                  <c:v>Year 2</c:v>
                </c:pt>
                <c:pt idx="2">
                  <c:v>Year 3</c:v>
                </c:pt>
                <c:pt idx="3">
                  <c:v>Year 4</c:v>
                </c:pt>
                <c:pt idx="4">
                  <c:v>Year 5</c:v>
                </c:pt>
              </c:strCache>
            </c:strRef>
          </c:cat>
          <c:val>
            <c:numRef>
              <c:f>'Graphs 5Y'!$B$33:$F$33</c:f>
              <c:numCache>
                <c:formatCode>\$#,##0_);[RED]"($"#,##0\)</c:formatCode>
                <c:ptCount val="5"/>
                <c:pt idx="0">
                  <c:v>6344386.38122366</c:v>
                </c:pt>
                <c:pt idx="1">
                  <c:v>13935660.5086761</c:v>
                </c:pt>
                <c:pt idx="2">
                  <c:v>54173400.9296542</c:v>
                </c:pt>
                <c:pt idx="3">
                  <c:v>102460676.595165</c:v>
                </c:pt>
                <c:pt idx="4">
                  <c:v>156992240.958111</c:v>
                </c:pt>
              </c:numCache>
            </c:numRef>
          </c:val>
        </c:ser>
        <c:gapWidth val="150"/>
        <c:overlap val="0"/>
        <c:axId val="87185535"/>
        <c:axId val="8396519"/>
      </c:barChart>
      <c:catAx>
        <c:axId val="87185535"/>
        <c:scaling>
          <c:orientation val="minMax"/>
        </c:scaling>
        <c:delete val="0"/>
        <c:axPos val="b"/>
        <c:numFmt formatCode="General" sourceLinked="0"/>
        <c:majorTickMark val="out"/>
        <c:minorTickMark val="none"/>
        <c:tickLblPos val="low"/>
        <c:spPr>
          <a:ln w="9360">
            <a:solidFill>
              <a:srgbClr val="878787"/>
            </a:solidFill>
            <a:round/>
          </a:ln>
        </c:spPr>
        <c:txPr>
          <a:bodyPr rot="-1800000"/>
          <a:lstStyle/>
          <a:p>
            <a:pPr>
              <a:defRPr b="0" sz="1000" strike="noStrike" u="none">
                <a:solidFill>
                  <a:srgbClr val="000000"/>
                </a:solidFill>
                <a:uFillTx/>
                <a:latin typeface="Calibri"/>
              </a:defRPr>
            </a:pPr>
          </a:p>
        </c:txPr>
        <c:crossAx val="8396519"/>
        <c:crosses val="autoZero"/>
        <c:auto val="1"/>
        <c:lblAlgn val="ctr"/>
        <c:lblOffset val="100"/>
        <c:noMultiLvlLbl val="0"/>
      </c:catAx>
      <c:valAx>
        <c:axId val="8396519"/>
        <c:scaling>
          <c:orientation val="minMax"/>
        </c:scaling>
        <c:delete val="0"/>
        <c:axPos val="l"/>
        <c:majorGridlines>
          <c:spPr>
            <a:ln w="9360">
              <a:solidFill>
                <a:srgbClr val="878787"/>
              </a:solidFill>
              <a:round/>
            </a:ln>
          </c:spPr>
        </c:majorGridlines>
        <c:numFmt formatCode="\$#,##0_);[RED]&quot;($&quot;#,##0\)" sourceLinked="0"/>
        <c:majorTickMark val="out"/>
        <c:minorTickMark val="none"/>
        <c:tickLblPos val="nextTo"/>
        <c:spPr>
          <a:ln w="9360">
            <a:solidFill>
              <a:srgbClr val="878787"/>
            </a:solidFill>
            <a:round/>
          </a:ln>
        </c:spPr>
        <c:txPr>
          <a:bodyPr/>
          <a:lstStyle/>
          <a:p>
            <a:pPr>
              <a:defRPr b="0" sz="1000" strike="noStrike" u="none">
                <a:solidFill>
                  <a:srgbClr val="000000"/>
                </a:solidFill>
                <a:uFillTx/>
                <a:latin typeface="Calibri"/>
              </a:defRPr>
            </a:pPr>
          </a:p>
        </c:txPr>
        <c:crossAx val="87185535"/>
        <c:crosses val="autoZero"/>
        <c:crossBetween val="between"/>
      </c:valAx>
      <c:spPr>
        <a:noFill/>
        <a:ln w="0">
          <a:noFill/>
        </a:ln>
      </c:spPr>
    </c:plotArea>
    <c:legend>
      <c:legendPos val="r"/>
      <c:layout>
        <c:manualLayout>
          <c:xMode val="edge"/>
          <c:yMode val="edge"/>
          <c:x val="0.8224"/>
          <c:y val="0.199376947040498"/>
          <c:w val="0.1712"/>
          <c:h val="0.626168224299065"/>
        </c:manualLayout>
      </c:layout>
      <c:overlay val="0"/>
      <c:spPr>
        <a:noFill/>
        <a:ln w="0">
          <a:noFill/>
        </a:ln>
      </c:spPr>
      <c:txPr>
        <a:bodyPr/>
        <a:lstStyle/>
        <a:p>
          <a:pPr>
            <a:defRPr b="0" sz="880" strike="noStrike" u="none">
              <a:solidFill>
                <a:srgbClr val="000000"/>
              </a:solidFill>
              <a:uFillTx/>
              <a:latin typeface="Calibri"/>
            </a:defRPr>
          </a:pPr>
        </a:p>
      </c:txPr>
    </c:legend>
    <c:plotVisOnly val="1"/>
    <c:dispBlanksAs val="gap"/>
  </c:chart>
  <c:spPr>
    <a:solidFill>
      <a:srgbClr val="ffffff"/>
    </a:solidFill>
    <a:ln w="9360">
      <a:noFill/>
    </a:ln>
  </c:spPr>
</c:chartSpace>
</file>

<file path=xl/charts/chart13.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en-US" sz="1800" strike="noStrike" u="none">
                <a:solidFill>
                  <a:srgbClr val="000000"/>
                </a:solidFill>
                <a:uFillTx/>
                <a:latin typeface="Calibri"/>
              </a:rPr>
              <a:t>Annual Revenue</a:t>
            </a:r>
          </a:p>
        </c:rich>
      </c:tx>
      <c:layout>
        <c:manualLayout>
          <c:xMode val="edge"/>
          <c:yMode val="edge"/>
          <c:x val="0.320134749935216"/>
          <c:y val="0.0032441200324412"/>
        </c:manualLayout>
      </c:layout>
      <c:overlay val="0"/>
      <c:spPr>
        <a:noFill/>
        <a:ln w="25560">
          <a:noFill/>
        </a:ln>
      </c:spPr>
    </c:title>
    <c:autoTitleDeleted val="0"/>
    <c:plotArea>
      <c:layout>
        <c:manualLayout>
          <c:layoutTarget val="inner"/>
          <c:xMode val="edge"/>
          <c:yMode val="edge"/>
          <c:x val="0.0889867841409692"/>
          <c:y val="0.147066774804001"/>
          <c:w val="0.719823788546256"/>
          <c:h val="0.587456069207894"/>
        </c:manualLayout>
      </c:layout>
      <c:barChart>
        <c:barDir val="col"/>
        <c:grouping val="stacked"/>
        <c:varyColors val="0"/>
        <c:ser>
          <c:idx val="0"/>
          <c:order val="0"/>
          <c:tx>
            <c:strRef>
              <c:f>'Graphs 5Y'!$A$96</c:f>
              <c:strCache>
                <c:ptCount val="1"/>
                <c:pt idx="0">
                  <c:v/>
                </c:pt>
              </c:strCache>
            </c:strRef>
          </c:tx>
          <c:spPr>
            <a:solidFill>
              <a:srgbClr val="8eb4e3"/>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0"/>
            <c:extLst>
              <c:ext xmlns:c15="http://schemas.microsoft.com/office/drawing/2012/chart" uri="{CE6537A1-D6FC-4f65-9D91-7224C49458BB}">
                <c15:showLeaderLines val="0"/>
              </c:ext>
            </c:extLst>
          </c:dLbls>
          <c:cat>
            <c:strRef>
              <c:f>'Graphs 5Y'!$B$95:$F$95</c:f>
              <c:strCache>
                <c:ptCount val="5"/>
                <c:pt idx="0">
                  <c:v>Year 1</c:v>
                </c:pt>
                <c:pt idx="1">
                  <c:v>Year 2</c:v>
                </c:pt>
                <c:pt idx="2">
                  <c:v>Year 3</c:v>
                </c:pt>
                <c:pt idx="3">
                  <c:v>Year 4</c:v>
                </c:pt>
                <c:pt idx="4">
                  <c:v>Year 5</c:v>
                </c:pt>
              </c:strCache>
            </c:strRef>
          </c:cat>
          <c:val>
            <c:numRef>
              <c:f>'Graphs 5Y'!$B$96:$F$96</c:f>
              <c:numCache>
                <c:formatCode>General</c:formatCode>
                <c:ptCount val="5"/>
              </c:numCache>
            </c:numRef>
          </c:val>
        </c:ser>
        <c:ser>
          <c:idx val="1"/>
          <c:order val="1"/>
          <c:tx>
            <c:strRef>
              <c:f>'Graphs 5Y'!$A$97</c:f>
              <c:strCache>
                <c:ptCount val="1"/>
                <c:pt idx="0">
                  <c:v/>
                </c:pt>
              </c:strCache>
            </c:strRef>
          </c:tx>
          <c:spPr>
            <a:solidFill>
              <a:srgbClr val="99cc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0"/>
            <c:extLst>
              <c:ext xmlns:c15="http://schemas.microsoft.com/office/drawing/2012/chart" uri="{CE6537A1-D6FC-4f65-9D91-7224C49458BB}">
                <c15:showLeaderLines val="0"/>
              </c:ext>
            </c:extLst>
          </c:dLbls>
          <c:cat>
            <c:strRef>
              <c:f>'Graphs 5Y'!$B$95:$F$95</c:f>
              <c:strCache>
                <c:ptCount val="5"/>
                <c:pt idx="0">
                  <c:v>Year 1</c:v>
                </c:pt>
                <c:pt idx="1">
                  <c:v>Year 2</c:v>
                </c:pt>
                <c:pt idx="2">
                  <c:v>Year 3</c:v>
                </c:pt>
                <c:pt idx="3">
                  <c:v>Year 4</c:v>
                </c:pt>
                <c:pt idx="4">
                  <c:v>Year 5</c:v>
                </c:pt>
              </c:strCache>
            </c:strRef>
          </c:cat>
          <c:val>
            <c:numRef>
              <c:f>'Graphs 5Y'!$B$97:$F$97</c:f>
              <c:numCache>
                <c:formatCode>General</c:formatCode>
                <c:ptCount val="5"/>
              </c:numCache>
            </c:numRef>
          </c:val>
        </c:ser>
        <c:ser>
          <c:idx val="2"/>
          <c:order val="2"/>
          <c:tx>
            <c:strRef>
              <c:f>'Graphs 5Y'!$A$98</c:f>
              <c:strCache>
                <c:ptCount val="1"/>
                <c:pt idx="0">
                  <c:v/>
                </c:pt>
              </c:strCache>
            </c:strRef>
          </c:tx>
          <c:spPr>
            <a:solidFill>
              <a:srgbClr val="ffff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0"/>
            <c:extLst>
              <c:ext xmlns:c15="http://schemas.microsoft.com/office/drawing/2012/chart" uri="{CE6537A1-D6FC-4f65-9D91-7224C49458BB}">
                <c15:showLeaderLines val="0"/>
              </c:ext>
            </c:extLst>
          </c:dLbls>
          <c:cat>
            <c:strRef>
              <c:f>'Graphs 5Y'!$B$95:$F$95</c:f>
              <c:strCache>
                <c:ptCount val="5"/>
                <c:pt idx="0">
                  <c:v>Year 1</c:v>
                </c:pt>
                <c:pt idx="1">
                  <c:v>Year 2</c:v>
                </c:pt>
                <c:pt idx="2">
                  <c:v>Year 3</c:v>
                </c:pt>
                <c:pt idx="3">
                  <c:v>Year 4</c:v>
                </c:pt>
                <c:pt idx="4">
                  <c:v>Year 5</c:v>
                </c:pt>
              </c:strCache>
            </c:strRef>
          </c:cat>
          <c:val>
            <c:numRef>
              <c:f>'Graphs 5Y'!$B$98:$F$98</c:f>
              <c:numCache>
                <c:formatCode>General</c:formatCode>
                <c:ptCount val="5"/>
              </c:numCache>
            </c:numRef>
          </c:val>
        </c:ser>
        <c:ser>
          <c:idx val="3"/>
          <c:order val="3"/>
          <c:tx>
            <c:strRef>
              <c:f>'Graphs 5Y'!$A$99</c:f>
              <c:strCache>
                <c:ptCount val="1"/>
                <c:pt idx="0">
                  <c:v/>
                </c:pt>
              </c:strCache>
            </c:strRef>
          </c:tx>
          <c:spPr>
            <a:solidFill>
              <a:srgbClr val="ffc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0"/>
            <c:extLst>
              <c:ext xmlns:c15="http://schemas.microsoft.com/office/drawing/2012/chart" uri="{CE6537A1-D6FC-4f65-9D91-7224C49458BB}">
                <c15:showLeaderLines val="0"/>
              </c:ext>
            </c:extLst>
          </c:dLbls>
          <c:cat>
            <c:strRef>
              <c:f>'Graphs 5Y'!$B$95:$F$95</c:f>
              <c:strCache>
                <c:ptCount val="5"/>
                <c:pt idx="0">
                  <c:v>Year 1</c:v>
                </c:pt>
                <c:pt idx="1">
                  <c:v>Year 2</c:v>
                </c:pt>
                <c:pt idx="2">
                  <c:v>Year 3</c:v>
                </c:pt>
                <c:pt idx="3">
                  <c:v>Year 4</c:v>
                </c:pt>
                <c:pt idx="4">
                  <c:v>Year 5</c:v>
                </c:pt>
              </c:strCache>
            </c:strRef>
          </c:cat>
          <c:val>
            <c:numRef>
              <c:f>'Graphs 5Y'!$B$99:$F$99</c:f>
              <c:numCache>
                <c:formatCode>General</c:formatCode>
                <c:ptCount val="5"/>
              </c:numCache>
            </c:numRef>
          </c:val>
        </c:ser>
        <c:ser>
          <c:idx val="4"/>
          <c:order val="4"/>
          <c:tx>
            <c:strRef>
              <c:f>'Graphs 5Y'!$A$100</c:f>
              <c:strCache>
                <c:ptCount val="1"/>
                <c:pt idx="0">
                  <c:v/>
                </c:pt>
              </c:strCache>
            </c:strRef>
          </c:tx>
          <c:spPr>
            <a:solidFill>
              <a:srgbClr val="953735"/>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0"/>
            <c:extLst>
              <c:ext xmlns:c15="http://schemas.microsoft.com/office/drawing/2012/chart" uri="{CE6537A1-D6FC-4f65-9D91-7224C49458BB}">
                <c15:showLeaderLines val="0"/>
              </c:ext>
            </c:extLst>
          </c:dLbls>
          <c:cat>
            <c:strRef>
              <c:f>'Graphs 5Y'!$B$95:$F$95</c:f>
              <c:strCache>
                <c:ptCount val="5"/>
                <c:pt idx="0">
                  <c:v>Year 1</c:v>
                </c:pt>
                <c:pt idx="1">
                  <c:v>Year 2</c:v>
                </c:pt>
                <c:pt idx="2">
                  <c:v>Year 3</c:v>
                </c:pt>
                <c:pt idx="3">
                  <c:v>Year 4</c:v>
                </c:pt>
                <c:pt idx="4">
                  <c:v>Year 5</c:v>
                </c:pt>
              </c:strCache>
            </c:strRef>
          </c:cat>
          <c:val>
            <c:numRef>
              <c:f>'Graphs 5Y'!$B$100:$F$100</c:f>
              <c:numCache>
                <c:formatCode>General</c:formatCode>
                <c:ptCount val="5"/>
              </c:numCache>
            </c:numRef>
          </c:val>
        </c:ser>
        <c:ser>
          <c:idx val="5"/>
          <c:order val="5"/>
          <c:tx>
            <c:strRef>
              <c:f>'Graphs 5Y'!$A$101</c:f>
              <c:strCache>
                <c:ptCount val="1"/>
                <c:pt idx="0">
                  <c:v/>
                </c:pt>
              </c:strCache>
            </c:strRef>
          </c:tx>
          <c:spPr>
            <a:solidFill>
              <a:srgbClr val="80808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0"/>
            <c:extLst>
              <c:ext xmlns:c15="http://schemas.microsoft.com/office/drawing/2012/chart" uri="{CE6537A1-D6FC-4f65-9D91-7224C49458BB}">
                <c15:showLeaderLines val="0"/>
              </c:ext>
            </c:extLst>
          </c:dLbls>
          <c:cat>
            <c:strRef>
              <c:f>'Graphs 5Y'!$B$95:$F$95</c:f>
              <c:strCache>
                <c:ptCount val="5"/>
                <c:pt idx="0">
                  <c:v>Year 1</c:v>
                </c:pt>
                <c:pt idx="1">
                  <c:v>Year 2</c:v>
                </c:pt>
                <c:pt idx="2">
                  <c:v>Year 3</c:v>
                </c:pt>
                <c:pt idx="3">
                  <c:v>Year 4</c:v>
                </c:pt>
                <c:pt idx="4">
                  <c:v>Year 5</c:v>
                </c:pt>
              </c:strCache>
            </c:strRef>
          </c:cat>
          <c:val>
            <c:numRef>
              <c:f>'Graphs 5Y'!$B$101:$F$101</c:f>
              <c:numCache>
                <c:formatCode>General</c:formatCode>
                <c:ptCount val="5"/>
              </c:numCache>
            </c:numRef>
          </c:val>
        </c:ser>
        <c:ser>
          <c:idx val="6"/>
          <c:order val="6"/>
          <c:tx>
            <c:strRef>
              <c:f>'Graphs 5Y'!$A$102</c:f>
              <c:strCache>
                <c:ptCount val="1"/>
                <c:pt idx="0">
                  <c:v/>
                </c:pt>
              </c:strCache>
            </c:strRef>
          </c:tx>
          <c:spPr>
            <a:solidFill>
              <a:srgbClr val="93a9ce"/>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0"/>
            <c:extLst>
              <c:ext xmlns:c15="http://schemas.microsoft.com/office/drawing/2012/chart" uri="{CE6537A1-D6FC-4f65-9D91-7224C49458BB}">
                <c15:showLeaderLines val="0"/>
              </c:ext>
            </c:extLst>
          </c:dLbls>
          <c:cat>
            <c:strRef>
              <c:f>'Graphs 5Y'!$B$95:$F$95</c:f>
              <c:strCache>
                <c:ptCount val="5"/>
                <c:pt idx="0">
                  <c:v>Year 1</c:v>
                </c:pt>
                <c:pt idx="1">
                  <c:v>Year 2</c:v>
                </c:pt>
                <c:pt idx="2">
                  <c:v>Year 3</c:v>
                </c:pt>
                <c:pt idx="3">
                  <c:v>Year 4</c:v>
                </c:pt>
                <c:pt idx="4">
                  <c:v>Year 5</c:v>
                </c:pt>
              </c:strCache>
            </c:strRef>
          </c:cat>
          <c:val>
            <c:numRef>
              <c:f>'Graphs 5Y'!$B$102:$F$102</c:f>
              <c:numCache>
                <c:formatCode>General</c:formatCode>
                <c:ptCount val="5"/>
              </c:numCache>
            </c:numRef>
          </c:val>
        </c:ser>
        <c:ser>
          <c:idx val="7"/>
          <c:order val="7"/>
          <c:tx>
            <c:strRef>
              <c:f>'Graphs 5Y'!$A$103</c:f>
              <c:strCache>
                <c:ptCount val="1"/>
                <c:pt idx="0">
                  <c:v/>
                </c:pt>
              </c:strCache>
            </c:strRef>
          </c:tx>
          <c:spPr>
            <a:solidFill>
              <a:srgbClr val="d09493"/>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0"/>
            <c:extLst>
              <c:ext xmlns:c15="http://schemas.microsoft.com/office/drawing/2012/chart" uri="{CE6537A1-D6FC-4f65-9D91-7224C49458BB}">
                <c15:showLeaderLines val="0"/>
              </c:ext>
            </c:extLst>
          </c:dLbls>
          <c:cat>
            <c:strRef>
              <c:f>'Graphs 5Y'!$B$95:$F$95</c:f>
              <c:strCache>
                <c:ptCount val="5"/>
                <c:pt idx="0">
                  <c:v>Year 1</c:v>
                </c:pt>
                <c:pt idx="1">
                  <c:v>Year 2</c:v>
                </c:pt>
                <c:pt idx="2">
                  <c:v>Year 3</c:v>
                </c:pt>
                <c:pt idx="3">
                  <c:v>Year 4</c:v>
                </c:pt>
                <c:pt idx="4">
                  <c:v>Year 5</c:v>
                </c:pt>
              </c:strCache>
            </c:strRef>
          </c:cat>
          <c:val>
            <c:numRef>
              <c:f>'Graphs 5Y'!$B$103:$F$103</c:f>
              <c:numCache>
                <c:formatCode>General</c:formatCode>
                <c:ptCount val="5"/>
              </c:numCache>
            </c:numRef>
          </c:val>
        </c:ser>
        <c:ser>
          <c:idx val="8"/>
          <c:order val="8"/>
          <c:tx>
            <c:strRef>
              <c:f>'Graphs 5Y'!$A$104</c:f>
              <c:strCache>
                <c:ptCount val="1"/>
                <c:pt idx="0">
                  <c:v/>
                </c:pt>
              </c:strCache>
            </c:strRef>
          </c:tx>
          <c:spPr>
            <a:solidFill>
              <a:srgbClr val="b8cd97"/>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0"/>
            <c:extLst>
              <c:ext xmlns:c15="http://schemas.microsoft.com/office/drawing/2012/chart" uri="{CE6537A1-D6FC-4f65-9D91-7224C49458BB}">
                <c15:showLeaderLines val="0"/>
              </c:ext>
            </c:extLst>
          </c:dLbls>
          <c:cat>
            <c:strRef>
              <c:f>'Graphs 5Y'!$B$95:$F$95</c:f>
              <c:strCache>
                <c:ptCount val="5"/>
                <c:pt idx="0">
                  <c:v>Year 1</c:v>
                </c:pt>
                <c:pt idx="1">
                  <c:v>Year 2</c:v>
                </c:pt>
                <c:pt idx="2">
                  <c:v>Year 3</c:v>
                </c:pt>
                <c:pt idx="3">
                  <c:v>Year 4</c:v>
                </c:pt>
                <c:pt idx="4">
                  <c:v>Year 5</c:v>
                </c:pt>
              </c:strCache>
            </c:strRef>
          </c:cat>
          <c:val>
            <c:numRef>
              <c:f>'Graphs 5Y'!$B$104:$F$104</c:f>
              <c:numCache>
                <c:formatCode>General</c:formatCode>
                <c:ptCount val="5"/>
              </c:numCache>
            </c:numRef>
          </c:val>
        </c:ser>
        <c:ser>
          <c:idx val="9"/>
          <c:order val="9"/>
          <c:tx>
            <c:strRef>
              <c:f>'Graphs 5Y'!$A$105</c:f>
              <c:strCache>
                <c:ptCount val="1"/>
                <c:pt idx="0">
                  <c:v/>
                </c:pt>
              </c:strCache>
            </c:strRef>
          </c:tx>
          <c:spPr>
            <a:solidFill>
              <a:srgbClr val="a99bbd"/>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0"/>
            <c:extLst>
              <c:ext xmlns:c15="http://schemas.microsoft.com/office/drawing/2012/chart" uri="{CE6537A1-D6FC-4f65-9D91-7224C49458BB}">
                <c15:showLeaderLines val="0"/>
              </c:ext>
            </c:extLst>
          </c:dLbls>
          <c:cat>
            <c:strRef>
              <c:f>'Graphs 5Y'!$B$95:$F$95</c:f>
              <c:strCache>
                <c:ptCount val="5"/>
                <c:pt idx="0">
                  <c:v>Year 1</c:v>
                </c:pt>
                <c:pt idx="1">
                  <c:v>Year 2</c:v>
                </c:pt>
                <c:pt idx="2">
                  <c:v>Year 3</c:v>
                </c:pt>
                <c:pt idx="3">
                  <c:v>Year 4</c:v>
                </c:pt>
                <c:pt idx="4">
                  <c:v>Year 5</c:v>
                </c:pt>
              </c:strCache>
            </c:strRef>
          </c:cat>
          <c:val>
            <c:numRef>
              <c:f>'Graphs 5Y'!$B$105:$F$105</c:f>
              <c:numCache>
                <c:formatCode>General</c:formatCode>
                <c:ptCount val="5"/>
              </c:numCache>
            </c:numRef>
          </c:val>
        </c:ser>
        <c:gapWidth val="95"/>
        <c:overlap val="100"/>
        <c:axId val="53965973"/>
        <c:axId val="27786033"/>
      </c:barChart>
      <c:catAx>
        <c:axId val="53965973"/>
        <c:scaling>
          <c:orientation val="minMax"/>
        </c:scaling>
        <c:delete val="0"/>
        <c:axPos val="b"/>
        <c:numFmt formatCode="General" sourceLinked="0"/>
        <c:majorTickMark val="out"/>
        <c:minorTickMark val="none"/>
        <c:tickLblPos val="low"/>
        <c:spPr>
          <a:ln w="9360">
            <a:solidFill>
              <a:srgbClr val="878787"/>
            </a:solidFill>
            <a:round/>
          </a:ln>
        </c:spPr>
        <c:txPr>
          <a:bodyPr rot="-1800000"/>
          <a:lstStyle/>
          <a:p>
            <a:pPr>
              <a:defRPr b="0" sz="1000" strike="noStrike" u="none">
                <a:solidFill>
                  <a:srgbClr val="000000"/>
                </a:solidFill>
                <a:uFillTx/>
                <a:latin typeface="Calibri"/>
              </a:defRPr>
            </a:pPr>
          </a:p>
        </c:txPr>
        <c:crossAx val="27786033"/>
        <c:crosses val="autoZero"/>
        <c:auto val="1"/>
        <c:lblAlgn val="ctr"/>
        <c:lblOffset val="100"/>
        <c:noMultiLvlLbl val="0"/>
      </c:catAx>
      <c:valAx>
        <c:axId val="27786033"/>
        <c:scaling>
          <c:orientation val="minMax"/>
        </c:scaling>
        <c:delete val="0"/>
        <c:axPos val="l"/>
        <c:majorGridlines>
          <c:spPr>
            <a:ln w="9360">
              <a:solidFill>
                <a:srgbClr val="878787"/>
              </a:solidFill>
              <a:round/>
            </a:ln>
          </c:spPr>
        </c:majorGridlines>
        <c:numFmt formatCode="\$#,##0_);[RED]&quot;($&quot;#,##0\)" sourceLinked="0"/>
        <c:majorTickMark val="out"/>
        <c:minorTickMark val="none"/>
        <c:tickLblPos val="nextTo"/>
        <c:spPr>
          <a:ln w="9360">
            <a:solidFill>
              <a:srgbClr val="878787"/>
            </a:solidFill>
            <a:round/>
          </a:ln>
        </c:spPr>
        <c:txPr>
          <a:bodyPr/>
          <a:lstStyle/>
          <a:p>
            <a:pPr>
              <a:defRPr b="0" sz="1000" strike="noStrike" u="none">
                <a:solidFill>
                  <a:srgbClr val="000000"/>
                </a:solidFill>
                <a:uFillTx/>
                <a:latin typeface="Calibri"/>
              </a:defRPr>
            </a:pPr>
          </a:p>
        </c:txPr>
        <c:crossAx val="53965973"/>
        <c:crosses val="autoZero"/>
        <c:crossBetween val="between"/>
      </c:valAx>
      <c:spPr>
        <a:noFill/>
        <a:ln w="0">
          <a:noFill/>
        </a:ln>
      </c:spPr>
    </c:plotArea>
    <c:legend>
      <c:legendPos val="r"/>
      <c:layout>
        <c:manualLayout>
          <c:xMode val="edge"/>
          <c:yMode val="edge"/>
          <c:x val="0.828446340930814"/>
          <c:y val="0.116719242902208"/>
          <c:w val="0.159824161347715"/>
          <c:h val="0.788643533123028"/>
        </c:manualLayout>
      </c:layout>
      <c:overlay val="0"/>
      <c:spPr>
        <a:noFill/>
        <a:ln w="0">
          <a:noFill/>
        </a:ln>
      </c:spPr>
      <c:txPr>
        <a:bodyPr/>
        <a:lstStyle/>
        <a:p>
          <a:pPr>
            <a:defRPr b="0" sz="880" strike="noStrike" u="none">
              <a:solidFill>
                <a:srgbClr val="000000"/>
              </a:solidFill>
              <a:uFillTx/>
              <a:latin typeface="Calibri"/>
            </a:defRPr>
          </a:pPr>
        </a:p>
      </c:txPr>
    </c:legend>
    <c:plotVisOnly val="1"/>
    <c:dispBlanksAs val="gap"/>
  </c:chart>
  <c:spPr>
    <a:solidFill>
      <a:srgbClr val="ffffff"/>
    </a:solidFill>
    <a:ln w="9360">
      <a:noFill/>
    </a:ln>
  </c:spPr>
</c:chartSpace>
</file>

<file path=xl/charts/chart14.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en-US" sz="1800" strike="noStrike" u="none">
                <a:solidFill>
                  <a:srgbClr val="000000"/>
                </a:solidFill>
                <a:uFillTx/>
                <a:latin typeface="Calibri"/>
              </a:rPr>
              <a:t>Revenue &amp; Expenses Year 1 Monthly</a:t>
            </a:r>
          </a:p>
        </c:rich>
      </c:tx>
      <c:overlay val="0"/>
      <c:spPr>
        <a:noFill/>
        <a:ln w="25560">
          <a:noFill/>
        </a:ln>
      </c:spPr>
    </c:title>
    <c:autoTitleDeleted val="0"/>
    <c:plotArea>
      <c:layout>
        <c:manualLayout>
          <c:layoutTarget val="inner"/>
          <c:xMode val="edge"/>
          <c:yMode val="edge"/>
          <c:x val="0.0550145311783001"/>
          <c:y val="0.216708131465235"/>
          <c:w val="0.758782440218223"/>
          <c:h val="0.519706691109074"/>
        </c:manualLayout>
      </c:layout>
      <c:lineChart>
        <c:grouping val="standard"/>
        <c:varyColors val="0"/>
        <c:ser>
          <c:idx val="0"/>
          <c:order val="0"/>
          <c:tx>
            <c:strRef>
              <c:f>'Graphs 5Y'!$A$130</c:f>
              <c:strCache>
                <c:ptCount val="1"/>
                <c:pt idx="0">
                  <c:v>Revenue</c:v>
                </c:pt>
              </c:strCache>
            </c:strRef>
          </c:tx>
          <c:spPr>
            <a:solidFill>
              <a:srgbClr val="99ccff"/>
            </a:solidFill>
            <a:ln w="38160">
              <a:solidFill>
                <a:srgbClr val="99ccff"/>
              </a:solidFill>
              <a:round/>
            </a:ln>
          </c:spPr>
          <c:marker>
            <c:symbol val="none"/>
          </c:marker>
          <c:dLbls>
            <c:txPr>
              <a:bodyPr wrap="square"/>
              <a:lstStyle/>
              <a:p>
                <a:pPr>
                  <a:defRPr b="0" sz="1000" strike="noStrike" u="none">
                    <a:solidFill>
                      <a:srgbClr val="000000"/>
                    </a:solidFill>
                    <a:uFillTx/>
                    <a:latin typeface="Calibri"/>
                  </a:defRPr>
                </a:pPr>
              </a:p>
            </c:txPr>
            <c:dLblPos val="r"/>
            <c:showLegendKey val="0"/>
            <c:showVal val="0"/>
            <c:showCatName val="0"/>
            <c:showSerName val="0"/>
            <c:showPercent val="0"/>
            <c:separator>; </c:separator>
            <c:showLeaderLines val="0"/>
            <c:leaderLines>
              <c:spPr>
                <a:ln w="38160">
                  <a:solidFill>
                    <a:srgbClr val="000000"/>
                  </a:solidFill>
                </a:ln>
              </c:spPr>
            </c:leaderLines>
            <c:extLst>
              <c:ext xmlns:c15="http://schemas.microsoft.com/office/drawing/2012/chart" uri="{CE6537A1-D6FC-4f65-9D91-7224C49458BB}">
                <c15:showLeaderLines val="0"/>
              </c:ext>
            </c:extLst>
          </c:dLbls>
          <c:cat>
            <c:strRef>
              <c:f>'Graphs 5Y'!$B$129:$M$129</c:f>
              <c:strCache>
                <c:ptCount val="12"/>
                <c:pt idx="0">
                  <c:v>Month 1</c:v>
                </c:pt>
                <c:pt idx="1">
                  <c:v>Month 2</c:v>
                </c:pt>
                <c:pt idx="2">
                  <c:v>Month 3</c:v>
                </c:pt>
                <c:pt idx="3">
                  <c:v>Month 4</c:v>
                </c:pt>
                <c:pt idx="4">
                  <c:v>Month 5</c:v>
                </c:pt>
                <c:pt idx="5">
                  <c:v>Month 6</c:v>
                </c:pt>
                <c:pt idx="6">
                  <c:v>Month 7</c:v>
                </c:pt>
                <c:pt idx="7">
                  <c:v>Month 8</c:v>
                </c:pt>
                <c:pt idx="8">
                  <c:v>Month 9</c:v>
                </c:pt>
                <c:pt idx="9">
                  <c:v>Month 10</c:v>
                </c:pt>
                <c:pt idx="10">
                  <c:v>Month 11</c:v>
                </c:pt>
                <c:pt idx="11">
                  <c:v>Month 12</c:v>
                </c:pt>
              </c:strCache>
            </c:strRef>
          </c:cat>
          <c:val>
            <c:numRef>
              <c:f>'Graphs 5Y'!$B$130:$M$130</c:f>
              <c:numCache>
                <c:formatCode>\$#,##0_);[RED]"($"#,##0\)</c:formatCode>
                <c:ptCount val="12"/>
                <c:pt idx="0">
                  <c:v>0</c:v>
                </c:pt>
                <c:pt idx="1">
                  <c:v>0</c:v>
                </c:pt>
                <c:pt idx="2">
                  <c:v>917.14</c:v>
                </c:pt>
                <c:pt idx="3">
                  <c:v>134197.060869048</c:v>
                </c:pt>
                <c:pt idx="4">
                  <c:v>268394.121738095</c:v>
                </c:pt>
                <c:pt idx="5">
                  <c:v>536788.243476191</c:v>
                </c:pt>
                <c:pt idx="6">
                  <c:v>805182.365214286</c:v>
                </c:pt>
                <c:pt idx="7">
                  <c:v>1073576.48695238</c:v>
                </c:pt>
                <c:pt idx="8">
                  <c:v>1341970.60869048</c:v>
                </c:pt>
                <c:pt idx="9">
                  <c:v>1610364.73042857</c:v>
                </c:pt>
                <c:pt idx="10">
                  <c:v>1878758.85216667</c:v>
                </c:pt>
                <c:pt idx="11">
                  <c:v>2147152.97390476</c:v>
                </c:pt>
              </c:numCache>
            </c:numRef>
          </c:val>
          <c:smooth val="0"/>
        </c:ser>
        <c:ser>
          <c:idx val="1"/>
          <c:order val="1"/>
          <c:tx>
            <c:strRef>
              <c:f>'Graphs 5Y'!$A$131</c:f>
              <c:strCache>
                <c:ptCount val="1"/>
                <c:pt idx="0">
                  <c:v>Expenses</c:v>
                </c:pt>
              </c:strCache>
            </c:strRef>
          </c:tx>
          <c:spPr>
            <a:solidFill>
              <a:srgbClr val="99cc00"/>
            </a:solidFill>
            <a:ln w="38160">
              <a:solidFill>
                <a:srgbClr val="99cc00"/>
              </a:solidFill>
              <a:round/>
            </a:ln>
          </c:spPr>
          <c:marker>
            <c:symbol val="none"/>
          </c:marker>
          <c:dLbls>
            <c:txPr>
              <a:bodyPr wrap="square"/>
              <a:lstStyle/>
              <a:p>
                <a:pPr>
                  <a:defRPr b="0" sz="1000" strike="noStrike" u="none">
                    <a:solidFill>
                      <a:srgbClr val="000000"/>
                    </a:solidFill>
                    <a:uFillTx/>
                    <a:latin typeface="Calibri"/>
                  </a:defRPr>
                </a:pPr>
              </a:p>
            </c:txPr>
            <c:dLblPos val="r"/>
            <c:showLegendKey val="0"/>
            <c:showVal val="0"/>
            <c:showCatName val="0"/>
            <c:showSerName val="0"/>
            <c:showPercent val="0"/>
            <c:separator>; </c:separator>
            <c:showLeaderLines val="0"/>
            <c:leaderLines>
              <c:spPr>
                <a:ln w="38160">
                  <a:solidFill>
                    <a:srgbClr val="000000"/>
                  </a:solidFill>
                </a:ln>
              </c:spPr>
            </c:leaderLines>
            <c:extLst>
              <c:ext xmlns:c15="http://schemas.microsoft.com/office/drawing/2012/chart" uri="{CE6537A1-D6FC-4f65-9D91-7224C49458BB}">
                <c15:showLeaderLines val="0"/>
              </c:ext>
            </c:extLst>
          </c:dLbls>
          <c:cat>
            <c:strRef>
              <c:f>'Graphs 5Y'!$B$129:$M$129</c:f>
              <c:strCache>
                <c:ptCount val="12"/>
                <c:pt idx="0">
                  <c:v>Month 1</c:v>
                </c:pt>
                <c:pt idx="1">
                  <c:v>Month 2</c:v>
                </c:pt>
                <c:pt idx="2">
                  <c:v>Month 3</c:v>
                </c:pt>
                <c:pt idx="3">
                  <c:v>Month 4</c:v>
                </c:pt>
                <c:pt idx="4">
                  <c:v>Month 5</c:v>
                </c:pt>
                <c:pt idx="5">
                  <c:v>Month 6</c:v>
                </c:pt>
                <c:pt idx="6">
                  <c:v>Month 7</c:v>
                </c:pt>
                <c:pt idx="7">
                  <c:v>Month 8</c:v>
                </c:pt>
                <c:pt idx="8">
                  <c:v>Month 9</c:v>
                </c:pt>
                <c:pt idx="9">
                  <c:v>Month 10</c:v>
                </c:pt>
                <c:pt idx="10">
                  <c:v>Month 11</c:v>
                </c:pt>
                <c:pt idx="11">
                  <c:v>Month 12</c:v>
                </c:pt>
              </c:strCache>
            </c:strRef>
          </c:cat>
          <c:val>
            <c:numRef>
              <c:f>'Graphs 5Y'!$B$131:$M$131</c:f>
              <c:numCache>
                <c:formatCode>\$#,##0_);[RED]"($"#,##0\)</c:formatCode>
                <c:ptCount val="12"/>
                <c:pt idx="0">
                  <c:v>395805.9718</c:v>
                </c:pt>
                <c:pt idx="1">
                  <c:v>412861.9718</c:v>
                </c:pt>
                <c:pt idx="2">
                  <c:v>422177.669631429</c:v>
                </c:pt>
                <c:pt idx="3">
                  <c:v>518202.139226859</c:v>
                </c:pt>
                <c:pt idx="4">
                  <c:v>615014.306653719</c:v>
                </c:pt>
                <c:pt idx="5">
                  <c:v>829958.641507438</c:v>
                </c:pt>
                <c:pt idx="6">
                  <c:v>1091896.07636116</c:v>
                </c:pt>
                <c:pt idx="7">
                  <c:v>1324491.72567004</c:v>
                </c:pt>
                <c:pt idx="8">
                  <c:v>1532187.56854109</c:v>
                </c:pt>
                <c:pt idx="9">
                  <c:v>1740868.25603083</c:v>
                </c:pt>
                <c:pt idx="10">
                  <c:v>1946228.77649074</c:v>
                </c:pt>
                <c:pt idx="11">
                  <c:v>2154737.03000342</c:v>
                </c:pt>
              </c:numCache>
            </c:numRef>
          </c:val>
          <c:smooth val="0"/>
        </c:ser>
        <c:hiLowLines>
          <c:spPr>
            <a:ln w="0">
              <a:noFill/>
            </a:ln>
          </c:spPr>
        </c:hiLowLines>
        <c:marker val="0"/>
        <c:axId val="45418616"/>
        <c:axId val="84510046"/>
      </c:lineChart>
      <c:catAx>
        <c:axId val="45418616"/>
        <c:scaling>
          <c:orientation val="minMax"/>
        </c:scaling>
        <c:delete val="0"/>
        <c:axPos val="b"/>
        <c:numFmt formatCode="General" sourceLinked="0"/>
        <c:majorTickMark val="out"/>
        <c:minorTickMark val="none"/>
        <c:tickLblPos val="low"/>
        <c:spPr>
          <a:ln w="3240">
            <a:solidFill>
              <a:srgbClr val="969696"/>
            </a:solidFill>
            <a:round/>
          </a:ln>
        </c:spPr>
        <c:txPr>
          <a:bodyPr rot="-1800000"/>
          <a:lstStyle/>
          <a:p>
            <a:pPr>
              <a:defRPr b="0" sz="1000" strike="noStrike" u="none">
                <a:solidFill>
                  <a:srgbClr val="000000"/>
                </a:solidFill>
                <a:uFillTx/>
                <a:latin typeface="Calibri"/>
              </a:defRPr>
            </a:pPr>
          </a:p>
        </c:txPr>
        <c:crossAx val="84510046"/>
        <c:crosses val="autoZero"/>
        <c:auto val="1"/>
        <c:lblAlgn val="ctr"/>
        <c:lblOffset val="100"/>
        <c:noMultiLvlLbl val="0"/>
      </c:catAx>
      <c:valAx>
        <c:axId val="84510046"/>
        <c:scaling>
          <c:orientation val="minMax"/>
        </c:scaling>
        <c:delete val="0"/>
        <c:axPos val="l"/>
        <c:majorGridlines>
          <c:spPr>
            <a:ln w="3240">
              <a:solidFill>
                <a:srgbClr val="969696"/>
              </a:solidFill>
              <a:round/>
            </a:ln>
          </c:spPr>
        </c:majorGridlines>
        <c:numFmt formatCode="\$#,##0_);[RED]&quot;($&quot;#,##0\)" sourceLinked="0"/>
        <c:majorTickMark val="out"/>
        <c:minorTickMark val="none"/>
        <c:tickLblPos val="nextTo"/>
        <c:spPr>
          <a:ln w="3240">
            <a:solidFill>
              <a:srgbClr val="969696"/>
            </a:solidFill>
            <a:round/>
          </a:ln>
        </c:spPr>
        <c:txPr>
          <a:bodyPr/>
          <a:lstStyle/>
          <a:p>
            <a:pPr>
              <a:defRPr b="0" sz="1000" strike="noStrike" u="none">
                <a:solidFill>
                  <a:srgbClr val="000000"/>
                </a:solidFill>
                <a:uFillTx/>
                <a:latin typeface="Calibri"/>
              </a:defRPr>
            </a:pPr>
          </a:p>
        </c:txPr>
        <c:crossAx val="45418616"/>
        <c:crosses val="autoZero"/>
        <c:crossBetween val="between"/>
      </c:valAx>
      <c:spPr>
        <a:noFill/>
        <a:ln w="0">
          <a:noFill/>
        </a:ln>
      </c:spPr>
    </c:plotArea>
    <c:legend>
      <c:legendPos val="r"/>
      <c:layout>
        <c:manualLayout>
          <c:xMode val="edge"/>
          <c:yMode val="edge"/>
          <c:x val="0.868876080691643"/>
          <c:y val="0.18960244648318"/>
          <c:w val="0.12536023054755"/>
          <c:h val="0.553516819571866"/>
        </c:manualLayout>
      </c:layout>
      <c:overlay val="0"/>
      <c:spPr>
        <a:solidFill>
          <a:srgbClr val="ffffff"/>
        </a:solidFill>
        <a:ln w="25560">
          <a:noFill/>
        </a:ln>
      </c:spPr>
      <c:txPr>
        <a:bodyPr/>
        <a:lstStyle/>
        <a:p>
          <a:pPr>
            <a:defRPr b="0" sz="1000" strike="noStrike" u="none">
              <a:solidFill>
                <a:srgbClr val="000000"/>
              </a:solidFill>
              <a:uFillTx/>
              <a:latin typeface="Calibri"/>
            </a:defRPr>
          </a:pPr>
        </a:p>
      </c:txPr>
    </c:legend>
    <c:plotVisOnly val="1"/>
    <c:dispBlanksAs val="zero"/>
  </c:chart>
  <c:spPr>
    <a:solidFill>
      <a:srgbClr val="ffffff"/>
    </a:solidFill>
    <a:ln w="9360">
      <a:noFill/>
    </a:ln>
  </c:spPr>
</c:chartSpace>
</file>

<file path=xl/charts/chart15.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en-US" sz="1800" strike="noStrike" u="none">
                <a:solidFill>
                  <a:srgbClr val="000000"/>
                </a:solidFill>
                <a:uFillTx/>
                <a:latin typeface="Calibri"/>
              </a:rPr>
              <a:t>Revenue &amp; Expenses Years 1 to 5</a:t>
            </a:r>
          </a:p>
        </c:rich>
      </c:tx>
      <c:overlay val="0"/>
      <c:spPr>
        <a:noFill/>
        <a:ln w="25560">
          <a:noFill/>
        </a:ln>
      </c:spPr>
    </c:title>
    <c:autoTitleDeleted val="0"/>
    <c:plotArea>
      <c:layout>
        <c:manualLayout>
          <c:layoutTarget val="inner"/>
          <c:xMode val="edge"/>
          <c:yMode val="edge"/>
          <c:x val="0.107795712612658"/>
          <c:y val="0.216001044113808"/>
          <c:w val="0.759152706349611"/>
          <c:h val="0.616940746541373"/>
        </c:manualLayout>
      </c:layout>
      <c:lineChart>
        <c:grouping val="standard"/>
        <c:varyColors val="0"/>
        <c:ser>
          <c:idx val="0"/>
          <c:order val="0"/>
          <c:tx>
            <c:strRef>
              <c:f>'Graphs 5Y'!$A$130</c:f>
              <c:strCache>
                <c:ptCount val="1"/>
                <c:pt idx="0">
                  <c:v>Revenue</c:v>
                </c:pt>
              </c:strCache>
            </c:strRef>
          </c:tx>
          <c:spPr>
            <a:solidFill>
              <a:srgbClr val="99ccff"/>
            </a:solidFill>
            <a:ln w="38160">
              <a:solidFill>
                <a:srgbClr val="99ccff"/>
              </a:solidFill>
              <a:round/>
            </a:ln>
          </c:spPr>
          <c:marker>
            <c:symbol val="none"/>
          </c:marker>
          <c:dLbls>
            <c:txPr>
              <a:bodyPr wrap="square"/>
              <a:lstStyle/>
              <a:p>
                <a:pPr>
                  <a:defRPr b="0" sz="1000" strike="noStrike" u="none">
                    <a:solidFill>
                      <a:srgbClr val="000000"/>
                    </a:solidFill>
                    <a:uFillTx/>
                    <a:latin typeface="Calibri"/>
                  </a:defRPr>
                </a:pPr>
              </a:p>
            </c:txPr>
            <c:dLblPos val="r"/>
            <c:showLegendKey val="0"/>
            <c:showVal val="0"/>
            <c:showCatName val="0"/>
            <c:showSerName val="0"/>
            <c:showPercent val="0"/>
            <c:separator>; </c:separator>
            <c:showLeaderLines val="0"/>
            <c:leaderLines>
              <c:spPr>
                <a:ln w="38160">
                  <a:solidFill>
                    <a:srgbClr val="000000"/>
                  </a:solidFill>
                </a:ln>
              </c:spPr>
            </c:leaderLines>
            <c:extLst>
              <c:ext xmlns:c15="http://schemas.microsoft.com/office/drawing/2012/chart" uri="{CE6537A1-D6FC-4f65-9D91-7224C49458BB}">
                <c15:showLeaderLines val="0"/>
              </c:ext>
            </c:extLst>
          </c:dLbls>
          <c:cat>
            <c:strRef>
              <c:f>'Graphs 5Y'!$N$129:$R$129</c:f>
              <c:strCache>
                <c:ptCount val="5"/>
                <c:pt idx="0">
                  <c:v>Year 1</c:v>
                </c:pt>
                <c:pt idx="1">
                  <c:v>Year 2</c:v>
                </c:pt>
                <c:pt idx="2">
                  <c:v>Year 3</c:v>
                </c:pt>
                <c:pt idx="3">
                  <c:v>Year 4</c:v>
                </c:pt>
                <c:pt idx="4">
                  <c:v>Year 5</c:v>
                </c:pt>
              </c:strCache>
            </c:strRef>
          </c:cat>
          <c:val>
            <c:numRef>
              <c:f>'Graphs 5Y'!$N$130:$R$130</c:f>
              <c:numCache>
                <c:formatCode>\$#,##0_);[RED]"($"#,##0\)</c:formatCode>
                <c:ptCount val="5"/>
                <c:pt idx="0">
                  <c:v>9796385.44344048</c:v>
                </c:pt>
                <c:pt idx="1">
                  <c:v>63473726.2030143</c:v>
                </c:pt>
                <c:pt idx="2">
                  <c:v>167140846.428</c:v>
                </c:pt>
                <c:pt idx="3">
                  <c:v>181069250.297</c:v>
                </c:pt>
                <c:pt idx="4">
                  <c:v>194997654.166</c:v>
                </c:pt>
              </c:numCache>
            </c:numRef>
          </c:val>
          <c:smooth val="0"/>
        </c:ser>
        <c:ser>
          <c:idx val="1"/>
          <c:order val="1"/>
          <c:tx>
            <c:strRef>
              <c:f>'Graphs 5Y'!$A$131</c:f>
              <c:strCache>
                <c:ptCount val="1"/>
                <c:pt idx="0">
                  <c:v>Expenses</c:v>
                </c:pt>
              </c:strCache>
            </c:strRef>
          </c:tx>
          <c:spPr>
            <a:solidFill>
              <a:srgbClr val="99cc00"/>
            </a:solidFill>
            <a:ln w="38160">
              <a:solidFill>
                <a:srgbClr val="99cc00"/>
              </a:solidFill>
              <a:round/>
            </a:ln>
          </c:spPr>
          <c:marker>
            <c:symbol val="none"/>
          </c:marker>
          <c:dLbls>
            <c:txPr>
              <a:bodyPr wrap="square"/>
              <a:lstStyle/>
              <a:p>
                <a:pPr>
                  <a:defRPr b="0" sz="1000" strike="noStrike" u="none">
                    <a:solidFill>
                      <a:srgbClr val="000000"/>
                    </a:solidFill>
                    <a:uFillTx/>
                    <a:latin typeface="Calibri"/>
                  </a:defRPr>
                </a:pPr>
              </a:p>
            </c:txPr>
            <c:dLblPos val="r"/>
            <c:showLegendKey val="0"/>
            <c:showVal val="0"/>
            <c:showCatName val="0"/>
            <c:showSerName val="0"/>
            <c:showPercent val="0"/>
            <c:separator>; </c:separator>
            <c:showLeaderLines val="0"/>
            <c:leaderLines>
              <c:spPr>
                <a:ln w="38160">
                  <a:solidFill>
                    <a:srgbClr val="000000"/>
                  </a:solidFill>
                </a:ln>
              </c:spPr>
            </c:leaderLines>
            <c:extLst>
              <c:ext xmlns:c15="http://schemas.microsoft.com/office/drawing/2012/chart" uri="{CE6537A1-D6FC-4f65-9D91-7224C49458BB}">
                <c15:showLeaderLines val="0"/>
              </c:ext>
            </c:extLst>
          </c:dLbls>
          <c:cat>
            <c:strRef>
              <c:f>'Graphs 5Y'!$N$129:$R$129</c:f>
              <c:strCache>
                <c:ptCount val="5"/>
                <c:pt idx="0">
                  <c:v>Year 1</c:v>
                </c:pt>
                <c:pt idx="1">
                  <c:v>Year 2</c:v>
                </c:pt>
                <c:pt idx="2">
                  <c:v>Year 3</c:v>
                </c:pt>
                <c:pt idx="3">
                  <c:v>Year 4</c:v>
                </c:pt>
                <c:pt idx="4">
                  <c:v>Year 5</c:v>
                </c:pt>
              </c:strCache>
            </c:strRef>
          </c:cat>
          <c:val>
            <c:numRef>
              <c:f>'Graphs 5Y'!$N$131:$R$131</c:f>
              <c:numCache>
                <c:formatCode>\$#,##0_);[RED]"($"#,##0\)</c:formatCode>
                <c:ptCount val="5"/>
                <c:pt idx="0">
                  <c:v>12983734.1498853</c:v>
                </c:pt>
                <c:pt idx="1">
                  <c:v>52730474.6261889</c:v>
                </c:pt>
                <c:pt idx="2">
                  <c:v>122699238.746533</c:v>
                </c:pt>
                <c:pt idx="3">
                  <c:v>130233073.083931</c:v>
                </c:pt>
                <c:pt idx="4">
                  <c:v>137794676.679764</c:v>
                </c:pt>
              </c:numCache>
            </c:numRef>
          </c:val>
          <c:smooth val="0"/>
        </c:ser>
        <c:hiLowLines>
          <c:spPr>
            <a:ln w="0">
              <a:noFill/>
            </a:ln>
          </c:spPr>
        </c:hiLowLines>
        <c:marker val="0"/>
        <c:axId val="51424047"/>
        <c:axId val="49484438"/>
      </c:lineChart>
      <c:catAx>
        <c:axId val="51424047"/>
        <c:scaling>
          <c:orientation val="minMax"/>
        </c:scaling>
        <c:delete val="0"/>
        <c:axPos val="b"/>
        <c:numFmt formatCode="General" sourceLinked="0"/>
        <c:majorTickMark val="out"/>
        <c:minorTickMark val="none"/>
        <c:tickLblPos val="low"/>
        <c:spPr>
          <a:ln w="3240">
            <a:solidFill>
              <a:srgbClr val="969696"/>
            </a:solidFill>
            <a:round/>
          </a:ln>
        </c:spPr>
        <c:txPr>
          <a:bodyPr rot="-1800000"/>
          <a:lstStyle/>
          <a:p>
            <a:pPr>
              <a:defRPr b="0" sz="1000" strike="noStrike" u="none">
                <a:solidFill>
                  <a:srgbClr val="000000"/>
                </a:solidFill>
                <a:uFillTx/>
                <a:latin typeface="Calibri"/>
              </a:defRPr>
            </a:pPr>
          </a:p>
        </c:txPr>
        <c:crossAx val="49484438"/>
        <c:crosses val="autoZero"/>
        <c:auto val="1"/>
        <c:lblAlgn val="ctr"/>
        <c:lblOffset val="100"/>
        <c:noMultiLvlLbl val="0"/>
      </c:catAx>
      <c:valAx>
        <c:axId val="49484438"/>
        <c:scaling>
          <c:orientation val="minMax"/>
        </c:scaling>
        <c:delete val="0"/>
        <c:axPos val="l"/>
        <c:majorGridlines>
          <c:spPr>
            <a:ln w="3240">
              <a:solidFill>
                <a:srgbClr val="969696"/>
              </a:solidFill>
              <a:round/>
            </a:ln>
          </c:spPr>
        </c:majorGridlines>
        <c:numFmt formatCode="\$#,##0_);[RED]&quot;($&quot;#,##0\)" sourceLinked="0"/>
        <c:majorTickMark val="out"/>
        <c:minorTickMark val="none"/>
        <c:tickLblPos val="nextTo"/>
        <c:spPr>
          <a:ln w="3240">
            <a:solidFill>
              <a:srgbClr val="969696"/>
            </a:solidFill>
            <a:round/>
          </a:ln>
        </c:spPr>
        <c:txPr>
          <a:bodyPr/>
          <a:lstStyle/>
          <a:p>
            <a:pPr>
              <a:defRPr b="0" sz="1000" strike="noStrike" u="none">
                <a:solidFill>
                  <a:srgbClr val="000000"/>
                </a:solidFill>
                <a:uFillTx/>
                <a:latin typeface="Calibri"/>
              </a:defRPr>
            </a:pPr>
          </a:p>
        </c:txPr>
        <c:crossAx val="51424047"/>
        <c:crosses val="autoZero"/>
        <c:crossBetween val="between"/>
      </c:valAx>
      <c:spPr>
        <a:noFill/>
        <a:ln w="0">
          <a:noFill/>
        </a:ln>
      </c:spPr>
    </c:plotArea>
    <c:legend>
      <c:legendPos val="r"/>
      <c:layout>
        <c:manualLayout>
          <c:xMode val="edge"/>
          <c:yMode val="edge"/>
          <c:x val="0.871942446043166"/>
          <c:y val="0.25"/>
          <c:w val="0.122302158273381"/>
          <c:h val="0.524390243902439"/>
        </c:manualLayout>
      </c:layout>
      <c:overlay val="0"/>
      <c:spPr>
        <a:solidFill>
          <a:srgbClr val="ffffff"/>
        </a:solidFill>
        <a:ln w="25560">
          <a:noFill/>
        </a:ln>
      </c:spPr>
      <c:txPr>
        <a:bodyPr/>
        <a:lstStyle/>
        <a:p>
          <a:pPr>
            <a:defRPr b="0" sz="1000" strike="noStrike" u="none">
              <a:solidFill>
                <a:srgbClr val="000000"/>
              </a:solidFill>
              <a:uFillTx/>
              <a:latin typeface="Calibri"/>
            </a:defRPr>
          </a:pPr>
        </a:p>
      </c:txPr>
    </c:legend>
    <c:plotVisOnly val="1"/>
    <c:dispBlanksAs val="zero"/>
  </c:chart>
  <c:spPr>
    <a:solidFill>
      <a:srgbClr val="ffffff"/>
    </a:solidFill>
    <a:ln w="9360">
      <a:noFill/>
    </a:ln>
  </c:spPr>
</c:chartSpace>
</file>

<file path=xl/charts/chart16.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en-US" sz="1800" strike="noStrike" u="none">
                <a:solidFill>
                  <a:srgbClr val="000000"/>
                </a:solidFill>
                <a:uFillTx/>
                <a:latin typeface="Calibri"/>
              </a:rPr>
              <a:t>Funding Dispersion </a:t>
            </a:r>
          </a:p>
        </c:rich>
      </c:tx>
      <c:layout>
        <c:manualLayout>
          <c:xMode val="edge"/>
          <c:yMode val="edge"/>
          <c:x val="0.325219838199085"/>
          <c:y val="0.0788392738836624"/>
        </c:manualLayout>
      </c:layout>
      <c:overlay val="0"/>
      <c:spPr>
        <a:noFill/>
        <a:ln w="25560">
          <a:noFill/>
        </a:ln>
      </c:spPr>
    </c:title>
    <c:autoTitleDeleted val="0"/>
    <c:plotArea>
      <c:layout>
        <c:manualLayout>
          <c:layoutTarget val="inner"/>
          <c:xMode val="edge"/>
          <c:yMode val="edge"/>
          <c:x val="0.107703130495955"/>
          <c:y val="0.212932290976547"/>
          <c:w val="0.857615195216321"/>
          <c:h val="0.557440042400954"/>
        </c:manualLayout>
      </c:layout>
      <c:barChart>
        <c:barDir val="col"/>
        <c:grouping val="clustered"/>
        <c:varyColors val="0"/>
        <c:ser>
          <c:idx val="0"/>
          <c:order val="0"/>
          <c:tx>
            <c:strRef>
              <c:f>'Graphs 5Y'!$H$11</c:f>
              <c:strCache>
                <c:ptCount val="1"/>
                <c:pt idx="0">
                  <c:v>Start-up</c:v>
                </c:pt>
              </c:strCache>
            </c:strRef>
          </c:tx>
          <c:spPr>
            <a:solidFill>
              <a:srgbClr val="8eb4e3"/>
            </a:solidFill>
            <a:ln w="0">
              <a:noFill/>
            </a:ln>
          </c:spPr>
          <c:invertIfNegative val="0"/>
          <c:dLbls>
            <c:txPr>
              <a:bodyPr wrap="square"/>
              <a:lstStyle/>
              <a:p>
                <a:pPr>
                  <a:defRPr b="0" sz="1000" strike="noStrike" u="none">
                    <a:solidFill>
                      <a:srgbClr val="000000"/>
                    </a:solidFill>
                    <a:uFillTx/>
                    <a:latin typeface="Calibri"/>
                  </a:defRPr>
                </a:pPr>
              </a:p>
            </c:txPr>
            <c:dLblPos val="outEnd"/>
            <c:showLegendKey val="0"/>
            <c:showVal val="0"/>
            <c:showCatName val="0"/>
            <c:showSerName val="0"/>
            <c:showPercent val="0"/>
            <c:separator>; </c:separator>
            <c:showLeaderLines val="0"/>
            <c:extLst>
              <c:ext xmlns:c15="http://schemas.microsoft.com/office/drawing/2012/chart" uri="{CE6537A1-D6FC-4f65-9D91-7224C49458BB}">
                <c15:showLeaderLines val="0"/>
              </c:ext>
            </c:extLst>
          </c:dLbls>
          <c:cat>
            <c:strRef>
              <c:f>'Graphs 5Y'!$H$12:$H$14</c:f>
              <c:strCache>
                <c:ptCount val="3"/>
                <c:pt idx="0">
                  <c:v>Expenses</c:v>
                </c:pt>
                <c:pt idx="1">
                  <c:v>Assets</c:v>
                </c:pt>
                <c:pt idx="2">
                  <c:v>Working Capital</c:v>
                </c:pt>
              </c:strCache>
            </c:strRef>
          </c:cat>
          <c:val>
            <c:numRef>
              <c:f>'Graphs 5Y'!$I$12:$I$14</c:f>
              <c:numCache>
                <c:formatCode>\$#,##0_);[RED]"($"#,##0\)</c:formatCode>
                <c:ptCount val="3"/>
                <c:pt idx="0">
                  <c:v>0</c:v>
                </c:pt>
                <c:pt idx="1">
                  <c:v>23461850.4</c:v>
                </c:pt>
                <c:pt idx="2">
                  <c:v>10000000</c:v>
                </c:pt>
              </c:numCache>
            </c:numRef>
          </c:val>
        </c:ser>
        <c:gapWidth val="150"/>
        <c:overlap val="0"/>
        <c:axId val="76454868"/>
        <c:axId val="34979784"/>
      </c:barChart>
      <c:catAx>
        <c:axId val="76454868"/>
        <c:scaling>
          <c:orientation val="minMax"/>
        </c:scaling>
        <c:delete val="0"/>
        <c:axPos val="b"/>
        <c:numFmt formatCode="General" sourceLinked="0"/>
        <c:majorTickMark val="out"/>
        <c:minorTickMark val="none"/>
        <c:tickLblPos val="low"/>
        <c:spPr>
          <a:ln w="9360">
            <a:solidFill>
              <a:srgbClr val="878787"/>
            </a:solidFill>
            <a:round/>
          </a:ln>
        </c:spPr>
        <c:txPr>
          <a:bodyPr rot="-1800000"/>
          <a:lstStyle/>
          <a:p>
            <a:pPr>
              <a:defRPr b="0" sz="880" strike="noStrike" u="none">
                <a:solidFill>
                  <a:srgbClr val="000000"/>
                </a:solidFill>
                <a:uFillTx/>
                <a:latin typeface="Calibri"/>
              </a:defRPr>
            </a:pPr>
          </a:p>
        </c:txPr>
        <c:crossAx val="34979784"/>
        <c:crosses val="autoZero"/>
        <c:auto val="1"/>
        <c:lblAlgn val="ctr"/>
        <c:lblOffset val="100"/>
        <c:noMultiLvlLbl val="0"/>
      </c:catAx>
      <c:valAx>
        <c:axId val="34979784"/>
        <c:scaling>
          <c:orientation val="minMax"/>
        </c:scaling>
        <c:delete val="0"/>
        <c:axPos val="l"/>
        <c:majorGridlines>
          <c:spPr>
            <a:ln w="9360">
              <a:solidFill>
                <a:srgbClr val="878787"/>
              </a:solidFill>
              <a:round/>
            </a:ln>
          </c:spPr>
        </c:majorGridlines>
        <c:numFmt formatCode="\$#,##0_);[RED]&quot;($&quot;#,##0\)" sourceLinked="0"/>
        <c:majorTickMark val="out"/>
        <c:minorTickMark val="none"/>
        <c:tickLblPos val="nextTo"/>
        <c:spPr>
          <a:ln w="9360">
            <a:solidFill>
              <a:srgbClr val="878787"/>
            </a:solidFill>
            <a:round/>
          </a:ln>
        </c:spPr>
        <c:txPr>
          <a:bodyPr/>
          <a:lstStyle/>
          <a:p>
            <a:pPr>
              <a:defRPr b="0" sz="1000" strike="noStrike" u="none">
                <a:solidFill>
                  <a:srgbClr val="000000"/>
                </a:solidFill>
                <a:uFillTx/>
                <a:latin typeface="Calibri"/>
              </a:defRPr>
            </a:pPr>
          </a:p>
        </c:txPr>
        <c:crossAx val="76454868"/>
        <c:crosses val="autoZero"/>
        <c:crossBetween val="between"/>
      </c:valAx>
      <c:spPr>
        <a:noFill/>
        <a:ln w="0">
          <a:noFill/>
        </a:ln>
      </c:spPr>
    </c:plotArea>
    <c:plotVisOnly val="1"/>
    <c:dispBlanksAs val="gap"/>
  </c:chart>
  <c:spPr>
    <a:solidFill>
      <a:srgbClr val="ffffff"/>
    </a:solidFill>
    <a:ln w="9360">
      <a:noFill/>
    </a:ln>
  </c:spPr>
</c:chartSpace>
</file>

<file path=xl/charts/chart17.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en-US" sz="1800" strike="noStrike" u="none">
                <a:solidFill>
                  <a:srgbClr val="000000"/>
                </a:solidFill>
                <a:uFillTx/>
                <a:latin typeface="Calibri"/>
              </a:rPr>
              <a:t>Financial Indicators</a:t>
            </a:r>
          </a:p>
        </c:rich>
      </c:tx>
      <c:layout>
        <c:manualLayout>
          <c:xMode val="edge"/>
          <c:yMode val="edge"/>
          <c:x val="0.324236099962541"/>
          <c:y val="0.0788242176074876"/>
        </c:manualLayout>
      </c:layout>
      <c:overlay val="0"/>
      <c:spPr>
        <a:noFill/>
        <a:ln w="25560">
          <a:noFill/>
        </a:ln>
      </c:spPr>
    </c:title>
    <c:autoTitleDeleted val="0"/>
    <c:plotArea>
      <c:layout>
        <c:manualLayout>
          <c:layoutTarget val="inner"/>
          <c:xMode val="edge"/>
          <c:yMode val="edge"/>
          <c:x val="0.107507893187778"/>
          <c:y val="0.213073998245101"/>
          <c:w val="0.71338363568256"/>
          <c:h val="0.62971629131325"/>
        </c:manualLayout>
      </c:layout>
      <c:barChart>
        <c:barDir val="col"/>
        <c:grouping val="clustered"/>
        <c:varyColors val="0"/>
        <c:ser>
          <c:idx val="0"/>
          <c:order val="0"/>
          <c:tx>
            <c:strRef>
              <c:f>'Graphs 5Y'!$A$184</c:f>
              <c:strCache>
                <c:ptCount val="1"/>
                <c:pt idx="0">
                  <c:v>Net Profit Margin</c:v>
                </c:pt>
              </c:strCache>
            </c:strRef>
          </c:tx>
          <c:spPr>
            <a:solidFill>
              <a:srgbClr val="8eb4e3"/>
            </a:solidFill>
            <a:ln w="0">
              <a:noFill/>
            </a:ln>
          </c:spPr>
          <c:invertIfNegative val="0"/>
          <c:dLbls>
            <c:txPr>
              <a:bodyPr wrap="square"/>
              <a:lstStyle/>
              <a:p>
                <a:pPr>
                  <a:defRPr b="0" sz="1000" strike="noStrike" u="none">
                    <a:solidFill>
                      <a:srgbClr val="000000"/>
                    </a:solidFill>
                    <a:uFillTx/>
                    <a:latin typeface="Calibri"/>
                  </a:defRPr>
                </a:pPr>
              </a:p>
            </c:txPr>
            <c:dLblPos val="outEnd"/>
            <c:showLegendKey val="0"/>
            <c:showVal val="0"/>
            <c:showCatName val="0"/>
            <c:showSerName val="0"/>
            <c:showPercent val="0"/>
            <c:separator>; </c:separator>
            <c:showLeaderLines val="0"/>
            <c:extLst>
              <c:ext xmlns:c15="http://schemas.microsoft.com/office/drawing/2012/chart" uri="{CE6537A1-D6FC-4f65-9D91-7224C49458BB}">
                <c15:showLeaderLines val="0"/>
              </c:ext>
            </c:extLst>
          </c:dLbls>
          <c:cat>
            <c:strRef>
              <c:f>'Graphs 5Y'!$B$183:$F$183</c:f>
              <c:strCache>
                <c:ptCount val="5"/>
                <c:pt idx="0">
                  <c:v>Year 1</c:v>
                </c:pt>
                <c:pt idx="1">
                  <c:v>Year 2</c:v>
                </c:pt>
                <c:pt idx="2">
                  <c:v>Year 3</c:v>
                </c:pt>
                <c:pt idx="3">
                  <c:v>Year 4</c:v>
                </c:pt>
                <c:pt idx="4">
                  <c:v>Year 5</c:v>
                </c:pt>
              </c:strCache>
            </c:strRef>
          </c:cat>
          <c:val>
            <c:numRef>
              <c:f>'Graphs 5Y'!$B$184:$F$184</c:f>
              <c:numCache>
                <c:formatCode>\$#,##0_);[RED]"($"#,##0\)</c:formatCode>
                <c:ptCount val="5"/>
                <c:pt idx="0">
                  <c:v>-0.391083772417465</c:v>
                </c:pt>
                <c:pt idx="1">
                  <c:v>0.132475552009205</c:v>
                </c:pt>
                <c:pt idx="2">
                  <c:v>0.251855985781431</c:v>
                </c:pt>
                <c:pt idx="3">
                  <c:v>0.267798050157786</c:v>
                </c:pt>
                <c:pt idx="4">
                  <c:v>0.281320268599418</c:v>
                </c:pt>
              </c:numCache>
            </c:numRef>
          </c:val>
        </c:ser>
        <c:ser>
          <c:idx val="1"/>
          <c:order val="1"/>
          <c:tx>
            <c:strRef>
              <c:f>'Graphs 5Y'!$A$185</c:f>
              <c:strCache>
                <c:ptCount val="1"/>
                <c:pt idx="0">
                  <c:v>EBITDA to Revenue</c:v>
                </c:pt>
              </c:strCache>
            </c:strRef>
          </c:tx>
          <c:spPr>
            <a:solidFill>
              <a:srgbClr val="99cc00"/>
            </a:solidFill>
            <a:ln w="0">
              <a:solidFill>
                <a:srgbClr val="92d050"/>
              </a:solidFill>
            </a:ln>
          </c:spPr>
          <c:invertIfNegative val="0"/>
          <c:dLbls>
            <c:txPr>
              <a:bodyPr wrap="square"/>
              <a:lstStyle/>
              <a:p>
                <a:pPr>
                  <a:defRPr b="0" sz="1000" strike="noStrike" u="none">
                    <a:solidFill>
                      <a:srgbClr val="000000"/>
                    </a:solidFill>
                    <a:uFillTx/>
                    <a:latin typeface="Calibri"/>
                  </a:defRPr>
                </a:pPr>
              </a:p>
            </c:txPr>
            <c:dLblPos val="outEnd"/>
            <c:showLegendKey val="0"/>
            <c:showVal val="0"/>
            <c:showCatName val="0"/>
            <c:showSerName val="0"/>
            <c:showPercent val="0"/>
            <c:separator>; </c:separator>
            <c:showLeaderLines val="0"/>
            <c:leaderLines>
              <c:spPr>
                <a:ln>
                  <a:solidFill>
                    <a:srgbClr val="92d050"/>
                  </a:solidFill>
                </a:ln>
              </c:spPr>
            </c:leaderLines>
            <c:extLst>
              <c:ext xmlns:c15="http://schemas.microsoft.com/office/drawing/2012/chart" uri="{CE6537A1-D6FC-4f65-9D91-7224C49458BB}">
                <c15:showLeaderLines val="0"/>
              </c:ext>
            </c:extLst>
          </c:dLbls>
          <c:cat>
            <c:strRef>
              <c:f>'Graphs 5Y'!$B$183:$F$183</c:f>
              <c:strCache>
                <c:ptCount val="5"/>
                <c:pt idx="0">
                  <c:v>Year 1</c:v>
                </c:pt>
                <c:pt idx="1">
                  <c:v>Year 2</c:v>
                </c:pt>
                <c:pt idx="2">
                  <c:v>Year 3</c:v>
                </c:pt>
                <c:pt idx="3">
                  <c:v>Year 4</c:v>
                </c:pt>
                <c:pt idx="4">
                  <c:v>Year 5</c:v>
                </c:pt>
              </c:strCache>
            </c:strRef>
          </c:cat>
          <c:val>
            <c:numRef>
              <c:f>'Graphs 5Y'!$B$185:$F$185</c:f>
              <c:numCache>
                <c:formatCode>\$#,##0_);[RED]"($"#,##0\)</c:formatCode>
                <c:ptCount val="5"/>
                <c:pt idx="0">
                  <c:v>0</c:v>
                </c:pt>
                <c:pt idx="1">
                  <c:v>0</c:v>
                </c:pt>
                <c:pt idx="2">
                  <c:v>0</c:v>
                </c:pt>
                <c:pt idx="3">
                  <c:v>0</c:v>
                </c:pt>
                <c:pt idx="4">
                  <c:v>0</c:v>
                </c:pt>
              </c:numCache>
            </c:numRef>
          </c:val>
        </c:ser>
        <c:ser>
          <c:idx val="2"/>
          <c:order val="2"/>
          <c:tx>
            <c:strRef>
              <c:f>'Graphs 5Y'!$A$186</c:f>
              <c:strCache>
                <c:ptCount val="1"/>
                <c:pt idx="0">
                  <c:v>Debt to Assets Ratio</c:v>
                </c:pt>
              </c:strCache>
            </c:strRef>
          </c:tx>
          <c:spPr>
            <a:solidFill>
              <a:srgbClr val="ffff00"/>
            </a:solidFill>
            <a:ln w="0">
              <a:noFill/>
            </a:ln>
          </c:spPr>
          <c:invertIfNegative val="0"/>
          <c:dLbls>
            <c:txPr>
              <a:bodyPr wrap="square"/>
              <a:lstStyle/>
              <a:p>
                <a:pPr>
                  <a:defRPr b="0" sz="1000" strike="noStrike" u="none">
                    <a:solidFill>
                      <a:srgbClr val="000000"/>
                    </a:solidFill>
                    <a:uFillTx/>
                    <a:latin typeface="Calibri"/>
                  </a:defRPr>
                </a:pPr>
              </a:p>
            </c:txPr>
            <c:dLblPos val="outEnd"/>
            <c:showLegendKey val="0"/>
            <c:showVal val="0"/>
            <c:showCatName val="0"/>
            <c:showSerName val="0"/>
            <c:showPercent val="0"/>
            <c:separator>; </c:separator>
            <c:showLeaderLines val="0"/>
            <c:extLst>
              <c:ext xmlns:c15="http://schemas.microsoft.com/office/drawing/2012/chart" uri="{CE6537A1-D6FC-4f65-9D91-7224C49458BB}">
                <c15:showLeaderLines val="0"/>
              </c:ext>
            </c:extLst>
          </c:dLbls>
          <c:cat>
            <c:strRef>
              <c:f>'Graphs 5Y'!$B$183:$F$183</c:f>
              <c:strCache>
                <c:ptCount val="5"/>
                <c:pt idx="0">
                  <c:v>Year 1</c:v>
                </c:pt>
                <c:pt idx="1">
                  <c:v>Year 2</c:v>
                </c:pt>
                <c:pt idx="2">
                  <c:v>Year 3</c:v>
                </c:pt>
                <c:pt idx="3">
                  <c:v>Year 4</c:v>
                </c:pt>
                <c:pt idx="4">
                  <c:v>Year 5</c:v>
                </c:pt>
              </c:strCache>
            </c:strRef>
          </c:cat>
          <c:val>
            <c:numRef>
              <c:f>'Graphs 5Y'!$B$186:$F$186</c:f>
              <c:numCache>
                <c:formatCode>\$#,##0_);[RED]"($"#,##0\)</c:formatCode>
                <c:ptCount val="5"/>
                <c:pt idx="0">
                  <c:v>0.779557499671392</c:v>
                </c:pt>
                <c:pt idx="1">
                  <c:v>0.649703588666422</c:v>
                </c:pt>
                <c:pt idx="2">
                  <c:v>0.34138044405256</c:v>
                </c:pt>
                <c:pt idx="3">
                  <c:v>0.210096845544944</c:v>
                </c:pt>
                <c:pt idx="4">
                  <c:v>0.141820359449206</c:v>
                </c:pt>
              </c:numCache>
            </c:numRef>
          </c:val>
        </c:ser>
        <c:ser>
          <c:idx val="3"/>
          <c:order val="3"/>
          <c:tx>
            <c:strRef>
              <c:f>'Graphs 5Y'!$A$187</c:f>
              <c:strCache>
                <c:ptCount val="1"/>
                <c:pt idx="0">
                  <c:v>Current Debt to Assets</c:v>
                </c:pt>
              </c:strCache>
            </c:strRef>
          </c:tx>
          <c:spPr>
            <a:solidFill>
              <a:srgbClr val="ffc000"/>
            </a:solidFill>
            <a:ln w="0">
              <a:noFill/>
            </a:ln>
          </c:spPr>
          <c:invertIfNegative val="0"/>
          <c:dLbls>
            <c:txPr>
              <a:bodyPr wrap="square"/>
              <a:lstStyle/>
              <a:p>
                <a:pPr>
                  <a:defRPr b="0" sz="1000" strike="noStrike" u="none">
                    <a:solidFill>
                      <a:srgbClr val="000000"/>
                    </a:solidFill>
                    <a:uFillTx/>
                    <a:latin typeface="Calibri"/>
                  </a:defRPr>
                </a:pPr>
              </a:p>
            </c:txPr>
            <c:dLblPos val="outEnd"/>
            <c:showLegendKey val="0"/>
            <c:showVal val="0"/>
            <c:showCatName val="0"/>
            <c:showSerName val="0"/>
            <c:showPercent val="0"/>
            <c:separator>; </c:separator>
            <c:showLeaderLines val="0"/>
            <c:extLst>
              <c:ext xmlns:c15="http://schemas.microsoft.com/office/drawing/2012/chart" uri="{CE6537A1-D6FC-4f65-9D91-7224C49458BB}">
                <c15:showLeaderLines val="0"/>
              </c:ext>
            </c:extLst>
          </c:dLbls>
          <c:cat>
            <c:strRef>
              <c:f>'Graphs 5Y'!$B$183:$F$183</c:f>
              <c:strCache>
                <c:ptCount val="5"/>
                <c:pt idx="0">
                  <c:v>Year 1</c:v>
                </c:pt>
                <c:pt idx="1">
                  <c:v>Year 2</c:v>
                </c:pt>
                <c:pt idx="2">
                  <c:v>Year 3</c:v>
                </c:pt>
                <c:pt idx="3">
                  <c:v>Year 4</c:v>
                </c:pt>
                <c:pt idx="4">
                  <c:v>Year 5</c:v>
                </c:pt>
              </c:strCache>
            </c:strRef>
          </c:cat>
          <c:val>
            <c:numRef>
              <c:f>'Graphs 5Y'!$B$187:$F$187</c:f>
              <c:numCache>
                <c:formatCode>\$#,##0_);[RED]"($"#,##0\)</c:formatCode>
                <c:ptCount val="5"/>
                <c:pt idx="0">
                  <c:v>0.0759449794556532</c:v>
                </c:pt>
                <c:pt idx="1">
                  <c:v>0.140281286563043</c:v>
                </c:pt>
                <c:pt idx="2">
                  <c:v>0.11715763577754</c:v>
                </c:pt>
                <c:pt idx="3">
                  <c:v>0.0803715294845606</c:v>
                </c:pt>
                <c:pt idx="4">
                  <c:v>0.060716448204985</c:v>
                </c:pt>
              </c:numCache>
            </c:numRef>
          </c:val>
        </c:ser>
        <c:gapWidth val="150"/>
        <c:overlap val="0"/>
        <c:axId val="62531399"/>
        <c:axId val="83473098"/>
      </c:barChart>
      <c:catAx>
        <c:axId val="62531399"/>
        <c:scaling>
          <c:orientation val="minMax"/>
        </c:scaling>
        <c:delete val="0"/>
        <c:axPos val="b"/>
        <c:numFmt formatCode="General" sourceLinked="0"/>
        <c:majorTickMark val="out"/>
        <c:minorTickMark val="none"/>
        <c:tickLblPos val="low"/>
        <c:spPr>
          <a:ln w="9360">
            <a:solidFill>
              <a:srgbClr val="878787"/>
            </a:solidFill>
            <a:round/>
          </a:ln>
        </c:spPr>
        <c:txPr>
          <a:bodyPr rot="-1800000"/>
          <a:lstStyle/>
          <a:p>
            <a:pPr>
              <a:defRPr b="0" sz="1000" strike="noStrike" u="none">
                <a:solidFill>
                  <a:srgbClr val="000000"/>
                </a:solidFill>
                <a:uFillTx/>
                <a:latin typeface="Calibri"/>
              </a:defRPr>
            </a:pPr>
          </a:p>
        </c:txPr>
        <c:crossAx val="83473098"/>
        <c:crosses val="autoZero"/>
        <c:auto val="1"/>
        <c:lblAlgn val="ctr"/>
        <c:lblOffset val="100"/>
        <c:noMultiLvlLbl val="0"/>
      </c:catAx>
      <c:valAx>
        <c:axId val="83473098"/>
        <c:scaling>
          <c:orientation val="minMax"/>
        </c:scaling>
        <c:delete val="0"/>
        <c:axPos val="l"/>
        <c:majorGridlines>
          <c:spPr>
            <a:ln w="9360">
              <a:solidFill>
                <a:srgbClr val="878787"/>
              </a:solidFill>
              <a:round/>
            </a:ln>
          </c:spPr>
        </c:majorGridlines>
        <c:numFmt formatCode="\$#,##0_);[RED]&quot;($&quot;#,##0\)" sourceLinked="0"/>
        <c:majorTickMark val="out"/>
        <c:minorTickMark val="none"/>
        <c:tickLblPos val="nextTo"/>
        <c:spPr>
          <a:ln w="9360">
            <a:solidFill>
              <a:srgbClr val="878787"/>
            </a:solidFill>
            <a:round/>
          </a:ln>
        </c:spPr>
        <c:txPr>
          <a:bodyPr/>
          <a:lstStyle/>
          <a:p>
            <a:pPr>
              <a:defRPr b="0" sz="1000" strike="noStrike" u="none">
                <a:solidFill>
                  <a:srgbClr val="000000"/>
                </a:solidFill>
                <a:uFillTx/>
                <a:latin typeface="Calibri"/>
              </a:defRPr>
            </a:pPr>
          </a:p>
        </c:txPr>
        <c:crossAx val="62531399"/>
        <c:crosses val="autoZero"/>
        <c:crossBetween val="between"/>
      </c:valAx>
      <c:spPr>
        <a:noFill/>
        <a:ln w="0">
          <a:noFill/>
        </a:ln>
      </c:spPr>
    </c:plotArea>
    <c:legend>
      <c:legendPos val="r"/>
      <c:layout>
        <c:manualLayout>
          <c:xMode val="edge"/>
          <c:yMode val="edge"/>
          <c:x val="0.849772382397572"/>
          <c:y val="0.305084745762712"/>
          <c:w val="0.144157814871017"/>
          <c:h val="0.51864406779661"/>
        </c:manualLayout>
      </c:layout>
      <c:overlay val="0"/>
      <c:spPr>
        <a:noFill/>
        <a:ln w="0">
          <a:noFill/>
        </a:ln>
      </c:spPr>
      <c:txPr>
        <a:bodyPr/>
        <a:lstStyle/>
        <a:p>
          <a:pPr>
            <a:defRPr b="0" sz="880" strike="noStrike" u="none">
              <a:solidFill>
                <a:srgbClr val="000000"/>
              </a:solidFill>
              <a:uFillTx/>
              <a:latin typeface="Calibri"/>
            </a:defRPr>
          </a:pPr>
        </a:p>
      </c:txPr>
    </c:legend>
    <c:plotVisOnly val="1"/>
    <c:dispBlanksAs val="gap"/>
  </c:chart>
  <c:spPr>
    <a:solidFill>
      <a:srgbClr val="ffffff"/>
    </a:solidFill>
    <a:ln w="9360">
      <a:noFill/>
    </a:ln>
  </c:spPr>
</c:chartSpace>
</file>

<file path=xl/charts/chart18.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en-US" sz="1800" strike="noStrike" u="none">
                <a:solidFill>
                  <a:srgbClr val="000000"/>
                </a:solidFill>
                <a:uFillTx/>
                <a:latin typeface="Calibri"/>
              </a:rPr>
              <a:t>Year 1 Revenue Monthly</a:t>
            </a:r>
          </a:p>
        </c:rich>
      </c:tx>
      <c:layout>
        <c:manualLayout>
          <c:xMode val="edge"/>
          <c:yMode val="edge"/>
          <c:x val="0.320071047957371"/>
          <c:y val="0.0032555615843733"/>
        </c:manualLayout>
      </c:layout>
      <c:overlay val="0"/>
      <c:spPr>
        <a:noFill/>
        <a:ln w="25560">
          <a:noFill/>
        </a:ln>
      </c:spPr>
    </c:title>
    <c:autoTitleDeleted val="0"/>
    <c:plotArea>
      <c:layout>
        <c:manualLayout>
          <c:layoutTarget val="inner"/>
          <c:xMode val="edge"/>
          <c:yMode val="edge"/>
          <c:x val="0.0889621923369703"/>
          <c:y val="0.147042864894194"/>
          <c:w val="0.677442273534636"/>
          <c:h val="0.587493217580033"/>
        </c:manualLayout>
      </c:layout>
      <c:barChart>
        <c:barDir val="col"/>
        <c:grouping val="stacked"/>
        <c:varyColors val="0"/>
        <c:ser>
          <c:idx val="0"/>
          <c:order val="0"/>
          <c:tx>
            <c:strRef>
              <c:f>'3Y Grphs'!$A$62</c:f>
              <c:strCache>
                <c:ptCount val="1"/>
                <c:pt idx="0">
                  <c:v/>
                </c:pt>
              </c:strCache>
            </c:strRef>
          </c:tx>
          <c:spPr>
            <a:solidFill>
              <a:srgbClr val="8eb4e3"/>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0"/>
            <c:extLst>
              <c:ext xmlns:c15="http://schemas.microsoft.com/office/drawing/2012/chart" uri="{CE6537A1-D6FC-4f65-9D91-7224C49458BB}">
                <c15:showLeaderLines val="0"/>
              </c:ext>
            </c:extLst>
          </c:dLbls>
          <c:cat>
            <c:strRef>
              <c:f>'3Y Grphs'!$B$61:$M$61</c:f>
              <c:strCache>
                <c:ptCount val="12"/>
                <c:pt idx="0">
                  <c:v>Month 1</c:v>
                </c:pt>
                <c:pt idx="1">
                  <c:v>Month 2</c:v>
                </c:pt>
                <c:pt idx="2">
                  <c:v>Month 3</c:v>
                </c:pt>
                <c:pt idx="3">
                  <c:v>Month 4</c:v>
                </c:pt>
                <c:pt idx="4">
                  <c:v>Month 5</c:v>
                </c:pt>
                <c:pt idx="5">
                  <c:v>Month 6</c:v>
                </c:pt>
                <c:pt idx="6">
                  <c:v>Month 7</c:v>
                </c:pt>
                <c:pt idx="7">
                  <c:v>Month 8</c:v>
                </c:pt>
                <c:pt idx="8">
                  <c:v>Month 9</c:v>
                </c:pt>
                <c:pt idx="9">
                  <c:v>Month 10</c:v>
                </c:pt>
                <c:pt idx="10">
                  <c:v>Month 11</c:v>
                </c:pt>
                <c:pt idx="11">
                  <c:v>Month 12</c:v>
                </c:pt>
              </c:strCache>
            </c:strRef>
          </c:cat>
          <c:val>
            <c:numRef>
              <c:f>'3Y Grphs'!$B$62:$M$62</c:f>
              <c:numCache>
                <c:formatCode>General</c:formatCode>
                <c:ptCount val="12"/>
              </c:numCache>
            </c:numRef>
          </c:val>
        </c:ser>
        <c:ser>
          <c:idx val="1"/>
          <c:order val="1"/>
          <c:tx>
            <c:strRef>
              <c:f>'3Y Grphs'!$A$63</c:f>
              <c:strCache>
                <c:ptCount val="1"/>
                <c:pt idx="0">
                  <c:v/>
                </c:pt>
              </c:strCache>
            </c:strRef>
          </c:tx>
          <c:spPr>
            <a:solidFill>
              <a:srgbClr val="99cc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0"/>
            <c:extLst>
              <c:ext xmlns:c15="http://schemas.microsoft.com/office/drawing/2012/chart" uri="{CE6537A1-D6FC-4f65-9D91-7224C49458BB}">
                <c15:showLeaderLines val="0"/>
              </c:ext>
            </c:extLst>
          </c:dLbls>
          <c:cat>
            <c:strRef>
              <c:f>'3Y Grphs'!$B$61:$M$61</c:f>
              <c:strCache>
                <c:ptCount val="12"/>
                <c:pt idx="0">
                  <c:v>Month 1</c:v>
                </c:pt>
                <c:pt idx="1">
                  <c:v>Month 2</c:v>
                </c:pt>
                <c:pt idx="2">
                  <c:v>Month 3</c:v>
                </c:pt>
                <c:pt idx="3">
                  <c:v>Month 4</c:v>
                </c:pt>
                <c:pt idx="4">
                  <c:v>Month 5</c:v>
                </c:pt>
                <c:pt idx="5">
                  <c:v>Month 6</c:v>
                </c:pt>
                <c:pt idx="6">
                  <c:v>Month 7</c:v>
                </c:pt>
                <c:pt idx="7">
                  <c:v>Month 8</c:v>
                </c:pt>
                <c:pt idx="8">
                  <c:v>Month 9</c:v>
                </c:pt>
                <c:pt idx="9">
                  <c:v>Month 10</c:v>
                </c:pt>
                <c:pt idx="10">
                  <c:v>Month 11</c:v>
                </c:pt>
                <c:pt idx="11">
                  <c:v>Month 12</c:v>
                </c:pt>
              </c:strCache>
            </c:strRef>
          </c:cat>
          <c:val>
            <c:numRef>
              <c:f>'3Y Grphs'!$B$63:$M$63</c:f>
              <c:numCache>
                <c:formatCode>General</c:formatCode>
                <c:ptCount val="12"/>
              </c:numCache>
            </c:numRef>
          </c:val>
        </c:ser>
        <c:ser>
          <c:idx val="2"/>
          <c:order val="2"/>
          <c:tx>
            <c:strRef>
              <c:f>'3Y Grphs'!$A$64</c:f>
              <c:strCache>
                <c:ptCount val="1"/>
                <c:pt idx="0">
                  <c:v/>
                </c:pt>
              </c:strCache>
            </c:strRef>
          </c:tx>
          <c:spPr>
            <a:solidFill>
              <a:srgbClr val="ffff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0"/>
            <c:extLst>
              <c:ext xmlns:c15="http://schemas.microsoft.com/office/drawing/2012/chart" uri="{CE6537A1-D6FC-4f65-9D91-7224C49458BB}">
                <c15:showLeaderLines val="0"/>
              </c:ext>
            </c:extLst>
          </c:dLbls>
          <c:cat>
            <c:strRef>
              <c:f>'3Y Grphs'!$B$61:$M$61</c:f>
              <c:strCache>
                <c:ptCount val="12"/>
                <c:pt idx="0">
                  <c:v>Month 1</c:v>
                </c:pt>
                <c:pt idx="1">
                  <c:v>Month 2</c:v>
                </c:pt>
                <c:pt idx="2">
                  <c:v>Month 3</c:v>
                </c:pt>
                <c:pt idx="3">
                  <c:v>Month 4</c:v>
                </c:pt>
                <c:pt idx="4">
                  <c:v>Month 5</c:v>
                </c:pt>
                <c:pt idx="5">
                  <c:v>Month 6</c:v>
                </c:pt>
                <c:pt idx="6">
                  <c:v>Month 7</c:v>
                </c:pt>
                <c:pt idx="7">
                  <c:v>Month 8</c:v>
                </c:pt>
                <c:pt idx="8">
                  <c:v>Month 9</c:v>
                </c:pt>
                <c:pt idx="9">
                  <c:v>Month 10</c:v>
                </c:pt>
                <c:pt idx="10">
                  <c:v>Month 11</c:v>
                </c:pt>
                <c:pt idx="11">
                  <c:v>Month 12</c:v>
                </c:pt>
              </c:strCache>
            </c:strRef>
          </c:cat>
          <c:val>
            <c:numRef>
              <c:f>'3Y Grphs'!$B$64:$M$64</c:f>
              <c:numCache>
                <c:formatCode>General</c:formatCode>
                <c:ptCount val="12"/>
              </c:numCache>
            </c:numRef>
          </c:val>
        </c:ser>
        <c:ser>
          <c:idx val="3"/>
          <c:order val="3"/>
          <c:tx>
            <c:strRef>
              <c:f>'3Y Grphs'!$A$65</c:f>
              <c:strCache>
                <c:ptCount val="1"/>
                <c:pt idx="0">
                  <c:v/>
                </c:pt>
              </c:strCache>
            </c:strRef>
          </c:tx>
          <c:spPr>
            <a:solidFill>
              <a:srgbClr val="ffc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0"/>
            <c:extLst>
              <c:ext xmlns:c15="http://schemas.microsoft.com/office/drawing/2012/chart" uri="{CE6537A1-D6FC-4f65-9D91-7224C49458BB}">
                <c15:showLeaderLines val="0"/>
              </c:ext>
            </c:extLst>
          </c:dLbls>
          <c:cat>
            <c:strRef>
              <c:f>'3Y Grphs'!$B$61:$M$61</c:f>
              <c:strCache>
                <c:ptCount val="12"/>
                <c:pt idx="0">
                  <c:v>Month 1</c:v>
                </c:pt>
                <c:pt idx="1">
                  <c:v>Month 2</c:v>
                </c:pt>
                <c:pt idx="2">
                  <c:v>Month 3</c:v>
                </c:pt>
                <c:pt idx="3">
                  <c:v>Month 4</c:v>
                </c:pt>
                <c:pt idx="4">
                  <c:v>Month 5</c:v>
                </c:pt>
                <c:pt idx="5">
                  <c:v>Month 6</c:v>
                </c:pt>
                <c:pt idx="6">
                  <c:v>Month 7</c:v>
                </c:pt>
                <c:pt idx="7">
                  <c:v>Month 8</c:v>
                </c:pt>
                <c:pt idx="8">
                  <c:v>Month 9</c:v>
                </c:pt>
                <c:pt idx="9">
                  <c:v>Month 10</c:v>
                </c:pt>
                <c:pt idx="10">
                  <c:v>Month 11</c:v>
                </c:pt>
                <c:pt idx="11">
                  <c:v>Month 12</c:v>
                </c:pt>
              </c:strCache>
            </c:strRef>
          </c:cat>
          <c:val>
            <c:numRef>
              <c:f>'3Y Grphs'!$B$65:$M$65</c:f>
              <c:numCache>
                <c:formatCode>General</c:formatCode>
                <c:ptCount val="12"/>
              </c:numCache>
            </c:numRef>
          </c:val>
        </c:ser>
        <c:ser>
          <c:idx val="4"/>
          <c:order val="4"/>
          <c:tx>
            <c:strRef>
              <c:f>'3Y Grphs'!$A$66</c:f>
              <c:strCache>
                <c:ptCount val="1"/>
                <c:pt idx="0">
                  <c:v/>
                </c:pt>
              </c:strCache>
            </c:strRef>
          </c:tx>
          <c:spPr>
            <a:solidFill>
              <a:srgbClr val="953735"/>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0"/>
            <c:extLst>
              <c:ext xmlns:c15="http://schemas.microsoft.com/office/drawing/2012/chart" uri="{CE6537A1-D6FC-4f65-9D91-7224C49458BB}">
                <c15:showLeaderLines val="0"/>
              </c:ext>
            </c:extLst>
          </c:dLbls>
          <c:cat>
            <c:strRef>
              <c:f>'3Y Grphs'!$B$61:$M$61</c:f>
              <c:strCache>
                <c:ptCount val="12"/>
                <c:pt idx="0">
                  <c:v>Month 1</c:v>
                </c:pt>
                <c:pt idx="1">
                  <c:v>Month 2</c:v>
                </c:pt>
                <c:pt idx="2">
                  <c:v>Month 3</c:v>
                </c:pt>
                <c:pt idx="3">
                  <c:v>Month 4</c:v>
                </c:pt>
                <c:pt idx="4">
                  <c:v>Month 5</c:v>
                </c:pt>
                <c:pt idx="5">
                  <c:v>Month 6</c:v>
                </c:pt>
                <c:pt idx="6">
                  <c:v>Month 7</c:v>
                </c:pt>
                <c:pt idx="7">
                  <c:v>Month 8</c:v>
                </c:pt>
                <c:pt idx="8">
                  <c:v>Month 9</c:v>
                </c:pt>
                <c:pt idx="9">
                  <c:v>Month 10</c:v>
                </c:pt>
                <c:pt idx="10">
                  <c:v>Month 11</c:v>
                </c:pt>
                <c:pt idx="11">
                  <c:v>Month 12</c:v>
                </c:pt>
              </c:strCache>
            </c:strRef>
          </c:cat>
          <c:val>
            <c:numRef>
              <c:f>'3Y Grphs'!$B$66:$M$66</c:f>
              <c:numCache>
                <c:formatCode>General</c:formatCode>
                <c:ptCount val="12"/>
              </c:numCache>
            </c:numRef>
          </c:val>
        </c:ser>
        <c:ser>
          <c:idx val="5"/>
          <c:order val="5"/>
          <c:tx>
            <c:strRef>
              <c:f>'3Y Grphs'!$A$67</c:f>
              <c:strCache>
                <c:ptCount val="1"/>
                <c:pt idx="0">
                  <c:v/>
                </c:pt>
              </c:strCache>
            </c:strRef>
          </c:tx>
          <c:spPr>
            <a:solidFill>
              <a:srgbClr val="a6a6a6"/>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0"/>
            <c:extLst>
              <c:ext xmlns:c15="http://schemas.microsoft.com/office/drawing/2012/chart" uri="{CE6537A1-D6FC-4f65-9D91-7224C49458BB}">
                <c15:showLeaderLines val="0"/>
              </c:ext>
            </c:extLst>
          </c:dLbls>
          <c:cat>
            <c:strRef>
              <c:f>'3Y Grphs'!$B$61:$M$61</c:f>
              <c:strCache>
                <c:ptCount val="12"/>
                <c:pt idx="0">
                  <c:v>Month 1</c:v>
                </c:pt>
                <c:pt idx="1">
                  <c:v>Month 2</c:v>
                </c:pt>
                <c:pt idx="2">
                  <c:v>Month 3</c:v>
                </c:pt>
                <c:pt idx="3">
                  <c:v>Month 4</c:v>
                </c:pt>
                <c:pt idx="4">
                  <c:v>Month 5</c:v>
                </c:pt>
                <c:pt idx="5">
                  <c:v>Month 6</c:v>
                </c:pt>
                <c:pt idx="6">
                  <c:v>Month 7</c:v>
                </c:pt>
                <c:pt idx="7">
                  <c:v>Month 8</c:v>
                </c:pt>
                <c:pt idx="8">
                  <c:v>Month 9</c:v>
                </c:pt>
                <c:pt idx="9">
                  <c:v>Month 10</c:v>
                </c:pt>
                <c:pt idx="10">
                  <c:v>Month 11</c:v>
                </c:pt>
                <c:pt idx="11">
                  <c:v>Month 12</c:v>
                </c:pt>
              </c:strCache>
            </c:strRef>
          </c:cat>
          <c:val>
            <c:numRef>
              <c:f>'3Y Grphs'!$B$67:$M$67</c:f>
              <c:numCache>
                <c:formatCode>General</c:formatCode>
                <c:ptCount val="12"/>
              </c:numCache>
            </c:numRef>
          </c:val>
        </c:ser>
        <c:ser>
          <c:idx val="6"/>
          <c:order val="6"/>
          <c:tx>
            <c:strRef>
              <c:f>'3Y Grphs'!$A$68</c:f>
              <c:strCache>
                <c:ptCount val="1"/>
                <c:pt idx="0">
                  <c:v/>
                </c:pt>
              </c:strCache>
            </c:strRef>
          </c:tx>
          <c:spPr>
            <a:solidFill>
              <a:srgbClr val="93a9ce"/>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0"/>
            <c:extLst>
              <c:ext xmlns:c15="http://schemas.microsoft.com/office/drawing/2012/chart" uri="{CE6537A1-D6FC-4f65-9D91-7224C49458BB}">
                <c15:showLeaderLines val="0"/>
              </c:ext>
            </c:extLst>
          </c:dLbls>
          <c:cat>
            <c:strRef>
              <c:f>'3Y Grphs'!$B$61:$M$61</c:f>
              <c:strCache>
                <c:ptCount val="12"/>
                <c:pt idx="0">
                  <c:v>Month 1</c:v>
                </c:pt>
                <c:pt idx="1">
                  <c:v>Month 2</c:v>
                </c:pt>
                <c:pt idx="2">
                  <c:v>Month 3</c:v>
                </c:pt>
                <c:pt idx="3">
                  <c:v>Month 4</c:v>
                </c:pt>
                <c:pt idx="4">
                  <c:v>Month 5</c:v>
                </c:pt>
                <c:pt idx="5">
                  <c:v>Month 6</c:v>
                </c:pt>
                <c:pt idx="6">
                  <c:v>Month 7</c:v>
                </c:pt>
                <c:pt idx="7">
                  <c:v>Month 8</c:v>
                </c:pt>
                <c:pt idx="8">
                  <c:v>Month 9</c:v>
                </c:pt>
                <c:pt idx="9">
                  <c:v>Month 10</c:v>
                </c:pt>
                <c:pt idx="10">
                  <c:v>Month 11</c:v>
                </c:pt>
                <c:pt idx="11">
                  <c:v>Month 12</c:v>
                </c:pt>
              </c:strCache>
            </c:strRef>
          </c:cat>
          <c:val>
            <c:numRef>
              <c:f>'3Y Grphs'!$B$68:$M$68</c:f>
              <c:numCache>
                <c:formatCode>General</c:formatCode>
                <c:ptCount val="12"/>
              </c:numCache>
            </c:numRef>
          </c:val>
        </c:ser>
        <c:gapWidth val="50"/>
        <c:overlap val="100"/>
        <c:axId val="7827784"/>
        <c:axId val="79266254"/>
      </c:barChart>
      <c:catAx>
        <c:axId val="7827784"/>
        <c:scaling>
          <c:orientation val="minMax"/>
        </c:scaling>
        <c:delete val="0"/>
        <c:axPos val="b"/>
        <c:numFmt formatCode="General" sourceLinked="0"/>
        <c:majorTickMark val="out"/>
        <c:minorTickMark val="none"/>
        <c:tickLblPos val="low"/>
        <c:spPr>
          <a:ln w="9360">
            <a:solidFill>
              <a:srgbClr val="878787"/>
            </a:solidFill>
            <a:round/>
          </a:ln>
        </c:spPr>
        <c:txPr>
          <a:bodyPr rot="-1800000"/>
          <a:lstStyle/>
          <a:p>
            <a:pPr>
              <a:defRPr b="0" sz="1000" strike="noStrike" u="none">
                <a:solidFill>
                  <a:srgbClr val="000000"/>
                </a:solidFill>
                <a:uFillTx/>
                <a:latin typeface="Calibri"/>
              </a:defRPr>
            </a:pPr>
          </a:p>
        </c:txPr>
        <c:crossAx val="79266254"/>
        <c:crosses val="autoZero"/>
        <c:auto val="1"/>
        <c:lblAlgn val="ctr"/>
        <c:lblOffset val="100"/>
        <c:noMultiLvlLbl val="0"/>
      </c:catAx>
      <c:valAx>
        <c:axId val="79266254"/>
        <c:scaling>
          <c:orientation val="minMax"/>
        </c:scaling>
        <c:delete val="0"/>
        <c:axPos val="l"/>
        <c:majorGridlines>
          <c:spPr>
            <a:ln w="9360">
              <a:solidFill>
                <a:srgbClr val="878787"/>
              </a:solidFill>
              <a:round/>
            </a:ln>
          </c:spPr>
        </c:majorGridlines>
        <c:numFmt formatCode="\$#,##0_);[RED]&quot;($&quot;#,##0\)" sourceLinked="0"/>
        <c:majorTickMark val="out"/>
        <c:minorTickMark val="none"/>
        <c:tickLblPos val="nextTo"/>
        <c:spPr>
          <a:ln w="9360">
            <a:solidFill>
              <a:srgbClr val="878787"/>
            </a:solidFill>
            <a:round/>
          </a:ln>
        </c:spPr>
        <c:txPr>
          <a:bodyPr/>
          <a:lstStyle/>
          <a:p>
            <a:pPr>
              <a:defRPr b="0" sz="1000" strike="noStrike" u="none">
                <a:solidFill>
                  <a:srgbClr val="000000"/>
                </a:solidFill>
                <a:uFillTx/>
                <a:latin typeface="Calibri"/>
              </a:defRPr>
            </a:pPr>
          </a:p>
        </c:txPr>
        <c:crossAx val="7827784"/>
        <c:crosses val="autoZero"/>
        <c:crossBetween val="between"/>
      </c:valAx>
      <c:spPr>
        <a:noFill/>
        <a:ln w="0">
          <a:noFill/>
        </a:ln>
      </c:spPr>
    </c:plotArea>
    <c:plotVisOnly val="1"/>
    <c:dispBlanksAs val="gap"/>
  </c:chart>
  <c:spPr>
    <a:solidFill>
      <a:srgbClr val="ffffff"/>
    </a:solidFill>
    <a:ln w="9360">
      <a:noFill/>
    </a:ln>
  </c:spPr>
</c:chartSpace>
</file>

<file path=xl/charts/chart19.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en-US" sz="350" strike="noStrike" u="none">
                <a:solidFill>
                  <a:srgbClr val="000000"/>
                </a:solidFill>
                <a:uFillTx/>
                <a:latin typeface="Arial"/>
                <a:ea typeface="Arial"/>
              </a:rPr>
              <a:t>Year 1 Break-even Analysis</a:t>
            </a:r>
          </a:p>
        </c:rich>
      </c:tx>
      <c:overlay val="0"/>
      <c:spPr>
        <a:noFill/>
        <a:ln w="25560">
          <a:noFill/>
        </a:ln>
      </c:spPr>
    </c:title>
    <c:autoTitleDeleted val="0"/>
    <c:plotArea>
      <c:lineChart>
        <c:grouping val="standard"/>
        <c:varyColors val="0"/>
        <c:ser>
          <c:idx val="0"/>
          <c:order val="0"/>
          <c:spPr>
            <a:solidFill>
              <a:srgbClr val="900000"/>
            </a:solidFill>
            <a:ln w="25560">
              <a:solidFill>
                <a:srgbClr val="900000"/>
              </a:solidFill>
              <a:round/>
            </a:ln>
          </c:spPr>
          <c:marker>
            <c:symbol val="none"/>
          </c:marker>
          <c:smooth val="1"/>
        </c:ser>
        <c:hiLowLines>
          <c:spPr>
            <a:ln w="0">
              <a:noFill/>
            </a:ln>
          </c:spPr>
        </c:hiLowLines>
        <c:marker val="0"/>
        <c:axId val="70452256"/>
        <c:axId val="22941164"/>
      </c:lineChart>
      <c:catAx>
        <c:axId val="70452256"/>
        <c:scaling>
          <c:orientation val="minMax"/>
        </c:scaling>
        <c:delete val="0"/>
        <c:axPos val="b"/>
        <c:minorGridlines>
          <c:spPr>
            <a:ln w="3240">
              <a:solidFill>
                <a:srgbClr val="808080"/>
              </a:solidFill>
              <a:round/>
            </a:ln>
          </c:spPr>
        </c:minorGridlines>
        <c:title>
          <c:tx>
            <c:rich>
              <a:bodyPr rot="0"/>
              <a:lstStyle/>
              <a:p>
                <a:pPr>
                  <a:defRPr b="0" sz="1300" strike="noStrike" u="none">
                    <a:uFillTx/>
                    <a:latin typeface="Arial"/>
                  </a:defRPr>
                </a:pPr>
                <a:r>
                  <a:rPr b="1" lang="en-US" sz="275" strike="noStrike" u="none">
                    <a:solidFill>
                      <a:srgbClr val="000000"/>
                    </a:solidFill>
                    <a:uFillTx/>
                    <a:latin typeface="Times New Roman"/>
                    <a:ea typeface="Times New Roman"/>
                  </a:rPr>
                  <a:t>Monthly Revenue to Break Even</a:t>
                </a:r>
              </a:p>
            </c:rich>
          </c:tx>
          <c:overlay val="0"/>
          <c:spPr>
            <a:noFill/>
            <a:ln w="25560">
              <a:noFill/>
            </a:ln>
          </c:spPr>
        </c:title>
        <c:numFmt formatCode="\$#,##0" sourceLinked="0"/>
        <c:majorTickMark val="none"/>
        <c:minorTickMark val="none"/>
        <c:tickLblPos val="low"/>
        <c:spPr>
          <a:ln w="3240">
            <a:solidFill>
              <a:srgbClr val="808080"/>
            </a:solidFill>
            <a:round/>
          </a:ln>
        </c:spPr>
        <c:txPr>
          <a:bodyPr/>
          <a:lstStyle/>
          <a:p>
            <a:pPr>
              <a:defRPr b="0" sz="200" strike="noStrike" u="none">
                <a:solidFill>
                  <a:srgbClr val="000000"/>
                </a:solidFill>
                <a:uFillTx/>
                <a:latin typeface="Times New Roman"/>
                <a:ea typeface="Times New Roman"/>
              </a:defRPr>
            </a:pPr>
          </a:p>
        </c:txPr>
        <c:crossAx val="22941164"/>
        <c:crosses val="autoZero"/>
        <c:auto val="1"/>
        <c:lblAlgn val="ctr"/>
        <c:lblOffset val="100"/>
        <c:noMultiLvlLbl val="0"/>
      </c:catAx>
      <c:valAx>
        <c:axId val="22941164"/>
        <c:scaling>
          <c:orientation val="minMax"/>
        </c:scaling>
        <c:delete val="0"/>
        <c:axPos val="l"/>
        <c:majorGridlines>
          <c:spPr>
            <a:ln w="3240">
              <a:solidFill>
                <a:srgbClr val="808080"/>
              </a:solidFill>
              <a:round/>
            </a:ln>
          </c:spPr>
        </c:majorGridlines>
        <c:numFmt formatCode="\$#,##0_);[RED]&quot;($&quot;#,##0\)" sourceLinked="0"/>
        <c:majorTickMark val="none"/>
        <c:minorTickMark val="none"/>
        <c:tickLblPos val="nextTo"/>
        <c:spPr>
          <a:ln w="3240">
            <a:solidFill>
              <a:srgbClr val="808080"/>
            </a:solidFill>
            <a:round/>
          </a:ln>
        </c:spPr>
        <c:txPr>
          <a:bodyPr/>
          <a:lstStyle/>
          <a:p>
            <a:pPr>
              <a:defRPr b="0" sz="200" strike="noStrike" u="none">
                <a:solidFill>
                  <a:srgbClr val="000000"/>
                </a:solidFill>
                <a:uFillTx/>
                <a:latin typeface="Times New Roman"/>
                <a:ea typeface="Times New Roman"/>
              </a:defRPr>
            </a:pPr>
          </a:p>
        </c:txPr>
        <c:crossAx val="70452256"/>
        <c:crosses val="autoZero"/>
        <c:crossBetween val="midCat"/>
      </c:valAx>
      <c:spPr>
        <a:noFill/>
        <a:ln w="0">
          <a:noFill/>
        </a:ln>
      </c:spPr>
    </c:plotArea>
    <c:plotVisOnly val="1"/>
    <c:dispBlanksAs val="gap"/>
  </c:chart>
  <c:spPr>
    <a:solidFill>
      <a:srgbClr val="ffffff"/>
    </a:solidFill>
    <a:ln w="9360">
      <a:noFill/>
    </a:ln>
  </c:spPr>
</c:chartSpace>
</file>

<file path=xl/charts/chart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en-US" sz="1800" strike="noStrike" u="none">
                <a:solidFill>
                  <a:srgbClr val="000000"/>
                </a:solidFill>
                <a:uFillTx/>
                <a:latin typeface="Calibri"/>
              </a:rPr>
              <a:t>Year 1 Revenue Monthly</a:t>
            </a:r>
          </a:p>
        </c:rich>
      </c:tx>
      <c:overlay val="0"/>
      <c:spPr>
        <a:noFill/>
        <a:ln w="25560">
          <a:noFill/>
        </a:ln>
      </c:spPr>
    </c:title>
    <c:autoTitleDeleted val="0"/>
    <c:plotArea>
      <c:layout>
        <c:manualLayout>
          <c:layoutTarget val="inner"/>
          <c:xMode val="edge"/>
          <c:yMode val="edge"/>
          <c:x val="0.0850479398807981"/>
          <c:y val="0.15124796527401"/>
          <c:w val="0.719823788546256"/>
          <c:h val="0.587493217580033"/>
        </c:manualLayout>
      </c:layout>
      <c:barChart>
        <c:barDir val="col"/>
        <c:grouping val="stacked"/>
        <c:varyColors val="0"/>
        <c:ser>
          <c:idx val="0"/>
          <c:order val="0"/>
          <c:tx>
            <c:strRef>
              <c:f>'Graphs 5Y'!$A$62</c:f>
              <c:strCache>
                <c:ptCount val="1"/>
                <c:pt idx="0">
                  <c:v/>
                </c:pt>
              </c:strCache>
            </c:strRef>
          </c:tx>
          <c:spPr>
            <a:solidFill>
              <a:srgbClr val="8eb4e3"/>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0"/>
            <c:extLst>
              <c:ext xmlns:c15="http://schemas.microsoft.com/office/drawing/2012/chart" uri="{CE6537A1-D6FC-4f65-9D91-7224C49458BB}">
                <c15:showLeaderLines val="0"/>
              </c:ext>
            </c:extLst>
          </c:dLbls>
          <c:cat>
            <c:strRef>
              <c:f>'Graphs 5Y'!$B$61:$M$61</c:f>
              <c:strCache>
                <c:ptCount val="12"/>
                <c:pt idx="0">
                  <c:v>Month 1</c:v>
                </c:pt>
                <c:pt idx="1">
                  <c:v>Month 2</c:v>
                </c:pt>
                <c:pt idx="2">
                  <c:v>Month 3</c:v>
                </c:pt>
                <c:pt idx="3">
                  <c:v>Month 4</c:v>
                </c:pt>
                <c:pt idx="4">
                  <c:v>Month 5</c:v>
                </c:pt>
                <c:pt idx="5">
                  <c:v>Month 6</c:v>
                </c:pt>
                <c:pt idx="6">
                  <c:v>Month 7</c:v>
                </c:pt>
                <c:pt idx="7">
                  <c:v>Month 8</c:v>
                </c:pt>
                <c:pt idx="8">
                  <c:v>Month 9</c:v>
                </c:pt>
                <c:pt idx="9">
                  <c:v>Month 10</c:v>
                </c:pt>
                <c:pt idx="10">
                  <c:v>Month 11</c:v>
                </c:pt>
                <c:pt idx="11">
                  <c:v>Month 12</c:v>
                </c:pt>
              </c:strCache>
            </c:strRef>
          </c:cat>
          <c:val>
            <c:numRef>
              <c:f>'Graphs 5Y'!$B$62:$M$62</c:f>
              <c:numCache>
                <c:formatCode>General</c:formatCode>
                <c:ptCount val="12"/>
              </c:numCache>
            </c:numRef>
          </c:val>
        </c:ser>
        <c:ser>
          <c:idx val="1"/>
          <c:order val="1"/>
          <c:tx>
            <c:strRef>
              <c:f>'Graphs 5Y'!$A$63</c:f>
              <c:strCache>
                <c:ptCount val="1"/>
                <c:pt idx="0">
                  <c:v/>
                </c:pt>
              </c:strCache>
            </c:strRef>
          </c:tx>
          <c:spPr>
            <a:solidFill>
              <a:srgbClr val="99cc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0"/>
            <c:extLst>
              <c:ext xmlns:c15="http://schemas.microsoft.com/office/drawing/2012/chart" uri="{CE6537A1-D6FC-4f65-9D91-7224C49458BB}">
                <c15:showLeaderLines val="0"/>
              </c:ext>
            </c:extLst>
          </c:dLbls>
          <c:cat>
            <c:strRef>
              <c:f>'Graphs 5Y'!$B$61:$M$61</c:f>
              <c:strCache>
                <c:ptCount val="12"/>
                <c:pt idx="0">
                  <c:v>Month 1</c:v>
                </c:pt>
                <c:pt idx="1">
                  <c:v>Month 2</c:v>
                </c:pt>
                <c:pt idx="2">
                  <c:v>Month 3</c:v>
                </c:pt>
                <c:pt idx="3">
                  <c:v>Month 4</c:v>
                </c:pt>
                <c:pt idx="4">
                  <c:v>Month 5</c:v>
                </c:pt>
                <c:pt idx="5">
                  <c:v>Month 6</c:v>
                </c:pt>
                <c:pt idx="6">
                  <c:v>Month 7</c:v>
                </c:pt>
                <c:pt idx="7">
                  <c:v>Month 8</c:v>
                </c:pt>
                <c:pt idx="8">
                  <c:v>Month 9</c:v>
                </c:pt>
                <c:pt idx="9">
                  <c:v>Month 10</c:v>
                </c:pt>
                <c:pt idx="10">
                  <c:v>Month 11</c:v>
                </c:pt>
                <c:pt idx="11">
                  <c:v>Month 12</c:v>
                </c:pt>
              </c:strCache>
            </c:strRef>
          </c:cat>
          <c:val>
            <c:numRef>
              <c:f>'Graphs 5Y'!$B$63:$M$63</c:f>
              <c:numCache>
                <c:formatCode>General</c:formatCode>
                <c:ptCount val="12"/>
              </c:numCache>
            </c:numRef>
          </c:val>
        </c:ser>
        <c:ser>
          <c:idx val="2"/>
          <c:order val="2"/>
          <c:tx>
            <c:strRef>
              <c:f>'Graphs 5Y'!$A$64</c:f>
              <c:strCache>
                <c:ptCount val="1"/>
                <c:pt idx="0">
                  <c:v/>
                </c:pt>
              </c:strCache>
            </c:strRef>
          </c:tx>
          <c:spPr>
            <a:solidFill>
              <a:srgbClr val="ffff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0"/>
            <c:extLst>
              <c:ext xmlns:c15="http://schemas.microsoft.com/office/drawing/2012/chart" uri="{CE6537A1-D6FC-4f65-9D91-7224C49458BB}">
                <c15:showLeaderLines val="0"/>
              </c:ext>
            </c:extLst>
          </c:dLbls>
          <c:cat>
            <c:strRef>
              <c:f>'Graphs 5Y'!$B$61:$M$61</c:f>
              <c:strCache>
                <c:ptCount val="12"/>
                <c:pt idx="0">
                  <c:v>Month 1</c:v>
                </c:pt>
                <c:pt idx="1">
                  <c:v>Month 2</c:v>
                </c:pt>
                <c:pt idx="2">
                  <c:v>Month 3</c:v>
                </c:pt>
                <c:pt idx="3">
                  <c:v>Month 4</c:v>
                </c:pt>
                <c:pt idx="4">
                  <c:v>Month 5</c:v>
                </c:pt>
                <c:pt idx="5">
                  <c:v>Month 6</c:v>
                </c:pt>
                <c:pt idx="6">
                  <c:v>Month 7</c:v>
                </c:pt>
                <c:pt idx="7">
                  <c:v>Month 8</c:v>
                </c:pt>
                <c:pt idx="8">
                  <c:v>Month 9</c:v>
                </c:pt>
                <c:pt idx="9">
                  <c:v>Month 10</c:v>
                </c:pt>
                <c:pt idx="10">
                  <c:v>Month 11</c:v>
                </c:pt>
                <c:pt idx="11">
                  <c:v>Month 12</c:v>
                </c:pt>
              </c:strCache>
            </c:strRef>
          </c:cat>
          <c:val>
            <c:numRef>
              <c:f>'Graphs 5Y'!$B$64:$M$64</c:f>
              <c:numCache>
                <c:formatCode>General</c:formatCode>
                <c:ptCount val="12"/>
              </c:numCache>
            </c:numRef>
          </c:val>
        </c:ser>
        <c:ser>
          <c:idx val="3"/>
          <c:order val="3"/>
          <c:tx>
            <c:strRef>
              <c:f>'Graphs 5Y'!$A$65</c:f>
              <c:strCache>
                <c:ptCount val="1"/>
                <c:pt idx="0">
                  <c:v/>
                </c:pt>
              </c:strCache>
            </c:strRef>
          </c:tx>
          <c:spPr>
            <a:solidFill>
              <a:srgbClr val="ffc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0"/>
            <c:extLst>
              <c:ext xmlns:c15="http://schemas.microsoft.com/office/drawing/2012/chart" uri="{CE6537A1-D6FC-4f65-9D91-7224C49458BB}">
                <c15:showLeaderLines val="0"/>
              </c:ext>
            </c:extLst>
          </c:dLbls>
          <c:cat>
            <c:strRef>
              <c:f>'Graphs 5Y'!$B$61:$M$61</c:f>
              <c:strCache>
                <c:ptCount val="12"/>
                <c:pt idx="0">
                  <c:v>Month 1</c:v>
                </c:pt>
                <c:pt idx="1">
                  <c:v>Month 2</c:v>
                </c:pt>
                <c:pt idx="2">
                  <c:v>Month 3</c:v>
                </c:pt>
                <c:pt idx="3">
                  <c:v>Month 4</c:v>
                </c:pt>
                <c:pt idx="4">
                  <c:v>Month 5</c:v>
                </c:pt>
                <c:pt idx="5">
                  <c:v>Month 6</c:v>
                </c:pt>
                <c:pt idx="6">
                  <c:v>Month 7</c:v>
                </c:pt>
                <c:pt idx="7">
                  <c:v>Month 8</c:v>
                </c:pt>
                <c:pt idx="8">
                  <c:v>Month 9</c:v>
                </c:pt>
                <c:pt idx="9">
                  <c:v>Month 10</c:v>
                </c:pt>
                <c:pt idx="10">
                  <c:v>Month 11</c:v>
                </c:pt>
                <c:pt idx="11">
                  <c:v>Month 12</c:v>
                </c:pt>
              </c:strCache>
            </c:strRef>
          </c:cat>
          <c:val>
            <c:numRef>
              <c:f>'Graphs 5Y'!$B$65:$M$65</c:f>
              <c:numCache>
                <c:formatCode>General</c:formatCode>
                <c:ptCount val="12"/>
              </c:numCache>
            </c:numRef>
          </c:val>
        </c:ser>
        <c:ser>
          <c:idx val="4"/>
          <c:order val="4"/>
          <c:tx>
            <c:strRef>
              <c:f>'Graphs 5Y'!$A$66</c:f>
              <c:strCache>
                <c:ptCount val="1"/>
                <c:pt idx="0">
                  <c:v/>
                </c:pt>
              </c:strCache>
            </c:strRef>
          </c:tx>
          <c:spPr>
            <a:solidFill>
              <a:srgbClr val="953735"/>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0"/>
            <c:extLst>
              <c:ext xmlns:c15="http://schemas.microsoft.com/office/drawing/2012/chart" uri="{CE6537A1-D6FC-4f65-9D91-7224C49458BB}">
                <c15:showLeaderLines val="0"/>
              </c:ext>
            </c:extLst>
          </c:dLbls>
          <c:cat>
            <c:strRef>
              <c:f>'Graphs 5Y'!$B$61:$M$61</c:f>
              <c:strCache>
                <c:ptCount val="12"/>
                <c:pt idx="0">
                  <c:v>Month 1</c:v>
                </c:pt>
                <c:pt idx="1">
                  <c:v>Month 2</c:v>
                </c:pt>
                <c:pt idx="2">
                  <c:v>Month 3</c:v>
                </c:pt>
                <c:pt idx="3">
                  <c:v>Month 4</c:v>
                </c:pt>
                <c:pt idx="4">
                  <c:v>Month 5</c:v>
                </c:pt>
                <c:pt idx="5">
                  <c:v>Month 6</c:v>
                </c:pt>
                <c:pt idx="6">
                  <c:v>Month 7</c:v>
                </c:pt>
                <c:pt idx="7">
                  <c:v>Month 8</c:v>
                </c:pt>
                <c:pt idx="8">
                  <c:v>Month 9</c:v>
                </c:pt>
                <c:pt idx="9">
                  <c:v>Month 10</c:v>
                </c:pt>
                <c:pt idx="10">
                  <c:v>Month 11</c:v>
                </c:pt>
                <c:pt idx="11">
                  <c:v>Month 12</c:v>
                </c:pt>
              </c:strCache>
            </c:strRef>
          </c:cat>
          <c:val>
            <c:numRef>
              <c:f>'Graphs 5Y'!$B$66:$M$66</c:f>
              <c:numCache>
                <c:formatCode>General</c:formatCode>
                <c:ptCount val="12"/>
              </c:numCache>
            </c:numRef>
          </c:val>
        </c:ser>
        <c:ser>
          <c:idx val="5"/>
          <c:order val="5"/>
          <c:tx>
            <c:strRef>
              <c:f>'Graphs 5Y'!$A$67</c:f>
              <c:strCache>
                <c:ptCount val="1"/>
                <c:pt idx="0">
                  <c:v/>
                </c:pt>
              </c:strCache>
            </c:strRef>
          </c:tx>
          <c:spPr>
            <a:solidFill>
              <a:srgbClr val="80808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0"/>
            <c:extLst>
              <c:ext xmlns:c15="http://schemas.microsoft.com/office/drawing/2012/chart" uri="{CE6537A1-D6FC-4f65-9D91-7224C49458BB}">
                <c15:showLeaderLines val="0"/>
              </c:ext>
            </c:extLst>
          </c:dLbls>
          <c:cat>
            <c:strRef>
              <c:f>'Graphs 5Y'!$B$61:$M$61</c:f>
              <c:strCache>
                <c:ptCount val="12"/>
                <c:pt idx="0">
                  <c:v>Month 1</c:v>
                </c:pt>
                <c:pt idx="1">
                  <c:v>Month 2</c:v>
                </c:pt>
                <c:pt idx="2">
                  <c:v>Month 3</c:v>
                </c:pt>
                <c:pt idx="3">
                  <c:v>Month 4</c:v>
                </c:pt>
                <c:pt idx="4">
                  <c:v>Month 5</c:v>
                </c:pt>
                <c:pt idx="5">
                  <c:v>Month 6</c:v>
                </c:pt>
                <c:pt idx="6">
                  <c:v>Month 7</c:v>
                </c:pt>
                <c:pt idx="7">
                  <c:v>Month 8</c:v>
                </c:pt>
                <c:pt idx="8">
                  <c:v>Month 9</c:v>
                </c:pt>
                <c:pt idx="9">
                  <c:v>Month 10</c:v>
                </c:pt>
                <c:pt idx="10">
                  <c:v>Month 11</c:v>
                </c:pt>
                <c:pt idx="11">
                  <c:v>Month 12</c:v>
                </c:pt>
              </c:strCache>
            </c:strRef>
          </c:cat>
          <c:val>
            <c:numRef>
              <c:f>'Graphs 5Y'!$B$67:$M$67</c:f>
              <c:numCache>
                <c:formatCode>General</c:formatCode>
                <c:ptCount val="12"/>
              </c:numCache>
            </c:numRef>
          </c:val>
        </c:ser>
        <c:ser>
          <c:idx val="6"/>
          <c:order val="6"/>
          <c:tx>
            <c:strRef>
              <c:f>'Graphs 5Y'!$A$68</c:f>
              <c:strCache>
                <c:ptCount val="1"/>
                <c:pt idx="0">
                  <c:v/>
                </c:pt>
              </c:strCache>
            </c:strRef>
          </c:tx>
          <c:spPr>
            <a:solidFill>
              <a:srgbClr val="93a9ce"/>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0"/>
            <c:extLst>
              <c:ext xmlns:c15="http://schemas.microsoft.com/office/drawing/2012/chart" uri="{CE6537A1-D6FC-4f65-9D91-7224C49458BB}">
                <c15:showLeaderLines val="0"/>
              </c:ext>
            </c:extLst>
          </c:dLbls>
          <c:cat>
            <c:strRef>
              <c:f>'Graphs 5Y'!$B$61:$M$61</c:f>
              <c:strCache>
                <c:ptCount val="12"/>
                <c:pt idx="0">
                  <c:v>Month 1</c:v>
                </c:pt>
                <c:pt idx="1">
                  <c:v>Month 2</c:v>
                </c:pt>
                <c:pt idx="2">
                  <c:v>Month 3</c:v>
                </c:pt>
                <c:pt idx="3">
                  <c:v>Month 4</c:v>
                </c:pt>
                <c:pt idx="4">
                  <c:v>Month 5</c:v>
                </c:pt>
                <c:pt idx="5">
                  <c:v>Month 6</c:v>
                </c:pt>
                <c:pt idx="6">
                  <c:v>Month 7</c:v>
                </c:pt>
                <c:pt idx="7">
                  <c:v>Month 8</c:v>
                </c:pt>
                <c:pt idx="8">
                  <c:v>Month 9</c:v>
                </c:pt>
                <c:pt idx="9">
                  <c:v>Month 10</c:v>
                </c:pt>
                <c:pt idx="10">
                  <c:v>Month 11</c:v>
                </c:pt>
                <c:pt idx="11">
                  <c:v>Month 12</c:v>
                </c:pt>
              </c:strCache>
            </c:strRef>
          </c:cat>
          <c:val>
            <c:numRef>
              <c:f>'Graphs 5Y'!$B$68:$M$68</c:f>
              <c:numCache>
                <c:formatCode>General</c:formatCode>
                <c:ptCount val="12"/>
              </c:numCache>
            </c:numRef>
          </c:val>
        </c:ser>
        <c:ser>
          <c:idx val="7"/>
          <c:order val="7"/>
          <c:tx>
            <c:strRef>
              <c:f>'Graphs 5Y'!$A$69</c:f>
              <c:strCache>
                <c:ptCount val="1"/>
                <c:pt idx="0">
                  <c:v/>
                </c:pt>
              </c:strCache>
            </c:strRef>
          </c:tx>
          <c:spPr>
            <a:solidFill>
              <a:srgbClr val="d09493"/>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0"/>
            <c:extLst>
              <c:ext xmlns:c15="http://schemas.microsoft.com/office/drawing/2012/chart" uri="{CE6537A1-D6FC-4f65-9D91-7224C49458BB}">
                <c15:showLeaderLines val="0"/>
              </c:ext>
            </c:extLst>
          </c:dLbls>
          <c:cat>
            <c:strRef>
              <c:f>'Graphs 5Y'!$B$61:$M$61</c:f>
              <c:strCache>
                <c:ptCount val="12"/>
                <c:pt idx="0">
                  <c:v>Month 1</c:v>
                </c:pt>
                <c:pt idx="1">
                  <c:v>Month 2</c:v>
                </c:pt>
                <c:pt idx="2">
                  <c:v>Month 3</c:v>
                </c:pt>
                <c:pt idx="3">
                  <c:v>Month 4</c:v>
                </c:pt>
                <c:pt idx="4">
                  <c:v>Month 5</c:v>
                </c:pt>
                <c:pt idx="5">
                  <c:v>Month 6</c:v>
                </c:pt>
                <c:pt idx="6">
                  <c:v>Month 7</c:v>
                </c:pt>
                <c:pt idx="7">
                  <c:v>Month 8</c:v>
                </c:pt>
                <c:pt idx="8">
                  <c:v>Month 9</c:v>
                </c:pt>
                <c:pt idx="9">
                  <c:v>Month 10</c:v>
                </c:pt>
                <c:pt idx="10">
                  <c:v>Month 11</c:v>
                </c:pt>
                <c:pt idx="11">
                  <c:v>Month 12</c:v>
                </c:pt>
              </c:strCache>
            </c:strRef>
          </c:cat>
          <c:val>
            <c:numRef>
              <c:f>'Graphs 5Y'!$B$69:$M$69</c:f>
              <c:numCache>
                <c:formatCode>General</c:formatCode>
                <c:ptCount val="12"/>
              </c:numCache>
            </c:numRef>
          </c:val>
        </c:ser>
        <c:ser>
          <c:idx val="8"/>
          <c:order val="8"/>
          <c:tx>
            <c:strRef>
              <c:f>'Graphs 5Y'!$A$70</c:f>
              <c:strCache>
                <c:ptCount val="1"/>
                <c:pt idx="0">
                  <c:v/>
                </c:pt>
              </c:strCache>
            </c:strRef>
          </c:tx>
          <c:spPr>
            <a:solidFill>
              <a:srgbClr val="b8cd97"/>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0"/>
            <c:extLst>
              <c:ext xmlns:c15="http://schemas.microsoft.com/office/drawing/2012/chart" uri="{CE6537A1-D6FC-4f65-9D91-7224C49458BB}">
                <c15:showLeaderLines val="0"/>
              </c:ext>
            </c:extLst>
          </c:dLbls>
          <c:cat>
            <c:strRef>
              <c:f>'Graphs 5Y'!$B$61:$M$61</c:f>
              <c:strCache>
                <c:ptCount val="12"/>
                <c:pt idx="0">
                  <c:v>Month 1</c:v>
                </c:pt>
                <c:pt idx="1">
                  <c:v>Month 2</c:v>
                </c:pt>
                <c:pt idx="2">
                  <c:v>Month 3</c:v>
                </c:pt>
                <c:pt idx="3">
                  <c:v>Month 4</c:v>
                </c:pt>
                <c:pt idx="4">
                  <c:v>Month 5</c:v>
                </c:pt>
                <c:pt idx="5">
                  <c:v>Month 6</c:v>
                </c:pt>
                <c:pt idx="6">
                  <c:v>Month 7</c:v>
                </c:pt>
                <c:pt idx="7">
                  <c:v>Month 8</c:v>
                </c:pt>
                <c:pt idx="8">
                  <c:v>Month 9</c:v>
                </c:pt>
                <c:pt idx="9">
                  <c:v>Month 10</c:v>
                </c:pt>
                <c:pt idx="10">
                  <c:v>Month 11</c:v>
                </c:pt>
                <c:pt idx="11">
                  <c:v>Month 12</c:v>
                </c:pt>
              </c:strCache>
            </c:strRef>
          </c:cat>
          <c:val>
            <c:numRef>
              <c:f>'Graphs 5Y'!$B$70:$M$70</c:f>
              <c:numCache>
                <c:formatCode>General</c:formatCode>
                <c:ptCount val="12"/>
              </c:numCache>
            </c:numRef>
          </c:val>
        </c:ser>
        <c:ser>
          <c:idx val="9"/>
          <c:order val="9"/>
          <c:tx>
            <c:strRef>
              <c:f>'Graphs 5Y'!$A$71</c:f>
              <c:strCache>
                <c:ptCount val="1"/>
                <c:pt idx="0">
                  <c:v/>
                </c:pt>
              </c:strCache>
            </c:strRef>
          </c:tx>
          <c:spPr>
            <a:solidFill>
              <a:srgbClr val="a99bbd"/>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0"/>
            <c:extLst>
              <c:ext xmlns:c15="http://schemas.microsoft.com/office/drawing/2012/chart" uri="{CE6537A1-D6FC-4f65-9D91-7224C49458BB}">
                <c15:showLeaderLines val="0"/>
              </c:ext>
            </c:extLst>
          </c:dLbls>
          <c:cat>
            <c:strRef>
              <c:f>'Graphs 5Y'!$B$61:$M$61</c:f>
              <c:strCache>
                <c:ptCount val="12"/>
                <c:pt idx="0">
                  <c:v>Month 1</c:v>
                </c:pt>
                <c:pt idx="1">
                  <c:v>Month 2</c:v>
                </c:pt>
                <c:pt idx="2">
                  <c:v>Month 3</c:v>
                </c:pt>
                <c:pt idx="3">
                  <c:v>Month 4</c:v>
                </c:pt>
                <c:pt idx="4">
                  <c:v>Month 5</c:v>
                </c:pt>
                <c:pt idx="5">
                  <c:v>Month 6</c:v>
                </c:pt>
                <c:pt idx="6">
                  <c:v>Month 7</c:v>
                </c:pt>
                <c:pt idx="7">
                  <c:v>Month 8</c:v>
                </c:pt>
                <c:pt idx="8">
                  <c:v>Month 9</c:v>
                </c:pt>
                <c:pt idx="9">
                  <c:v>Month 10</c:v>
                </c:pt>
                <c:pt idx="10">
                  <c:v>Month 11</c:v>
                </c:pt>
                <c:pt idx="11">
                  <c:v>Month 12</c:v>
                </c:pt>
              </c:strCache>
            </c:strRef>
          </c:cat>
          <c:val>
            <c:numRef>
              <c:f>'Graphs 5Y'!$B$71:$M$71</c:f>
              <c:numCache>
                <c:formatCode>General</c:formatCode>
                <c:ptCount val="12"/>
              </c:numCache>
            </c:numRef>
          </c:val>
        </c:ser>
        <c:gapWidth val="50"/>
        <c:overlap val="100"/>
        <c:axId val="96442397"/>
        <c:axId val="87010854"/>
      </c:barChart>
      <c:catAx>
        <c:axId val="96442397"/>
        <c:scaling>
          <c:orientation val="minMax"/>
        </c:scaling>
        <c:delete val="0"/>
        <c:axPos val="b"/>
        <c:numFmt formatCode="General" sourceLinked="0"/>
        <c:majorTickMark val="out"/>
        <c:minorTickMark val="none"/>
        <c:tickLblPos val="low"/>
        <c:spPr>
          <a:ln w="9360">
            <a:solidFill>
              <a:srgbClr val="878787"/>
            </a:solidFill>
            <a:round/>
          </a:ln>
        </c:spPr>
        <c:txPr>
          <a:bodyPr rot="-1800000"/>
          <a:lstStyle/>
          <a:p>
            <a:pPr>
              <a:defRPr b="0" sz="1000" strike="noStrike" u="none">
                <a:solidFill>
                  <a:srgbClr val="000000"/>
                </a:solidFill>
                <a:uFillTx/>
                <a:latin typeface="Calibri"/>
              </a:defRPr>
            </a:pPr>
          </a:p>
        </c:txPr>
        <c:crossAx val="87010854"/>
        <c:crosses val="autoZero"/>
        <c:auto val="1"/>
        <c:lblAlgn val="ctr"/>
        <c:lblOffset val="100"/>
        <c:noMultiLvlLbl val="0"/>
      </c:catAx>
      <c:valAx>
        <c:axId val="87010854"/>
        <c:scaling>
          <c:orientation val="minMax"/>
        </c:scaling>
        <c:delete val="0"/>
        <c:axPos val="l"/>
        <c:majorGridlines>
          <c:spPr>
            <a:ln w="9360">
              <a:solidFill>
                <a:srgbClr val="878787"/>
              </a:solidFill>
              <a:round/>
            </a:ln>
          </c:spPr>
        </c:majorGridlines>
        <c:numFmt formatCode="\$#,##0_);[RED]&quot;($&quot;#,##0\)" sourceLinked="0"/>
        <c:majorTickMark val="out"/>
        <c:minorTickMark val="none"/>
        <c:tickLblPos val="nextTo"/>
        <c:spPr>
          <a:ln w="9360">
            <a:solidFill>
              <a:srgbClr val="878787"/>
            </a:solidFill>
            <a:round/>
          </a:ln>
        </c:spPr>
        <c:txPr>
          <a:bodyPr/>
          <a:lstStyle/>
          <a:p>
            <a:pPr>
              <a:defRPr b="0" sz="1000" strike="noStrike" u="none">
                <a:solidFill>
                  <a:srgbClr val="000000"/>
                </a:solidFill>
                <a:uFillTx/>
                <a:latin typeface="Calibri"/>
              </a:defRPr>
            </a:pPr>
          </a:p>
        </c:txPr>
        <c:crossAx val="96442397"/>
        <c:crosses val="autoZero"/>
        <c:crossBetween val="between"/>
      </c:valAx>
      <c:spPr>
        <a:noFill/>
        <a:ln w="0">
          <a:noFill/>
        </a:ln>
      </c:spPr>
    </c:plotArea>
    <c:legend>
      <c:legendPos val="r"/>
      <c:layout>
        <c:manualLayout>
          <c:xMode val="edge"/>
          <c:yMode val="edge"/>
          <c:x val="0.826979472140763"/>
          <c:y val="0.148264984227129"/>
          <c:w val="0.162756598240469"/>
          <c:h val="0.760252365930599"/>
        </c:manualLayout>
      </c:layout>
      <c:overlay val="0"/>
      <c:spPr>
        <a:noFill/>
        <a:ln w="0">
          <a:noFill/>
        </a:ln>
      </c:spPr>
      <c:txPr>
        <a:bodyPr/>
        <a:lstStyle/>
        <a:p>
          <a:pPr>
            <a:defRPr b="0" sz="880" strike="noStrike" u="none">
              <a:solidFill>
                <a:srgbClr val="000000"/>
              </a:solidFill>
              <a:uFillTx/>
              <a:latin typeface="Calibri"/>
            </a:defRPr>
          </a:pPr>
        </a:p>
      </c:txPr>
    </c:legend>
    <c:plotVisOnly val="1"/>
    <c:dispBlanksAs val="gap"/>
  </c:chart>
  <c:spPr>
    <a:solidFill>
      <a:srgbClr val="ffffff"/>
    </a:solidFill>
    <a:ln w="9360">
      <a:noFill/>
    </a:ln>
  </c:spPr>
</c:chartSpace>
</file>

<file path=xl/charts/chart20.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en-US" sz="325" strike="noStrike" u="none">
                <a:solidFill>
                  <a:srgbClr val="000000"/>
                </a:solidFill>
                <a:uFillTx/>
                <a:latin typeface="Arial"/>
                <a:ea typeface="Arial"/>
              </a:rPr>
              <a:t>Profit Monthly</a:t>
            </a:r>
          </a:p>
        </c:rich>
      </c:tx>
      <c:overlay val="0"/>
      <c:spPr>
        <a:noFill/>
        <a:ln w="25560">
          <a:noFill/>
        </a:ln>
      </c:spPr>
    </c:title>
    <c:autoTitleDeleted val="0"/>
    <c:plotArea>
      <c:barChart>
        <c:barDir val="col"/>
        <c:grouping val="clustered"/>
        <c:varyColors val="0"/>
        <c:ser>
          <c:idx val="0"/>
          <c:order val="0"/>
          <c:spPr>
            <a:solidFill>
              <a:srgbClr val="900000"/>
            </a:solidFill>
            <a:ln w="25560">
              <a:noFill/>
            </a:ln>
          </c:spPr>
          <c:invertIfNegative val="0"/>
        </c:ser>
        <c:gapWidth val="90"/>
        <c:overlap val="0"/>
        <c:axId val="43056769"/>
        <c:axId val="31963228"/>
      </c:barChart>
      <c:catAx>
        <c:axId val="43056769"/>
        <c:scaling>
          <c:orientation val="minMax"/>
        </c:scaling>
        <c:delete val="0"/>
        <c:axPos val="b"/>
        <c:majorGridlines>
          <c:spPr>
            <a:ln w="3240">
              <a:solidFill>
                <a:srgbClr val="969696"/>
              </a:solidFill>
              <a:round/>
            </a:ln>
          </c:spPr>
        </c:majorGridlines>
        <c:numFmt formatCode="General" sourceLinked="0"/>
        <c:majorTickMark val="out"/>
        <c:minorTickMark val="none"/>
        <c:tickLblPos val="low"/>
        <c:spPr>
          <a:ln w="3240">
            <a:solidFill>
              <a:srgbClr val="969696"/>
            </a:solidFill>
            <a:round/>
          </a:ln>
        </c:spPr>
        <c:txPr>
          <a:bodyPr rot="-5400000"/>
          <a:lstStyle/>
          <a:p>
            <a:pPr>
              <a:defRPr b="0" sz="200" strike="noStrike" u="none">
                <a:solidFill>
                  <a:srgbClr val="000000"/>
                </a:solidFill>
                <a:uFillTx/>
                <a:latin typeface="Times New Roman"/>
                <a:ea typeface="Times New Roman"/>
              </a:defRPr>
            </a:pPr>
          </a:p>
        </c:txPr>
        <c:crossAx val="31963228"/>
        <c:crosses val="autoZero"/>
        <c:auto val="1"/>
        <c:lblAlgn val="ctr"/>
        <c:lblOffset val="100"/>
        <c:noMultiLvlLbl val="0"/>
      </c:catAx>
      <c:valAx>
        <c:axId val="31963228"/>
        <c:scaling>
          <c:orientation val="minMax"/>
        </c:scaling>
        <c:delete val="0"/>
        <c:axPos val="l"/>
        <c:majorGridlines>
          <c:spPr>
            <a:ln w="3240">
              <a:solidFill>
                <a:srgbClr val="969696"/>
              </a:solidFill>
              <a:round/>
            </a:ln>
          </c:spPr>
        </c:majorGridlines>
        <c:numFmt formatCode="General" sourceLinked="0"/>
        <c:majorTickMark val="out"/>
        <c:minorTickMark val="none"/>
        <c:tickLblPos val="low"/>
        <c:spPr>
          <a:ln w="3240">
            <a:solidFill>
              <a:srgbClr val="969696"/>
            </a:solidFill>
            <a:round/>
          </a:ln>
        </c:spPr>
        <c:txPr>
          <a:bodyPr/>
          <a:lstStyle/>
          <a:p>
            <a:pPr>
              <a:defRPr b="0" sz="200" strike="noStrike" u="none">
                <a:solidFill>
                  <a:srgbClr val="000000"/>
                </a:solidFill>
                <a:uFillTx/>
                <a:latin typeface="Times New Roman"/>
                <a:ea typeface="Times New Roman"/>
              </a:defRPr>
            </a:pPr>
          </a:p>
        </c:txPr>
        <c:crossAx val="43056769"/>
        <c:crosses val="autoZero"/>
        <c:crossBetween val="between"/>
      </c:valAx>
      <c:spPr>
        <a:noFill/>
        <a:ln w="0">
          <a:noFill/>
        </a:ln>
      </c:spPr>
    </c:plotArea>
    <c:plotVisOnly val="1"/>
    <c:dispBlanksAs val="gap"/>
  </c:chart>
  <c:spPr>
    <a:solidFill>
      <a:srgbClr val="ffffff"/>
    </a:solidFill>
    <a:ln w="9360">
      <a:noFill/>
    </a:ln>
  </c:spPr>
</c:chartSpace>
</file>

<file path=xl/charts/chart2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en-US" sz="325" strike="noStrike" u="none">
                <a:solidFill>
                  <a:srgbClr val="000000"/>
                </a:solidFill>
                <a:uFillTx/>
                <a:latin typeface="Arial"/>
                <a:ea typeface="Arial"/>
              </a:rPr>
              <a:t>Profit Yearly</a:t>
            </a:r>
          </a:p>
        </c:rich>
      </c:tx>
      <c:overlay val="0"/>
      <c:spPr>
        <a:noFill/>
        <a:ln w="25560">
          <a:noFill/>
        </a:ln>
      </c:spPr>
    </c:title>
    <c:autoTitleDeleted val="0"/>
    <c:plotArea>
      <c:barChart>
        <c:barDir val="col"/>
        <c:grouping val="clustered"/>
        <c:varyColors val="0"/>
        <c:ser>
          <c:idx val="0"/>
          <c:order val="0"/>
          <c:spPr>
            <a:solidFill>
              <a:srgbClr val="900000"/>
            </a:solidFill>
            <a:ln w="25560">
              <a:noFill/>
            </a:ln>
          </c:spPr>
          <c:invertIfNegative val="0"/>
        </c:ser>
        <c:gapWidth val="90"/>
        <c:overlap val="0"/>
        <c:axId val="87545199"/>
        <c:axId val="80580029"/>
      </c:barChart>
      <c:catAx>
        <c:axId val="87545199"/>
        <c:scaling>
          <c:orientation val="minMax"/>
        </c:scaling>
        <c:delete val="0"/>
        <c:axPos val="b"/>
        <c:majorGridlines>
          <c:spPr>
            <a:ln w="3240">
              <a:solidFill>
                <a:srgbClr val="969696"/>
              </a:solidFill>
              <a:round/>
            </a:ln>
          </c:spPr>
        </c:majorGridlines>
        <c:numFmt formatCode="General" sourceLinked="0"/>
        <c:majorTickMark val="out"/>
        <c:minorTickMark val="none"/>
        <c:tickLblPos val="low"/>
        <c:spPr>
          <a:ln w="3240">
            <a:solidFill>
              <a:srgbClr val="969696"/>
            </a:solidFill>
            <a:round/>
          </a:ln>
        </c:spPr>
        <c:txPr>
          <a:bodyPr/>
          <a:lstStyle/>
          <a:p>
            <a:pPr>
              <a:defRPr b="0" sz="200" strike="noStrike" u="none">
                <a:solidFill>
                  <a:srgbClr val="000000"/>
                </a:solidFill>
                <a:uFillTx/>
                <a:latin typeface="Times New Roman"/>
                <a:ea typeface="Times New Roman"/>
              </a:defRPr>
            </a:pPr>
          </a:p>
        </c:txPr>
        <c:crossAx val="80580029"/>
        <c:crosses val="autoZero"/>
        <c:auto val="1"/>
        <c:lblAlgn val="ctr"/>
        <c:lblOffset val="100"/>
        <c:noMultiLvlLbl val="0"/>
      </c:catAx>
      <c:valAx>
        <c:axId val="80580029"/>
        <c:scaling>
          <c:orientation val="minMax"/>
        </c:scaling>
        <c:delete val="0"/>
        <c:axPos val="l"/>
        <c:majorGridlines>
          <c:spPr>
            <a:ln w="3240">
              <a:solidFill>
                <a:srgbClr val="969696"/>
              </a:solidFill>
              <a:round/>
            </a:ln>
          </c:spPr>
        </c:majorGridlines>
        <c:numFmt formatCode="General" sourceLinked="0"/>
        <c:majorTickMark val="out"/>
        <c:minorTickMark val="none"/>
        <c:tickLblPos val="nextTo"/>
        <c:spPr>
          <a:ln w="3240">
            <a:solidFill>
              <a:srgbClr val="969696"/>
            </a:solidFill>
            <a:round/>
          </a:ln>
        </c:spPr>
        <c:txPr>
          <a:bodyPr/>
          <a:lstStyle/>
          <a:p>
            <a:pPr>
              <a:defRPr b="0" sz="200" strike="noStrike" u="none">
                <a:solidFill>
                  <a:srgbClr val="000000"/>
                </a:solidFill>
                <a:uFillTx/>
                <a:latin typeface="Times New Roman"/>
                <a:ea typeface="Times New Roman"/>
              </a:defRPr>
            </a:pPr>
          </a:p>
        </c:txPr>
        <c:crossAx val="87545199"/>
        <c:crosses val="autoZero"/>
        <c:crossBetween val="between"/>
      </c:valAx>
      <c:spPr>
        <a:noFill/>
        <a:ln w="0">
          <a:noFill/>
        </a:ln>
      </c:spPr>
    </c:plotArea>
    <c:plotVisOnly val="1"/>
    <c:dispBlanksAs val="gap"/>
  </c:chart>
  <c:spPr>
    <a:solidFill>
      <a:srgbClr val="ffffff"/>
    </a:solidFill>
    <a:ln w="9360">
      <a:noFill/>
    </a:ln>
  </c:spPr>
</c:chartSpace>
</file>

<file path=xl/charts/chart2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en-US" sz="350" strike="noStrike" u="none">
                <a:solidFill>
                  <a:srgbClr val="000000"/>
                </a:solidFill>
                <a:uFillTx/>
                <a:latin typeface="Arial"/>
                <a:ea typeface="Arial"/>
              </a:rPr>
              <a:t>Gross Margin Monthly</a:t>
            </a:r>
          </a:p>
        </c:rich>
      </c:tx>
      <c:overlay val="0"/>
      <c:spPr>
        <a:noFill/>
        <a:ln w="25560">
          <a:noFill/>
        </a:ln>
      </c:spPr>
    </c:title>
    <c:autoTitleDeleted val="0"/>
    <c:plotArea>
      <c:barChart>
        <c:barDir val="col"/>
        <c:grouping val="clustered"/>
        <c:varyColors val="0"/>
        <c:ser>
          <c:idx val="0"/>
          <c:order val="0"/>
          <c:spPr>
            <a:solidFill>
              <a:srgbClr val="900000"/>
            </a:solidFill>
            <a:ln w="25560">
              <a:noFill/>
            </a:ln>
          </c:spPr>
          <c:invertIfNegative val="0"/>
        </c:ser>
        <c:gapWidth val="90"/>
        <c:overlap val="0"/>
        <c:axId val="82190462"/>
        <c:axId val="73563359"/>
      </c:barChart>
      <c:catAx>
        <c:axId val="82190462"/>
        <c:scaling>
          <c:orientation val="minMax"/>
        </c:scaling>
        <c:delete val="0"/>
        <c:axPos val="b"/>
        <c:majorGridlines>
          <c:spPr>
            <a:ln w="3240">
              <a:solidFill>
                <a:srgbClr val="969696"/>
              </a:solidFill>
              <a:round/>
            </a:ln>
          </c:spPr>
        </c:majorGridlines>
        <c:numFmt formatCode="General" sourceLinked="0"/>
        <c:majorTickMark val="out"/>
        <c:minorTickMark val="none"/>
        <c:tickLblPos val="low"/>
        <c:spPr>
          <a:ln w="3240">
            <a:solidFill>
              <a:srgbClr val="969696"/>
            </a:solidFill>
            <a:round/>
          </a:ln>
        </c:spPr>
        <c:txPr>
          <a:bodyPr rot="-5400000"/>
          <a:lstStyle/>
          <a:p>
            <a:pPr>
              <a:defRPr b="0" sz="200" strike="noStrike" u="none">
                <a:solidFill>
                  <a:srgbClr val="000000"/>
                </a:solidFill>
                <a:uFillTx/>
                <a:latin typeface="Times New Roman"/>
                <a:ea typeface="Times New Roman"/>
              </a:defRPr>
            </a:pPr>
          </a:p>
        </c:txPr>
        <c:crossAx val="73563359"/>
        <c:crosses val="autoZero"/>
        <c:auto val="1"/>
        <c:lblAlgn val="ctr"/>
        <c:lblOffset val="100"/>
        <c:noMultiLvlLbl val="0"/>
      </c:catAx>
      <c:valAx>
        <c:axId val="73563359"/>
        <c:scaling>
          <c:orientation val="minMax"/>
        </c:scaling>
        <c:delete val="0"/>
        <c:axPos val="l"/>
        <c:majorGridlines>
          <c:spPr>
            <a:ln w="3240">
              <a:solidFill>
                <a:srgbClr val="969696"/>
              </a:solidFill>
              <a:round/>
            </a:ln>
          </c:spPr>
        </c:majorGridlines>
        <c:numFmt formatCode="General" sourceLinked="0"/>
        <c:majorTickMark val="out"/>
        <c:minorTickMark val="none"/>
        <c:tickLblPos val="nextTo"/>
        <c:spPr>
          <a:ln w="3240">
            <a:solidFill>
              <a:srgbClr val="969696"/>
            </a:solidFill>
            <a:round/>
          </a:ln>
        </c:spPr>
        <c:txPr>
          <a:bodyPr/>
          <a:lstStyle/>
          <a:p>
            <a:pPr>
              <a:defRPr b="0" sz="200" strike="noStrike" u="none">
                <a:solidFill>
                  <a:srgbClr val="000000"/>
                </a:solidFill>
                <a:uFillTx/>
                <a:latin typeface="Times New Roman"/>
                <a:ea typeface="Times New Roman"/>
              </a:defRPr>
            </a:pPr>
          </a:p>
        </c:txPr>
        <c:crossAx val="82190462"/>
        <c:crosses val="autoZero"/>
        <c:crossBetween val="between"/>
      </c:valAx>
      <c:spPr>
        <a:noFill/>
        <a:ln w="0">
          <a:noFill/>
        </a:ln>
      </c:spPr>
    </c:plotArea>
    <c:plotVisOnly val="1"/>
    <c:dispBlanksAs val="gap"/>
  </c:chart>
  <c:spPr>
    <a:solidFill>
      <a:srgbClr val="ffffff"/>
    </a:solidFill>
    <a:ln w="9360">
      <a:noFill/>
    </a:ln>
  </c:spPr>
</c:chartSpace>
</file>

<file path=xl/charts/chart23.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en-US" sz="325" strike="noStrike" u="none">
                <a:solidFill>
                  <a:srgbClr val="000000"/>
                </a:solidFill>
                <a:uFillTx/>
                <a:latin typeface="Arial"/>
                <a:ea typeface="Arial"/>
              </a:rPr>
              <a:t>Gross Margin Yearly</a:t>
            </a:r>
          </a:p>
        </c:rich>
      </c:tx>
      <c:overlay val="0"/>
      <c:spPr>
        <a:noFill/>
        <a:ln w="25560">
          <a:noFill/>
        </a:ln>
      </c:spPr>
    </c:title>
    <c:autoTitleDeleted val="0"/>
    <c:plotArea>
      <c:barChart>
        <c:barDir val="col"/>
        <c:grouping val="clustered"/>
        <c:varyColors val="0"/>
        <c:ser>
          <c:idx val="0"/>
          <c:order val="0"/>
          <c:spPr>
            <a:solidFill>
              <a:srgbClr val="900000"/>
            </a:solidFill>
            <a:ln w="25560">
              <a:noFill/>
            </a:ln>
          </c:spPr>
          <c:invertIfNegative val="0"/>
        </c:ser>
        <c:gapWidth val="90"/>
        <c:overlap val="0"/>
        <c:axId val="33033880"/>
        <c:axId val="61652161"/>
      </c:barChart>
      <c:catAx>
        <c:axId val="33033880"/>
        <c:scaling>
          <c:orientation val="minMax"/>
        </c:scaling>
        <c:delete val="0"/>
        <c:axPos val="b"/>
        <c:majorGridlines>
          <c:spPr>
            <a:ln w="3240">
              <a:solidFill>
                <a:srgbClr val="969696"/>
              </a:solidFill>
              <a:round/>
            </a:ln>
          </c:spPr>
        </c:majorGridlines>
        <c:numFmt formatCode="General" sourceLinked="0"/>
        <c:majorTickMark val="out"/>
        <c:minorTickMark val="none"/>
        <c:tickLblPos val="low"/>
        <c:spPr>
          <a:ln w="3240">
            <a:solidFill>
              <a:srgbClr val="969696"/>
            </a:solidFill>
            <a:round/>
          </a:ln>
        </c:spPr>
        <c:txPr>
          <a:bodyPr/>
          <a:lstStyle/>
          <a:p>
            <a:pPr>
              <a:defRPr b="0" sz="200" strike="noStrike" u="none">
                <a:solidFill>
                  <a:srgbClr val="000000"/>
                </a:solidFill>
                <a:uFillTx/>
                <a:latin typeface="Times New Roman"/>
                <a:ea typeface="Times New Roman"/>
              </a:defRPr>
            </a:pPr>
          </a:p>
        </c:txPr>
        <c:crossAx val="61652161"/>
        <c:crosses val="autoZero"/>
        <c:auto val="1"/>
        <c:lblAlgn val="ctr"/>
        <c:lblOffset val="100"/>
        <c:noMultiLvlLbl val="0"/>
      </c:catAx>
      <c:valAx>
        <c:axId val="61652161"/>
        <c:scaling>
          <c:orientation val="minMax"/>
        </c:scaling>
        <c:delete val="0"/>
        <c:axPos val="l"/>
        <c:majorGridlines>
          <c:spPr>
            <a:ln w="3240">
              <a:solidFill>
                <a:srgbClr val="969696"/>
              </a:solidFill>
              <a:round/>
            </a:ln>
          </c:spPr>
        </c:majorGridlines>
        <c:numFmt formatCode="General" sourceLinked="0"/>
        <c:majorTickMark val="out"/>
        <c:minorTickMark val="none"/>
        <c:tickLblPos val="nextTo"/>
        <c:spPr>
          <a:ln w="3240">
            <a:solidFill>
              <a:srgbClr val="969696"/>
            </a:solidFill>
            <a:round/>
          </a:ln>
        </c:spPr>
        <c:txPr>
          <a:bodyPr/>
          <a:lstStyle/>
          <a:p>
            <a:pPr>
              <a:defRPr b="0" sz="200" strike="noStrike" u="none">
                <a:solidFill>
                  <a:srgbClr val="000000"/>
                </a:solidFill>
                <a:uFillTx/>
                <a:latin typeface="Times New Roman"/>
                <a:ea typeface="Times New Roman"/>
              </a:defRPr>
            </a:pPr>
          </a:p>
        </c:txPr>
        <c:crossAx val="33033880"/>
        <c:crosses val="autoZero"/>
        <c:crossBetween val="between"/>
      </c:valAx>
      <c:spPr>
        <a:noFill/>
        <a:ln w="0">
          <a:noFill/>
        </a:ln>
      </c:spPr>
    </c:plotArea>
    <c:plotVisOnly val="1"/>
    <c:dispBlanksAs val="gap"/>
  </c:chart>
  <c:spPr>
    <a:solidFill>
      <a:srgbClr val="ffffff"/>
    </a:solidFill>
    <a:ln w="9360">
      <a:noFill/>
    </a:ln>
  </c:spPr>
</c:chartSpace>
</file>

<file path=xl/charts/chart24.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en-US" sz="250" strike="noStrike" u="none">
                <a:solidFill>
                  <a:srgbClr val="000000"/>
                </a:solidFill>
                <a:uFillTx/>
                <a:latin typeface="Arial"/>
                <a:ea typeface="Arial"/>
              </a:rPr>
              <a:t>Year 1 Cash</a:t>
            </a:r>
          </a:p>
        </c:rich>
      </c:tx>
      <c:overlay val="0"/>
      <c:spPr>
        <a:noFill/>
        <a:ln w="25560">
          <a:noFill/>
        </a:ln>
      </c:spPr>
    </c:title>
    <c:autoTitleDeleted val="0"/>
    <c:plotArea>
      <c:barChart>
        <c:barDir val="col"/>
        <c:grouping val="clustered"/>
        <c:varyColors val="0"/>
        <c:ser>
          <c:idx val="0"/>
          <c:order val="0"/>
          <c:spPr>
            <a:solidFill>
              <a:srgbClr val="900000"/>
            </a:solidFill>
            <a:ln w="25560">
              <a:noFill/>
            </a:ln>
          </c:spPr>
          <c:invertIfNegative val="0"/>
        </c:ser>
        <c:ser>
          <c:idx val="1"/>
          <c:order val="1"/>
          <c:spPr>
            <a:solidFill>
              <a:srgbClr val="006411"/>
            </a:solidFill>
            <a:ln w="25560">
              <a:noFill/>
            </a:ln>
          </c:spPr>
          <c:invertIfNegative val="0"/>
        </c:ser>
        <c:gapWidth val="90"/>
        <c:overlap val="-50"/>
        <c:axId val="20357409"/>
        <c:axId val="46251904"/>
      </c:barChart>
      <c:catAx>
        <c:axId val="20357409"/>
        <c:scaling>
          <c:orientation val="minMax"/>
        </c:scaling>
        <c:delete val="0"/>
        <c:axPos val="b"/>
        <c:majorGridlines>
          <c:spPr>
            <a:ln w="3240">
              <a:solidFill>
                <a:srgbClr val="969696"/>
              </a:solidFill>
              <a:round/>
            </a:ln>
          </c:spPr>
        </c:majorGridlines>
        <c:numFmt formatCode="General" sourceLinked="0"/>
        <c:majorTickMark val="out"/>
        <c:minorTickMark val="none"/>
        <c:tickLblPos val="low"/>
        <c:spPr>
          <a:ln w="3240">
            <a:solidFill>
              <a:srgbClr val="969696"/>
            </a:solidFill>
            <a:round/>
          </a:ln>
        </c:spPr>
        <c:txPr>
          <a:bodyPr rot="-5400000"/>
          <a:lstStyle/>
          <a:p>
            <a:pPr>
              <a:defRPr b="0" sz="225" strike="noStrike" u="none">
                <a:solidFill>
                  <a:srgbClr val="000000"/>
                </a:solidFill>
                <a:uFillTx/>
                <a:latin typeface="Times New Roman"/>
                <a:ea typeface="Times New Roman"/>
              </a:defRPr>
            </a:pPr>
          </a:p>
        </c:txPr>
        <c:crossAx val="46251904"/>
        <c:crosses val="autoZero"/>
        <c:auto val="1"/>
        <c:lblAlgn val="ctr"/>
        <c:lblOffset val="100"/>
        <c:noMultiLvlLbl val="0"/>
      </c:catAx>
      <c:valAx>
        <c:axId val="46251904"/>
        <c:scaling>
          <c:orientation val="minMax"/>
        </c:scaling>
        <c:delete val="0"/>
        <c:axPos val="l"/>
        <c:majorGridlines>
          <c:spPr>
            <a:ln w="3240">
              <a:solidFill>
                <a:srgbClr val="969696"/>
              </a:solidFill>
              <a:round/>
            </a:ln>
          </c:spPr>
        </c:majorGridlines>
        <c:numFmt formatCode="\$#,##0" sourceLinked="0"/>
        <c:majorTickMark val="out"/>
        <c:minorTickMark val="none"/>
        <c:tickLblPos val="nextTo"/>
        <c:spPr>
          <a:ln w="3240">
            <a:solidFill>
              <a:srgbClr val="969696"/>
            </a:solidFill>
            <a:round/>
          </a:ln>
        </c:spPr>
        <c:txPr>
          <a:bodyPr/>
          <a:lstStyle/>
          <a:p>
            <a:pPr>
              <a:defRPr b="0" sz="225" strike="noStrike" u="none">
                <a:solidFill>
                  <a:srgbClr val="000000"/>
                </a:solidFill>
                <a:uFillTx/>
                <a:latin typeface="Times New Roman"/>
                <a:ea typeface="Times New Roman"/>
              </a:defRPr>
            </a:pPr>
          </a:p>
        </c:txPr>
        <c:crossAx val="20357409"/>
        <c:crosses val="autoZero"/>
        <c:crossBetween val="between"/>
      </c:valAx>
      <c:spPr>
        <a:noFill/>
        <a:ln w="0">
          <a:noFill/>
        </a:ln>
      </c:spPr>
    </c:plotArea>
    <c:legend>
      <c:legendPos val="r"/>
      <c:overlay val="0"/>
      <c:spPr>
        <a:solidFill>
          <a:srgbClr val="ffffff"/>
        </a:solidFill>
        <a:ln w="25560">
          <a:noFill/>
        </a:ln>
      </c:spPr>
      <c:txPr>
        <a:bodyPr/>
        <a:lstStyle/>
        <a:p>
          <a:pPr>
            <a:defRPr b="0" sz="230" strike="noStrike" u="none">
              <a:solidFill>
                <a:srgbClr val="000000"/>
              </a:solidFill>
              <a:uFillTx/>
              <a:latin typeface="Times New Roman"/>
              <a:ea typeface="Times New Roman"/>
            </a:defRPr>
          </a:pPr>
        </a:p>
      </c:txPr>
    </c:legend>
    <c:plotVisOnly val="1"/>
    <c:dispBlanksAs val="gap"/>
  </c:chart>
  <c:spPr>
    <a:solidFill>
      <a:srgbClr val="ffffff"/>
    </a:solidFill>
    <a:ln w="9360">
      <a:noFill/>
    </a:ln>
  </c:spPr>
</c:chartSpace>
</file>

<file path=xl/charts/chart25.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en-US" sz="250" strike="noStrike" u="none">
                <a:solidFill>
                  <a:srgbClr val="000000"/>
                </a:solidFill>
                <a:uFillTx/>
                <a:latin typeface="Arial"/>
                <a:ea typeface="Arial"/>
              </a:rPr>
              <a:t>Gross Margin &amp; Profit Monthly</a:t>
            </a:r>
          </a:p>
        </c:rich>
      </c:tx>
      <c:overlay val="0"/>
      <c:spPr>
        <a:noFill/>
        <a:ln w="25560">
          <a:noFill/>
        </a:ln>
      </c:spPr>
    </c:title>
    <c:autoTitleDeleted val="0"/>
    <c:plotArea>
      <c:barChart>
        <c:barDir val="col"/>
        <c:grouping val="clustered"/>
        <c:varyColors val="0"/>
        <c:ser>
          <c:idx val="0"/>
          <c:order val="0"/>
          <c:spPr>
            <a:solidFill>
              <a:srgbClr val="900000"/>
            </a:solidFill>
            <a:ln w="25560">
              <a:noFill/>
            </a:ln>
          </c:spPr>
          <c:invertIfNegative val="0"/>
        </c:ser>
        <c:ser>
          <c:idx val="1"/>
          <c:order val="1"/>
          <c:spPr>
            <a:solidFill>
              <a:srgbClr val="006411"/>
            </a:solidFill>
            <a:ln w="25560">
              <a:noFill/>
            </a:ln>
          </c:spPr>
          <c:invertIfNegative val="0"/>
        </c:ser>
        <c:gapWidth val="90"/>
        <c:overlap val="-50"/>
        <c:axId val="98852739"/>
        <c:axId val="99715858"/>
      </c:barChart>
      <c:catAx>
        <c:axId val="98852739"/>
        <c:scaling>
          <c:orientation val="minMax"/>
        </c:scaling>
        <c:delete val="0"/>
        <c:axPos val="b"/>
        <c:numFmt formatCode="General" sourceLinked="0"/>
        <c:majorTickMark val="out"/>
        <c:minorTickMark val="none"/>
        <c:tickLblPos val="low"/>
        <c:spPr>
          <a:ln w="3240">
            <a:solidFill>
              <a:srgbClr val="969696"/>
            </a:solidFill>
            <a:round/>
          </a:ln>
        </c:spPr>
        <c:txPr>
          <a:bodyPr rot="-5400000"/>
          <a:lstStyle/>
          <a:p>
            <a:pPr>
              <a:defRPr b="0" sz="275" strike="noStrike" u="none">
                <a:solidFill>
                  <a:srgbClr val="000000"/>
                </a:solidFill>
                <a:uFillTx/>
                <a:latin typeface="Arial"/>
                <a:ea typeface="Arial"/>
              </a:defRPr>
            </a:pPr>
          </a:p>
        </c:txPr>
        <c:crossAx val="99715858"/>
        <c:crosses val="autoZero"/>
        <c:auto val="1"/>
        <c:lblAlgn val="ctr"/>
        <c:lblOffset val="100"/>
        <c:noMultiLvlLbl val="0"/>
      </c:catAx>
      <c:valAx>
        <c:axId val="99715858"/>
        <c:scaling>
          <c:orientation val="minMax"/>
        </c:scaling>
        <c:delete val="0"/>
        <c:axPos val="l"/>
        <c:majorGridlines>
          <c:spPr>
            <a:ln w="3240">
              <a:solidFill>
                <a:srgbClr val="969696"/>
              </a:solidFill>
              <a:round/>
            </a:ln>
          </c:spPr>
        </c:majorGridlines>
        <c:numFmt formatCode="General" sourceLinked="0"/>
        <c:majorTickMark val="out"/>
        <c:minorTickMark val="none"/>
        <c:tickLblPos val="nextTo"/>
        <c:spPr>
          <a:ln w="3240">
            <a:solidFill>
              <a:srgbClr val="969696"/>
            </a:solidFill>
            <a:round/>
          </a:ln>
        </c:spPr>
        <c:txPr>
          <a:bodyPr/>
          <a:lstStyle/>
          <a:p>
            <a:pPr>
              <a:defRPr b="0" sz="200" strike="noStrike" u="none">
                <a:solidFill>
                  <a:srgbClr val="000000"/>
                </a:solidFill>
                <a:uFillTx/>
                <a:latin typeface="Arial"/>
                <a:ea typeface="Arial"/>
              </a:defRPr>
            </a:pPr>
          </a:p>
        </c:txPr>
        <c:crossAx val="98852739"/>
        <c:crosses val="autoZero"/>
        <c:crossBetween val="between"/>
      </c:valAx>
      <c:spPr>
        <a:noFill/>
        <a:ln w="0">
          <a:noFill/>
        </a:ln>
      </c:spPr>
    </c:plotArea>
    <c:legend>
      <c:legendPos val="r"/>
      <c:overlay val="0"/>
      <c:spPr>
        <a:solidFill>
          <a:srgbClr val="ffffff"/>
        </a:solidFill>
        <a:ln w="25560">
          <a:noFill/>
        </a:ln>
      </c:spPr>
      <c:txPr>
        <a:bodyPr/>
        <a:lstStyle/>
        <a:p>
          <a:pPr>
            <a:defRPr b="0" sz="230" strike="noStrike" u="none">
              <a:solidFill>
                <a:srgbClr val="000000"/>
              </a:solidFill>
              <a:uFillTx/>
              <a:latin typeface="Times New Roman"/>
              <a:ea typeface="Times New Roman"/>
            </a:defRPr>
          </a:pPr>
        </a:p>
      </c:txPr>
    </c:legend>
    <c:plotVisOnly val="1"/>
    <c:dispBlanksAs val="gap"/>
  </c:chart>
  <c:spPr>
    <a:solidFill>
      <a:srgbClr val="ffffff"/>
    </a:solidFill>
    <a:ln w="9360">
      <a:noFill/>
    </a:ln>
  </c:spPr>
</c:chartSpace>
</file>

<file path=xl/charts/chart26.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en-US" sz="250" strike="noStrike" u="none">
                <a:solidFill>
                  <a:srgbClr val="000000"/>
                </a:solidFill>
                <a:uFillTx/>
                <a:latin typeface="Arial"/>
                <a:ea typeface="Arial"/>
              </a:rPr>
              <a:t>Gross Margin &amp; Profit Yearly</a:t>
            </a:r>
          </a:p>
        </c:rich>
      </c:tx>
      <c:overlay val="0"/>
      <c:spPr>
        <a:noFill/>
        <a:ln w="25560">
          <a:noFill/>
        </a:ln>
      </c:spPr>
    </c:title>
    <c:autoTitleDeleted val="0"/>
    <c:plotArea>
      <c:barChart>
        <c:barDir val="col"/>
        <c:grouping val="clustered"/>
        <c:varyColors val="0"/>
        <c:ser>
          <c:idx val="0"/>
          <c:order val="0"/>
          <c:spPr>
            <a:solidFill>
              <a:srgbClr val="900000"/>
            </a:solidFill>
            <a:ln w="25560">
              <a:noFill/>
            </a:ln>
          </c:spPr>
          <c:invertIfNegative val="0"/>
        </c:ser>
        <c:ser>
          <c:idx val="1"/>
          <c:order val="1"/>
          <c:spPr>
            <a:solidFill>
              <a:srgbClr val="006411"/>
            </a:solidFill>
            <a:ln w="25560">
              <a:noFill/>
            </a:ln>
          </c:spPr>
          <c:invertIfNegative val="0"/>
        </c:ser>
        <c:gapWidth val="110"/>
        <c:overlap val="-30"/>
        <c:axId val="28693138"/>
        <c:axId val="96990326"/>
      </c:barChart>
      <c:catAx>
        <c:axId val="28693138"/>
        <c:scaling>
          <c:orientation val="minMax"/>
        </c:scaling>
        <c:delete val="0"/>
        <c:axPos val="b"/>
        <c:numFmt formatCode="General" sourceLinked="0"/>
        <c:majorTickMark val="out"/>
        <c:minorTickMark val="none"/>
        <c:tickLblPos val="low"/>
        <c:spPr>
          <a:ln w="3240">
            <a:solidFill>
              <a:srgbClr val="969696"/>
            </a:solidFill>
            <a:round/>
          </a:ln>
        </c:spPr>
        <c:txPr>
          <a:bodyPr/>
          <a:lstStyle/>
          <a:p>
            <a:pPr>
              <a:defRPr b="0" sz="200" strike="noStrike" u="none">
                <a:solidFill>
                  <a:srgbClr val="000000"/>
                </a:solidFill>
                <a:uFillTx/>
                <a:latin typeface="Arial"/>
                <a:ea typeface="Arial"/>
              </a:defRPr>
            </a:pPr>
          </a:p>
        </c:txPr>
        <c:crossAx val="96990326"/>
        <c:crosses val="autoZero"/>
        <c:auto val="1"/>
        <c:lblAlgn val="ctr"/>
        <c:lblOffset val="100"/>
        <c:noMultiLvlLbl val="0"/>
      </c:catAx>
      <c:valAx>
        <c:axId val="96990326"/>
        <c:scaling>
          <c:orientation val="minMax"/>
        </c:scaling>
        <c:delete val="0"/>
        <c:axPos val="l"/>
        <c:majorGridlines>
          <c:spPr>
            <a:ln w="3240">
              <a:solidFill>
                <a:srgbClr val="969696"/>
              </a:solidFill>
              <a:round/>
            </a:ln>
          </c:spPr>
        </c:majorGridlines>
        <c:numFmt formatCode="General" sourceLinked="0"/>
        <c:majorTickMark val="out"/>
        <c:minorTickMark val="none"/>
        <c:tickLblPos val="nextTo"/>
        <c:spPr>
          <a:ln w="3240">
            <a:solidFill>
              <a:srgbClr val="969696"/>
            </a:solidFill>
            <a:round/>
          </a:ln>
        </c:spPr>
        <c:txPr>
          <a:bodyPr/>
          <a:lstStyle/>
          <a:p>
            <a:pPr>
              <a:defRPr b="0" sz="200" strike="noStrike" u="none">
                <a:solidFill>
                  <a:srgbClr val="000000"/>
                </a:solidFill>
                <a:uFillTx/>
                <a:latin typeface="Arial"/>
                <a:ea typeface="Arial"/>
              </a:defRPr>
            </a:pPr>
          </a:p>
        </c:txPr>
        <c:crossAx val="28693138"/>
        <c:crosses val="autoZero"/>
        <c:crossBetween val="between"/>
      </c:valAx>
      <c:spPr>
        <a:noFill/>
        <a:ln w="0">
          <a:noFill/>
        </a:ln>
      </c:spPr>
    </c:plotArea>
    <c:legend>
      <c:legendPos val="r"/>
      <c:overlay val="0"/>
      <c:spPr>
        <a:solidFill>
          <a:srgbClr val="ffffff"/>
        </a:solidFill>
        <a:ln w="25560">
          <a:noFill/>
        </a:ln>
      </c:spPr>
      <c:txPr>
        <a:bodyPr/>
        <a:lstStyle/>
        <a:p>
          <a:pPr>
            <a:defRPr b="0" sz="160" strike="noStrike" u="none">
              <a:solidFill>
                <a:srgbClr val="000000"/>
              </a:solidFill>
              <a:uFillTx/>
              <a:latin typeface="Times New Roman"/>
              <a:ea typeface="Times New Roman"/>
            </a:defRPr>
          </a:pPr>
        </a:p>
      </c:txPr>
    </c:legend>
    <c:plotVisOnly val="1"/>
    <c:dispBlanksAs val="gap"/>
  </c:chart>
  <c:spPr>
    <a:solidFill>
      <a:srgbClr val="ffffff"/>
    </a:solidFill>
    <a:ln w="9360">
      <a:noFill/>
    </a:ln>
  </c:spPr>
</c:chartSpace>
</file>

<file path=xl/charts/chart27.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en-US" sz="1800" strike="noStrike" u="none">
                <a:solidFill>
                  <a:srgbClr val="000000"/>
                </a:solidFill>
                <a:uFillTx/>
                <a:latin typeface="Arial"/>
              </a:rPr>
              <a:t>Financial Highlights</a:t>
            </a:r>
          </a:p>
        </c:rich>
      </c:tx>
      <c:layout>
        <c:manualLayout>
          <c:xMode val="edge"/>
          <c:yMode val="edge"/>
          <c:x val="0.31898760654709"/>
          <c:y val="0.0784710511523328"/>
        </c:manualLayout>
      </c:layout>
      <c:overlay val="0"/>
      <c:spPr>
        <a:noFill/>
        <a:ln w="25560">
          <a:noFill/>
        </a:ln>
      </c:spPr>
    </c:title>
    <c:autoTitleDeleted val="0"/>
    <c:plotArea>
      <c:layout>
        <c:manualLayout>
          <c:layoutTarget val="inner"/>
          <c:xMode val="edge"/>
          <c:yMode val="edge"/>
          <c:x val="0.107514511321445"/>
          <c:y val="0.21247892074199"/>
          <c:w val="0.713381791559902"/>
          <c:h val="0.631028667790894"/>
        </c:manualLayout>
      </c:layout>
      <c:barChart>
        <c:barDir val="col"/>
        <c:grouping val="clustered"/>
        <c:varyColors val="0"/>
        <c:ser>
          <c:idx val="0"/>
          <c:order val="0"/>
          <c:tx>
            <c:strRef>
              <c:f>'3Y Grphs'!$A$3</c:f>
              <c:strCache>
                <c:ptCount val="1"/>
                <c:pt idx="0">
                  <c:v>Revenue</c:v>
                </c:pt>
              </c:strCache>
            </c:strRef>
          </c:tx>
          <c:spPr>
            <a:solidFill>
              <a:srgbClr val="8eb4e3"/>
            </a:solidFill>
            <a:ln w="0">
              <a:noFill/>
            </a:ln>
          </c:spPr>
          <c:invertIfNegative val="0"/>
          <c:dLbls>
            <c:txPr>
              <a:bodyPr wrap="square"/>
              <a:lstStyle/>
              <a:p>
                <a:pPr>
                  <a:defRPr b="0" sz="1000" strike="noStrike" u="none">
                    <a:solidFill>
                      <a:srgbClr val="000000"/>
                    </a:solidFill>
                    <a:uFillTx/>
                    <a:latin typeface="Calibri"/>
                  </a:defRPr>
                </a:pPr>
              </a:p>
            </c:txPr>
            <c:dLblPos val="outEnd"/>
            <c:showLegendKey val="0"/>
            <c:showVal val="0"/>
            <c:showCatName val="0"/>
            <c:showSerName val="0"/>
            <c:showPercent val="0"/>
            <c:separator>; </c:separator>
            <c:showLeaderLines val="0"/>
            <c:extLst>
              <c:ext xmlns:c15="http://schemas.microsoft.com/office/drawing/2012/chart" uri="{CE6537A1-D6FC-4f65-9D91-7224C49458BB}">
                <c15:showLeaderLines val="0"/>
              </c:ext>
            </c:extLst>
          </c:dLbls>
          <c:cat>
            <c:strRef>
              <c:f>'3Y Grphs'!$B$2:$D$2</c:f>
              <c:strCache>
                <c:ptCount val="3"/>
                <c:pt idx="0">
                  <c:v>Year 1</c:v>
                </c:pt>
                <c:pt idx="1">
                  <c:v>Year 2</c:v>
                </c:pt>
                <c:pt idx="2">
                  <c:v>Year 3</c:v>
                </c:pt>
              </c:strCache>
            </c:strRef>
          </c:cat>
          <c:val>
            <c:numRef>
              <c:f>'3Y Grphs'!$B$3:$D$3</c:f>
              <c:numCache>
                <c:formatCode>\$#,##0_);[RED]"($"#,##0\)</c:formatCode>
                <c:ptCount val="3"/>
                <c:pt idx="0">
                  <c:v>0</c:v>
                </c:pt>
                <c:pt idx="1">
                  <c:v>0</c:v>
                </c:pt>
                <c:pt idx="2">
                  <c:v>0</c:v>
                </c:pt>
              </c:numCache>
            </c:numRef>
          </c:val>
        </c:ser>
        <c:ser>
          <c:idx val="1"/>
          <c:order val="1"/>
          <c:tx>
            <c:strRef>
              <c:f>'3Y Grphs'!$A$5</c:f>
              <c:strCache>
                <c:ptCount val="1"/>
                <c:pt idx="0">
                  <c:v>Operating Expenses</c:v>
                </c:pt>
              </c:strCache>
            </c:strRef>
          </c:tx>
          <c:spPr>
            <a:solidFill>
              <a:srgbClr val="ffff00"/>
            </a:solidFill>
            <a:ln w="0">
              <a:noFill/>
            </a:ln>
          </c:spPr>
          <c:invertIfNegative val="0"/>
          <c:dLbls>
            <c:txPr>
              <a:bodyPr wrap="square"/>
              <a:lstStyle/>
              <a:p>
                <a:pPr>
                  <a:defRPr b="0" sz="1000" strike="noStrike" u="none">
                    <a:solidFill>
                      <a:srgbClr val="000000"/>
                    </a:solidFill>
                    <a:uFillTx/>
                    <a:latin typeface="Calibri"/>
                  </a:defRPr>
                </a:pPr>
              </a:p>
            </c:txPr>
            <c:dLblPos val="outEnd"/>
            <c:showLegendKey val="0"/>
            <c:showVal val="0"/>
            <c:showCatName val="0"/>
            <c:showSerName val="0"/>
            <c:showPercent val="0"/>
            <c:separator>; </c:separator>
            <c:showLeaderLines val="0"/>
            <c:extLst>
              <c:ext xmlns:c15="http://schemas.microsoft.com/office/drawing/2012/chart" uri="{CE6537A1-D6FC-4f65-9D91-7224C49458BB}">
                <c15:showLeaderLines val="0"/>
              </c:ext>
            </c:extLst>
          </c:dLbls>
          <c:cat>
            <c:strRef>
              <c:f>'3Y Grphs'!$B$2:$D$2</c:f>
              <c:strCache>
                <c:ptCount val="3"/>
                <c:pt idx="0">
                  <c:v>Year 1</c:v>
                </c:pt>
                <c:pt idx="1">
                  <c:v>Year 2</c:v>
                </c:pt>
                <c:pt idx="2">
                  <c:v>Year 3</c:v>
                </c:pt>
              </c:strCache>
            </c:strRef>
          </c:cat>
          <c:val>
            <c:numRef>
              <c:f>'3Y Grphs'!$B$5:$D$5</c:f>
              <c:numCache>
                <c:formatCode>\$#,##0_);[RED]"($"#,##0\)</c:formatCode>
                <c:ptCount val="3"/>
                <c:pt idx="0">
                  <c:v>7158057.74494405</c:v>
                </c:pt>
                <c:pt idx="1">
                  <c:v>20895282.5696614</c:v>
                </c:pt>
                <c:pt idx="2">
                  <c:v>35027776.063542</c:v>
                </c:pt>
              </c:numCache>
            </c:numRef>
          </c:val>
        </c:ser>
        <c:ser>
          <c:idx val="2"/>
          <c:order val="2"/>
          <c:tx>
            <c:strRef>
              <c:f>'3Y Grphs'!$A$6</c:f>
              <c:strCache>
                <c:ptCount val="1"/>
                <c:pt idx="0">
                  <c:v>Net Profit</c:v>
                </c:pt>
              </c:strCache>
            </c:strRef>
          </c:tx>
          <c:spPr>
            <a:solidFill>
              <a:srgbClr val="ffc000"/>
            </a:solidFill>
            <a:ln w="0">
              <a:noFill/>
            </a:ln>
          </c:spPr>
          <c:invertIfNegative val="0"/>
          <c:dLbls>
            <c:txPr>
              <a:bodyPr wrap="square"/>
              <a:lstStyle/>
              <a:p>
                <a:pPr>
                  <a:defRPr b="0" sz="1000" strike="noStrike" u="none">
                    <a:solidFill>
                      <a:srgbClr val="000000"/>
                    </a:solidFill>
                    <a:uFillTx/>
                    <a:latin typeface="Calibri"/>
                  </a:defRPr>
                </a:pPr>
              </a:p>
            </c:txPr>
            <c:dLblPos val="outEnd"/>
            <c:showLegendKey val="0"/>
            <c:showVal val="0"/>
            <c:showCatName val="0"/>
            <c:showSerName val="0"/>
            <c:showPercent val="0"/>
            <c:separator>; </c:separator>
            <c:showLeaderLines val="0"/>
            <c:extLst>
              <c:ext xmlns:c15="http://schemas.microsoft.com/office/drawing/2012/chart" uri="{CE6537A1-D6FC-4f65-9D91-7224C49458BB}">
                <c15:showLeaderLines val="0"/>
              </c:ext>
            </c:extLst>
          </c:dLbls>
          <c:cat>
            <c:strRef>
              <c:f>'3Y Grphs'!$B$2:$D$2</c:f>
              <c:strCache>
                <c:ptCount val="3"/>
                <c:pt idx="0">
                  <c:v>Year 1</c:v>
                </c:pt>
                <c:pt idx="1">
                  <c:v>Year 2</c:v>
                </c:pt>
                <c:pt idx="2">
                  <c:v>Year 3</c:v>
                </c:pt>
              </c:strCache>
            </c:strRef>
          </c:cat>
          <c:val>
            <c:numRef>
              <c:f>'3Y Grphs'!$B$6:$D$6</c:f>
              <c:numCache>
                <c:formatCode>\$#,##0_);[RED]"($"#,##0\)</c:formatCode>
                <c:ptCount val="3"/>
                <c:pt idx="0">
                  <c:v>0</c:v>
                </c:pt>
                <c:pt idx="1">
                  <c:v>0</c:v>
                </c:pt>
                <c:pt idx="2">
                  <c:v>0</c:v>
                </c:pt>
              </c:numCache>
            </c:numRef>
          </c:val>
        </c:ser>
        <c:gapWidth val="150"/>
        <c:overlap val="0"/>
        <c:axId val="30473277"/>
        <c:axId val="81953149"/>
      </c:barChart>
      <c:catAx>
        <c:axId val="30473277"/>
        <c:scaling>
          <c:orientation val="minMax"/>
        </c:scaling>
        <c:delete val="0"/>
        <c:axPos val="b"/>
        <c:numFmt formatCode="General" sourceLinked="0"/>
        <c:majorTickMark val="out"/>
        <c:minorTickMark val="none"/>
        <c:tickLblPos val="low"/>
        <c:spPr>
          <a:ln w="9360">
            <a:solidFill>
              <a:srgbClr val="878787"/>
            </a:solidFill>
            <a:round/>
          </a:ln>
        </c:spPr>
        <c:txPr>
          <a:bodyPr rot="-1800000"/>
          <a:lstStyle/>
          <a:p>
            <a:pPr>
              <a:defRPr b="0" sz="1000" strike="noStrike" u="none">
                <a:solidFill>
                  <a:srgbClr val="000000"/>
                </a:solidFill>
                <a:uFillTx/>
                <a:latin typeface="Arial"/>
              </a:defRPr>
            </a:pPr>
          </a:p>
        </c:txPr>
        <c:crossAx val="81953149"/>
        <c:crosses val="autoZero"/>
        <c:auto val="1"/>
        <c:lblAlgn val="ctr"/>
        <c:lblOffset val="100"/>
        <c:noMultiLvlLbl val="0"/>
      </c:catAx>
      <c:valAx>
        <c:axId val="81953149"/>
        <c:scaling>
          <c:orientation val="minMax"/>
        </c:scaling>
        <c:delete val="0"/>
        <c:axPos val="l"/>
        <c:majorGridlines>
          <c:spPr>
            <a:ln w="9360">
              <a:solidFill>
                <a:srgbClr val="878787"/>
              </a:solidFill>
              <a:round/>
            </a:ln>
          </c:spPr>
        </c:majorGridlines>
        <c:numFmt formatCode="\$#,##0_);[RED]&quot;($&quot;#,##0\)" sourceLinked="0"/>
        <c:majorTickMark val="out"/>
        <c:minorTickMark val="none"/>
        <c:tickLblPos val="nextTo"/>
        <c:spPr>
          <a:ln w="9360">
            <a:solidFill>
              <a:srgbClr val="878787"/>
            </a:solidFill>
            <a:round/>
          </a:ln>
        </c:spPr>
        <c:txPr>
          <a:bodyPr/>
          <a:lstStyle/>
          <a:p>
            <a:pPr>
              <a:defRPr b="0" sz="1000" strike="noStrike" u="none">
                <a:solidFill>
                  <a:srgbClr val="000000"/>
                </a:solidFill>
                <a:uFillTx/>
                <a:latin typeface="Calibri"/>
              </a:defRPr>
            </a:pPr>
          </a:p>
        </c:txPr>
        <c:crossAx val="30473277"/>
        <c:crosses val="autoZero"/>
        <c:crossBetween val="between"/>
      </c:valAx>
      <c:spPr>
        <a:noFill/>
        <a:ln w="0">
          <a:noFill/>
        </a:ln>
      </c:spPr>
    </c:plotArea>
    <c:legend>
      <c:legendPos val="r"/>
      <c:layout>
        <c:manualLayout>
          <c:xMode val="edge"/>
          <c:yMode val="edge"/>
          <c:x val="0.849702380952381"/>
          <c:y val="0.308333333333333"/>
          <c:w val="0.144345238095238"/>
          <c:h val="0.522222222222222"/>
        </c:manualLayout>
      </c:layout>
      <c:overlay val="0"/>
      <c:spPr>
        <a:noFill/>
        <a:ln w="0">
          <a:noFill/>
        </a:ln>
      </c:spPr>
      <c:txPr>
        <a:bodyPr/>
        <a:lstStyle/>
        <a:p>
          <a:pPr>
            <a:defRPr b="0" sz="880" strike="noStrike" u="none">
              <a:solidFill>
                <a:srgbClr val="000000"/>
              </a:solidFill>
              <a:uFillTx/>
              <a:latin typeface="Arial"/>
            </a:defRPr>
          </a:pPr>
        </a:p>
      </c:txPr>
    </c:legend>
    <c:plotVisOnly val="1"/>
    <c:dispBlanksAs val="gap"/>
  </c:chart>
  <c:spPr>
    <a:solidFill>
      <a:srgbClr val="ffffff"/>
    </a:solidFill>
    <a:ln w="9360">
      <a:noFill/>
    </a:ln>
  </c:spPr>
</c:chartSpace>
</file>

<file path=xl/charts/chart28.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en-US" sz="1800" strike="noStrike" u="none">
                <a:solidFill>
                  <a:srgbClr val="000000"/>
                </a:solidFill>
                <a:uFillTx/>
                <a:latin typeface="Calibri"/>
              </a:rPr>
              <a:t>Cash Flow</a:t>
            </a:r>
          </a:p>
        </c:rich>
      </c:tx>
      <c:layout>
        <c:manualLayout>
          <c:xMode val="edge"/>
          <c:yMode val="edge"/>
          <c:x val="0.318779501011463"/>
          <c:y val="0.078764375501471"/>
        </c:manualLayout>
      </c:layout>
      <c:overlay val="0"/>
      <c:spPr>
        <a:noFill/>
        <a:ln w="25560">
          <a:noFill/>
        </a:ln>
      </c:spPr>
    </c:title>
    <c:autoTitleDeleted val="0"/>
    <c:plotArea>
      <c:layout>
        <c:manualLayout>
          <c:layoutTarget val="inner"/>
          <c:xMode val="edge"/>
          <c:yMode val="edge"/>
          <c:x val="0.107552258934592"/>
          <c:y val="0.212891147365606"/>
          <c:w val="0.691897055518094"/>
          <c:h val="0.630248729606847"/>
        </c:manualLayout>
      </c:layout>
      <c:barChart>
        <c:barDir val="col"/>
        <c:grouping val="clustered"/>
        <c:varyColors val="0"/>
        <c:ser>
          <c:idx val="0"/>
          <c:order val="0"/>
          <c:tx>
            <c:strRef>
              <c:f>'3Y Grphs'!$A$32</c:f>
              <c:strCache>
                <c:ptCount val="1"/>
                <c:pt idx="0">
                  <c:v>Net Cash Flow</c:v>
                </c:pt>
              </c:strCache>
            </c:strRef>
          </c:tx>
          <c:spPr>
            <a:solidFill>
              <a:srgbClr val="8eb4e3"/>
            </a:solidFill>
            <a:ln w="0">
              <a:noFill/>
            </a:ln>
          </c:spPr>
          <c:invertIfNegative val="0"/>
          <c:dLbls>
            <c:txPr>
              <a:bodyPr wrap="square"/>
              <a:lstStyle/>
              <a:p>
                <a:pPr>
                  <a:defRPr b="0" sz="1000" strike="noStrike" u="none">
                    <a:solidFill>
                      <a:srgbClr val="000000"/>
                    </a:solidFill>
                    <a:uFillTx/>
                    <a:latin typeface="Calibri"/>
                  </a:defRPr>
                </a:pPr>
              </a:p>
            </c:txPr>
            <c:dLblPos val="outEnd"/>
            <c:showLegendKey val="0"/>
            <c:showVal val="0"/>
            <c:showCatName val="0"/>
            <c:showSerName val="0"/>
            <c:showPercent val="0"/>
            <c:separator>; </c:separator>
            <c:showLeaderLines val="0"/>
            <c:extLst>
              <c:ext xmlns:c15="http://schemas.microsoft.com/office/drawing/2012/chart" uri="{CE6537A1-D6FC-4f65-9D91-7224C49458BB}">
                <c15:showLeaderLines val="0"/>
              </c:ext>
            </c:extLst>
          </c:dLbls>
          <c:cat>
            <c:strRef>
              <c:f>'3Y Grphs'!$B$31:$D$31</c:f>
              <c:strCache>
                <c:ptCount val="3"/>
                <c:pt idx="0">
                  <c:v>Year 1</c:v>
                </c:pt>
                <c:pt idx="1">
                  <c:v>Year 2</c:v>
                </c:pt>
                <c:pt idx="2">
                  <c:v>Year 3</c:v>
                </c:pt>
              </c:strCache>
            </c:strRef>
          </c:cat>
          <c:val>
            <c:numRef>
              <c:f>'3Y Grphs'!$B$32:$D$32</c:f>
              <c:numCache>
                <c:formatCode>\$#,##0_);[RED]"($"#,##0\)</c:formatCode>
                <c:ptCount val="3"/>
                <c:pt idx="0">
                  <c:v>6344386.38122366</c:v>
                </c:pt>
                <c:pt idx="1">
                  <c:v>7591274.12745243</c:v>
                </c:pt>
                <c:pt idx="2">
                  <c:v>40237740.4209782</c:v>
                </c:pt>
              </c:numCache>
            </c:numRef>
          </c:val>
        </c:ser>
        <c:ser>
          <c:idx val="1"/>
          <c:order val="1"/>
          <c:tx>
            <c:strRef>
              <c:f>'3Y Grphs'!$A$33</c:f>
              <c:strCache>
                <c:ptCount val="1"/>
                <c:pt idx="0">
                  <c:v>Cash Balance</c:v>
                </c:pt>
              </c:strCache>
            </c:strRef>
          </c:tx>
          <c:spPr>
            <a:solidFill>
              <a:srgbClr val="99cc00"/>
            </a:solidFill>
            <a:ln w="0">
              <a:solidFill>
                <a:srgbClr val="92d050"/>
              </a:solidFill>
            </a:ln>
          </c:spPr>
          <c:invertIfNegative val="0"/>
          <c:dLbls>
            <c:txPr>
              <a:bodyPr wrap="square"/>
              <a:lstStyle/>
              <a:p>
                <a:pPr>
                  <a:defRPr b="0" sz="1000" strike="noStrike" u="none">
                    <a:solidFill>
                      <a:srgbClr val="000000"/>
                    </a:solidFill>
                    <a:uFillTx/>
                    <a:latin typeface="Calibri"/>
                  </a:defRPr>
                </a:pPr>
              </a:p>
            </c:txPr>
            <c:dLblPos val="outEnd"/>
            <c:showLegendKey val="0"/>
            <c:showVal val="0"/>
            <c:showCatName val="0"/>
            <c:showSerName val="0"/>
            <c:showPercent val="0"/>
            <c:separator>; </c:separator>
            <c:showLeaderLines val="0"/>
            <c:leaderLines>
              <c:spPr>
                <a:ln>
                  <a:solidFill>
                    <a:srgbClr val="92d050"/>
                  </a:solidFill>
                </a:ln>
              </c:spPr>
            </c:leaderLines>
            <c:extLst>
              <c:ext xmlns:c15="http://schemas.microsoft.com/office/drawing/2012/chart" uri="{CE6537A1-D6FC-4f65-9D91-7224C49458BB}">
                <c15:showLeaderLines val="0"/>
              </c:ext>
            </c:extLst>
          </c:dLbls>
          <c:cat>
            <c:strRef>
              <c:f>'3Y Grphs'!$B$31:$D$31</c:f>
              <c:strCache>
                <c:ptCount val="3"/>
                <c:pt idx="0">
                  <c:v>Year 1</c:v>
                </c:pt>
                <c:pt idx="1">
                  <c:v>Year 2</c:v>
                </c:pt>
                <c:pt idx="2">
                  <c:v>Year 3</c:v>
                </c:pt>
              </c:strCache>
            </c:strRef>
          </c:cat>
          <c:val>
            <c:numRef>
              <c:f>'3Y Grphs'!$B$33:$D$33</c:f>
              <c:numCache>
                <c:formatCode>\$#,##0_);[RED]"($"#,##0\)</c:formatCode>
                <c:ptCount val="3"/>
                <c:pt idx="0">
                  <c:v>6344386.38122366</c:v>
                </c:pt>
                <c:pt idx="1">
                  <c:v>13935660.5086761</c:v>
                </c:pt>
                <c:pt idx="2">
                  <c:v>54173400.9296542</c:v>
                </c:pt>
              </c:numCache>
            </c:numRef>
          </c:val>
        </c:ser>
        <c:gapWidth val="150"/>
        <c:overlap val="0"/>
        <c:axId val="23986600"/>
        <c:axId val="47242471"/>
      </c:barChart>
      <c:catAx>
        <c:axId val="23986600"/>
        <c:scaling>
          <c:orientation val="minMax"/>
        </c:scaling>
        <c:delete val="0"/>
        <c:axPos val="b"/>
        <c:numFmt formatCode="General" sourceLinked="0"/>
        <c:majorTickMark val="out"/>
        <c:minorTickMark val="none"/>
        <c:tickLblPos val="low"/>
        <c:spPr>
          <a:ln w="9360">
            <a:solidFill>
              <a:srgbClr val="878787"/>
            </a:solidFill>
            <a:round/>
          </a:ln>
        </c:spPr>
        <c:txPr>
          <a:bodyPr rot="-1800000"/>
          <a:lstStyle/>
          <a:p>
            <a:pPr>
              <a:defRPr b="0" sz="1000" strike="noStrike" u="none">
                <a:solidFill>
                  <a:srgbClr val="000000"/>
                </a:solidFill>
                <a:uFillTx/>
                <a:latin typeface="Calibri"/>
              </a:defRPr>
            </a:pPr>
          </a:p>
        </c:txPr>
        <c:crossAx val="47242471"/>
        <c:crosses val="autoZero"/>
        <c:auto val="1"/>
        <c:lblAlgn val="ctr"/>
        <c:lblOffset val="100"/>
        <c:noMultiLvlLbl val="0"/>
      </c:catAx>
      <c:valAx>
        <c:axId val="47242471"/>
        <c:scaling>
          <c:orientation val="minMax"/>
        </c:scaling>
        <c:delete val="0"/>
        <c:axPos val="l"/>
        <c:majorGridlines>
          <c:spPr>
            <a:ln w="9360">
              <a:solidFill>
                <a:srgbClr val="878787"/>
              </a:solidFill>
              <a:round/>
            </a:ln>
          </c:spPr>
        </c:majorGridlines>
        <c:numFmt formatCode="\$#,##0_);[RED]&quot;($&quot;#,##0\)" sourceLinked="0"/>
        <c:majorTickMark val="out"/>
        <c:minorTickMark val="none"/>
        <c:tickLblPos val="nextTo"/>
        <c:spPr>
          <a:ln w="9360">
            <a:solidFill>
              <a:srgbClr val="878787"/>
            </a:solidFill>
            <a:round/>
          </a:ln>
        </c:spPr>
        <c:txPr>
          <a:bodyPr/>
          <a:lstStyle/>
          <a:p>
            <a:pPr>
              <a:defRPr b="0" sz="1000" strike="noStrike" u="none">
                <a:solidFill>
                  <a:srgbClr val="000000"/>
                </a:solidFill>
                <a:uFillTx/>
                <a:latin typeface="Calibri"/>
              </a:defRPr>
            </a:pPr>
          </a:p>
        </c:txPr>
        <c:crossAx val="23986600"/>
        <c:crosses val="autoZero"/>
        <c:crossBetween val="between"/>
      </c:valAx>
      <c:spPr>
        <a:noFill/>
        <a:ln w="0">
          <a:noFill/>
        </a:ln>
      </c:spPr>
    </c:plotArea>
    <c:legend>
      <c:legendPos val="r"/>
      <c:layout>
        <c:manualLayout>
          <c:xMode val="edge"/>
          <c:yMode val="edge"/>
          <c:x val="0.822966507177034"/>
          <c:y val="0.305295950155763"/>
          <c:w val="0.170653907496013"/>
          <c:h val="0.517133956386293"/>
        </c:manualLayout>
      </c:layout>
      <c:overlay val="0"/>
      <c:spPr>
        <a:noFill/>
        <a:ln w="0">
          <a:noFill/>
        </a:ln>
      </c:spPr>
      <c:txPr>
        <a:bodyPr/>
        <a:lstStyle/>
        <a:p>
          <a:pPr>
            <a:defRPr b="0" sz="880" strike="noStrike" u="none">
              <a:solidFill>
                <a:srgbClr val="000000"/>
              </a:solidFill>
              <a:uFillTx/>
              <a:latin typeface="Calibri"/>
            </a:defRPr>
          </a:pPr>
        </a:p>
      </c:txPr>
    </c:legend>
    <c:plotVisOnly val="1"/>
    <c:dispBlanksAs val="gap"/>
  </c:chart>
  <c:spPr>
    <a:solidFill>
      <a:srgbClr val="ffffff"/>
    </a:solidFill>
    <a:ln w="9360">
      <a:noFill/>
    </a:ln>
  </c:spPr>
</c:chartSpace>
</file>

<file path=xl/charts/chart29.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en-US" sz="1800" strike="noStrike" u="none">
                <a:solidFill>
                  <a:srgbClr val="000000"/>
                </a:solidFill>
                <a:uFillTx/>
                <a:latin typeface="Calibri"/>
              </a:rPr>
              <a:t>Annual Revenue</a:t>
            </a:r>
          </a:p>
        </c:rich>
      </c:tx>
      <c:layout>
        <c:manualLayout>
          <c:xMode val="edge"/>
          <c:yMode val="edge"/>
          <c:x val="0.319960668633235"/>
          <c:y val="0.00328558286239979"/>
        </c:manualLayout>
      </c:layout>
      <c:overlay val="0"/>
      <c:spPr>
        <a:noFill/>
        <a:ln w="25560">
          <a:noFill/>
        </a:ln>
      </c:spPr>
    </c:title>
    <c:autoTitleDeleted val="0"/>
    <c:plotArea>
      <c:layout>
        <c:manualLayout>
          <c:layoutTarget val="inner"/>
          <c:xMode val="edge"/>
          <c:yMode val="edge"/>
          <c:x val="0.0889872173058014"/>
          <c:y val="0.146931265606519"/>
          <c:w val="0.684464110127827"/>
          <c:h val="0.587593639111578"/>
        </c:manualLayout>
      </c:layout>
      <c:barChart>
        <c:barDir val="col"/>
        <c:grouping val="stacked"/>
        <c:varyColors val="0"/>
        <c:ser>
          <c:idx val="0"/>
          <c:order val="0"/>
          <c:tx>
            <c:strRef>
              <c:f>'3Y Grphs'!$A$96</c:f>
              <c:strCache>
                <c:ptCount val="1"/>
                <c:pt idx="0">
                  <c:v/>
                </c:pt>
              </c:strCache>
            </c:strRef>
          </c:tx>
          <c:spPr>
            <a:solidFill>
              <a:srgbClr val="8eb4e3"/>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0"/>
            <c:extLst>
              <c:ext xmlns:c15="http://schemas.microsoft.com/office/drawing/2012/chart" uri="{CE6537A1-D6FC-4f65-9D91-7224C49458BB}">
                <c15:showLeaderLines val="0"/>
              </c:ext>
            </c:extLst>
          </c:dLbls>
          <c:cat>
            <c:strRef>
              <c:f>'3Y Grphs'!$B$95:$D$95</c:f>
              <c:strCache>
                <c:ptCount val="3"/>
                <c:pt idx="0">
                  <c:v>Year 1</c:v>
                </c:pt>
                <c:pt idx="1">
                  <c:v>Year 2</c:v>
                </c:pt>
                <c:pt idx="2">
                  <c:v>Year 3</c:v>
                </c:pt>
              </c:strCache>
            </c:strRef>
          </c:cat>
          <c:val>
            <c:numRef>
              <c:f>'3Y Grphs'!$B$96:$D$96</c:f>
              <c:numCache>
                <c:formatCode>General</c:formatCode>
                <c:ptCount val="3"/>
              </c:numCache>
            </c:numRef>
          </c:val>
        </c:ser>
        <c:ser>
          <c:idx val="1"/>
          <c:order val="1"/>
          <c:tx>
            <c:strRef>
              <c:f>'3Y Grphs'!$A$97</c:f>
              <c:strCache>
                <c:ptCount val="1"/>
                <c:pt idx="0">
                  <c:v/>
                </c:pt>
              </c:strCache>
            </c:strRef>
          </c:tx>
          <c:spPr>
            <a:solidFill>
              <a:srgbClr val="99cc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0"/>
            <c:extLst>
              <c:ext xmlns:c15="http://schemas.microsoft.com/office/drawing/2012/chart" uri="{CE6537A1-D6FC-4f65-9D91-7224C49458BB}">
                <c15:showLeaderLines val="0"/>
              </c:ext>
            </c:extLst>
          </c:dLbls>
          <c:cat>
            <c:strRef>
              <c:f>'3Y Grphs'!$B$95:$D$95</c:f>
              <c:strCache>
                <c:ptCount val="3"/>
                <c:pt idx="0">
                  <c:v>Year 1</c:v>
                </c:pt>
                <c:pt idx="1">
                  <c:v>Year 2</c:v>
                </c:pt>
                <c:pt idx="2">
                  <c:v>Year 3</c:v>
                </c:pt>
              </c:strCache>
            </c:strRef>
          </c:cat>
          <c:val>
            <c:numRef>
              <c:f>'3Y Grphs'!$B$97:$D$97</c:f>
              <c:numCache>
                <c:formatCode>General</c:formatCode>
                <c:ptCount val="3"/>
              </c:numCache>
            </c:numRef>
          </c:val>
        </c:ser>
        <c:ser>
          <c:idx val="2"/>
          <c:order val="2"/>
          <c:tx>
            <c:strRef>
              <c:f>'3Y Grphs'!$A$98</c:f>
              <c:strCache>
                <c:ptCount val="1"/>
                <c:pt idx="0">
                  <c:v/>
                </c:pt>
              </c:strCache>
            </c:strRef>
          </c:tx>
          <c:spPr>
            <a:solidFill>
              <a:srgbClr val="ffff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0"/>
            <c:extLst>
              <c:ext xmlns:c15="http://schemas.microsoft.com/office/drawing/2012/chart" uri="{CE6537A1-D6FC-4f65-9D91-7224C49458BB}">
                <c15:showLeaderLines val="0"/>
              </c:ext>
            </c:extLst>
          </c:dLbls>
          <c:cat>
            <c:strRef>
              <c:f>'3Y Grphs'!$B$95:$D$95</c:f>
              <c:strCache>
                <c:ptCount val="3"/>
                <c:pt idx="0">
                  <c:v>Year 1</c:v>
                </c:pt>
                <c:pt idx="1">
                  <c:v>Year 2</c:v>
                </c:pt>
                <c:pt idx="2">
                  <c:v>Year 3</c:v>
                </c:pt>
              </c:strCache>
            </c:strRef>
          </c:cat>
          <c:val>
            <c:numRef>
              <c:f>'3Y Grphs'!$B$98:$D$98</c:f>
              <c:numCache>
                <c:formatCode>General</c:formatCode>
                <c:ptCount val="3"/>
              </c:numCache>
            </c:numRef>
          </c:val>
        </c:ser>
        <c:ser>
          <c:idx val="3"/>
          <c:order val="3"/>
          <c:tx>
            <c:strRef>
              <c:f>'3Y Grphs'!$A$99</c:f>
              <c:strCache>
                <c:ptCount val="1"/>
                <c:pt idx="0">
                  <c:v/>
                </c:pt>
              </c:strCache>
            </c:strRef>
          </c:tx>
          <c:spPr>
            <a:solidFill>
              <a:srgbClr val="ffc00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0"/>
            <c:extLst>
              <c:ext xmlns:c15="http://schemas.microsoft.com/office/drawing/2012/chart" uri="{CE6537A1-D6FC-4f65-9D91-7224C49458BB}">
                <c15:showLeaderLines val="0"/>
              </c:ext>
            </c:extLst>
          </c:dLbls>
          <c:cat>
            <c:strRef>
              <c:f>'3Y Grphs'!$B$95:$D$95</c:f>
              <c:strCache>
                <c:ptCount val="3"/>
                <c:pt idx="0">
                  <c:v>Year 1</c:v>
                </c:pt>
                <c:pt idx="1">
                  <c:v>Year 2</c:v>
                </c:pt>
                <c:pt idx="2">
                  <c:v>Year 3</c:v>
                </c:pt>
              </c:strCache>
            </c:strRef>
          </c:cat>
          <c:val>
            <c:numRef>
              <c:f>'3Y Grphs'!$B$99:$D$99</c:f>
              <c:numCache>
                <c:formatCode>General</c:formatCode>
                <c:ptCount val="3"/>
              </c:numCache>
            </c:numRef>
          </c:val>
        </c:ser>
        <c:ser>
          <c:idx val="4"/>
          <c:order val="4"/>
          <c:tx>
            <c:strRef>
              <c:f>'3Y Grphs'!$A$100</c:f>
              <c:strCache>
                <c:ptCount val="1"/>
                <c:pt idx="0">
                  <c:v/>
                </c:pt>
              </c:strCache>
            </c:strRef>
          </c:tx>
          <c:spPr>
            <a:solidFill>
              <a:srgbClr val="953735"/>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0"/>
            <c:extLst>
              <c:ext xmlns:c15="http://schemas.microsoft.com/office/drawing/2012/chart" uri="{CE6537A1-D6FC-4f65-9D91-7224C49458BB}">
                <c15:showLeaderLines val="0"/>
              </c:ext>
            </c:extLst>
          </c:dLbls>
          <c:cat>
            <c:strRef>
              <c:f>'3Y Grphs'!$B$95:$D$95</c:f>
              <c:strCache>
                <c:ptCount val="3"/>
                <c:pt idx="0">
                  <c:v>Year 1</c:v>
                </c:pt>
                <c:pt idx="1">
                  <c:v>Year 2</c:v>
                </c:pt>
                <c:pt idx="2">
                  <c:v>Year 3</c:v>
                </c:pt>
              </c:strCache>
            </c:strRef>
          </c:cat>
          <c:val>
            <c:numRef>
              <c:f>'3Y Grphs'!$B$100:$D$100</c:f>
              <c:numCache>
                <c:formatCode>General</c:formatCode>
                <c:ptCount val="3"/>
              </c:numCache>
            </c:numRef>
          </c:val>
        </c:ser>
        <c:ser>
          <c:idx val="5"/>
          <c:order val="5"/>
          <c:tx>
            <c:strRef>
              <c:f>'3Y Grphs'!$A$101</c:f>
              <c:strCache>
                <c:ptCount val="1"/>
                <c:pt idx="0">
                  <c:v/>
                </c:pt>
              </c:strCache>
            </c:strRef>
          </c:tx>
          <c:spPr>
            <a:solidFill>
              <a:srgbClr val="808080"/>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0"/>
            <c:extLst>
              <c:ext xmlns:c15="http://schemas.microsoft.com/office/drawing/2012/chart" uri="{CE6537A1-D6FC-4f65-9D91-7224C49458BB}">
                <c15:showLeaderLines val="0"/>
              </c:ext>
            </c:extLst>
          </c:dLbls>
          <c:cat>
            <c:strRef>
              <c:f>'3Y Grphs'!$B$95:$D$95</c:f>
              <c:strCache>
                <c:ptCount val="3"/>
                <c:pt idx="0">
                  <c:v>Year 1</c:v>
                </c:pt>
                <c:pt idx="1">
                  <c:v>Year 2</c:v>
                </c:pt>
                <c:pt idx="2">
                  <c:v>Year 3</c:v>
                </c:pt>
              </c:strCache>
            </c:strRef>
          </c:cat>
          <c:val>
            <c:numRef>
              <c:f>'3Y Grphs'!$B$101:$D$101</c:f>
              <c:numCache>
                <c:formatCode>General</c:formatCode>
                <c:ptCount val="3"/>
              </c:numCache>
            </c:numRef>
          </c:val>
        </c:ser>
        <c:ser>
          <c:idx val="6"/>
          <c:order val="6"/>
          <c:tx>
            <c:strRef>
              <c:f>'3Y Grphs'!$A$102</c:f>
              <c:strCache>
                <c:ptCount val="1"/>
                <c:pt idx="0">
                  <c:v/>
                </c:pt>
              </c:strCache>
            </c:strRef>
          </c:tx>
          <c:spPr>
            <a:solidFill>
              <a:srgbClr val="93a9ce"/>
            </a:solidFill>
            <a:ln w="0">
              <a:noFill/>
            </a:ln>
          </c:spPr>
          <c:invertIfNegative val="0"/>
          <c:dLbls>
            <c:txPr>
              <a:bodyPr wrap="square"/>
              <a:lstStyle/>
              <a:p>
                <a:pPr>
                  <a:defRPr b="0" sz="1000" strike="noStrike" u="none">
                    <a:solidFill>
                      <a:srgbClr val="000000"/>
                    </a:solidFill>
                    <a:uFillTx/>
                    <a:latin typeface="Calibri"/>
                  </a:defRPr>
                </a:pPr>
              </a:p>
            </c:txPr>
            <c:dLblPos val="ctr"/>
            <c:showLegendKey val="0"/>
            <c:showVal val="0"/>
            <c:showCatName val="0"/>
            <c:showSerName val="0"/>
            <c:showPercent val="0"/>
            <c:separator>; </c:separator>
            <c:showLeaderLines val="0"/>
            <c:extLst>
              <c:ext xmlns:c15="http://schemas.microsoft.com/office/drawing/2012/chart" uri="{CE6537A1-D6FC-4f65-9D91-7224C49458BB}">
                <c15:showLeaderLines val="0"/>
              </c:ext>
            </c:extLst>
          </c:dLbls>
          <c:cat>
            <c:strRef>
              <c:f>'3Y Grphs'!$B$95:$D$95</c:f>
              <c:strCache>
                <c:ptCount val="3"/>
                <c:pt idx="0">
                  <c:v>Year 1</c:v>
                </c:pt>
                <c:pt idx="1">
                  <c:v>Year 2</c:v>
                </c:pt>
                <c:pt idx="2">
                  <c:v>Year 3</c:v>
                </c:pt>
              </c:strCache>
            </c:strRef>
          </c:cat>
          <c:val>
            <c:numRef>
              <c:f>'3Y Grphs'!$B$102:$D$102</c:f>
              <c:numCache>
                <c:formatCode>General</c:formatCode>
                <c:ptCount val="3"/>
              </c:numCache>
            </c:numRef>
          </c:val>
        </c:ser>
        <c:gapWidth val="135"/>
        <c:overlap val="100"/>
        <c:axId val="85107078"/>
        <c:axId val="20087377"/>
      </c:barChart>
      <c:catAx>
        <c:axId val="85107078"/>
        <c:scaling>
          <c:orientation val="minMax"/>
        </c:scaling>
        <c:delete val="0"/>
        <c:axPos val="b"/>
        <c:numFmt formatCode="General" sourceLinked="0"/>
        <c:majorTickMark val="out"/>
        <c:minorTickMark val="none"/>
        <c:tickLblPos val="low"/>
        <c:spPr>
          <a:ln w="9360">
            <a:solidFill>
              <a:srgbClr val="878787"/>
            </a:solidFill>
            <a:round/>
          </a:ln>
        </c:spPr>
        <c:txPr>
          <a:bodyPr rot="-1800000"/>
          <a:lstStyle/>
          <a:p>
            <a:pPr>
              <a:defRPr b="0" sz="1000" strike="noStrike" u="none">
                <a:solidFill>
                  <a:srgbClr val="000000"/>
                </a:solidFill>
                <a:uFillTx/>
                <a:latin typeface="Calibri"/>
              </a:defRPr>
            </a:pPr>
          </a:p>
        </c:txPr>
        <c:crossAx val="20087377"/>
        <c:crosses val="autoZero"/>
        <c:auto val="1"/>
        <c:lblAlgn val="ctr"/>
        <c:lblOffset val="100"/>
        <c:noMultiLvlLbl val="0"/>
      </c:catAx>
      <c:valAx>
        <c:axId val="20087377"/>
        <c:scaling>
          <c:orientation val="minMax"/>
        </c:scaling>
        <c:delete val="0"/>
        <c:axPos val="l"/>
        <c:majorGridlines>
          <c:spPr>
            <a:ln w="9360">
              <a:solidFill>
                <a:srgbClr val="878787"/>
              </a:solidFill>
              <a:round/>
            </a:ln>
          </c:spPr>
        </c:majorGridlines>
        <c:numFmt formatCode="\$#,##0_);[RED]&quot;($&quot;#,##0\)" sourceLinked="0"/>
        <c:majorTickMark val="out"/>
        <c:minorTickMark val="none"/>
        <c:tickLblPos val="nextTo"/>
        <c:spPr>
          <a:ln w="9360">
            <a:solidFill>
              <a:srgbClr val="878787"/>
            </a:solidFill>
            <a:round/>
          </a:ln>
        </c:spPr>
        <c:txPr>
          <a:bodyPr/>
          <a:lstStyle/>
          <a:p>
            <a:pPr>
              <a:defRPr b="0" sz="1000" strike="noStrike" u="none">
                <a:solidFill>
                  <a:srgbClr val="000000"/>
                </a:solidFill>
                <a:uFillTx/>
                <a:latin typeface="Calibri"/>
              </a:defRPr>
            </a:pPr>
          </a:p>
        </c:txPr>
        <c:crossAx val="85107078"/>
        <c:crosses val="autoZero"/>
        <c:crossBetween val="between"/>
      </c:valAx>
      <c:spPr>
        <a:noFill/>
        <a:ln w="0">
          <a:noFill/>
        </a:ln>
      </c:spPr>
    </c:plotArea>
    <c:plotVisOnly val="1"/>
    <c:dispBlanksAs val="gap"/>
  </c:chart>
  <c:spPr>
    <a:solidFill>
      <a:srgbClr val="ffffff"/>
    </a:solidFill>
    <a:ln w="9360">
      <a:noFill/>
    </a:ln>
  </c:spPr>
</c:chartSpace>
</file>

<file path=xl/charts/chart3.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en-US" sz="350" strike="noStrike" u="none">
                <a:solidFill>
                  <a:srgbClr val="000000"/>
                </a:solidFill>
                <a:uFillTx/>
                <a:latin typeface="Arial"/>
                <a:ea typeface="Arial"/>
              </a:rPr>
              <a:t>Year 1 Break-even Analysis</a:t>
            </a:r>
          </a:p>
        </c:rich>
      </c:tx>
      <c:overlay val="0"/>
      <c:spPr>
        <a:noFill/>
        <a:ln w="25560">
          <a:noFill/>
        </a:ln>
      </c:spPr>
    </c:title>
    <c:autoTitleDeleted val="0"/>
    <c:plotArea>
      <c:lineChart>
        <c:grouping val="standard"/>
        <c:varyColors val="0"/>
        <c:ser>
          <c:idx val="0"/>
          <c:order val="0"/>
          <c:spPr>
            <a:solidFill>
              <a:srgbClr val="900000"/>
            </a:solidFill>
            <a:ln w="25560">
              <a:solidFill>
                <a:srgbClr val="900000"/>
              </a:solidFill>
              <a:round/>
            </a:ln>
          </c:spPr>
          <c:marker>
            <c:symbol val="none"/>
          </c:marker>
          <c:smooth val="1"/>
        </c:ser>
        <c:hiLowLines>
          <c:spPr>
            <a:ln w="0">
              <a:noFill/>
            </a:ln>
          </c:spPr>
        </c:hiLowLines>
        <c:marker val="0"/>
        <c:axId val="11741164"/>
        <c:axId val="96267939"/>
      </c:lineChart>
      <c:catAx>
        <c:axId val="11741164"/>
        <c:scaling>
          <c:orientation val="minMax"/>
        </c:scaling>
        <c:delete val="0"/>
        <c:axPos val="b"/>
        <c:minorGridlines>
          <c:spPr>
            <a:ln w="3240">
              <a:solidFill>
                <a:srgbClr val="808080"/>
              </a:solidFill>
              <a:round/>
            </a:ln>
          </c:spPr>
        </c:minorGridlines>
        <c:title>
          <c:tx>
            <c:rich>
              <a:bodyPr rot="0"/>
              <a:lstStyle/>
              <a:p>
                <a:pPr>
                  <a:defRPr b="0" sz="1300" strike="noStrike" u="none">
                    <a:uFillTx/>
                    <a:latin typeface="Arial"/>
                  </a:defRPr>
                </a:pPr>
                <a:r>
                  <a:rPr b="1" lang="en-US" sz="275" strike="noStrike" u="none">
                    <a:solidFill>
                      <a:srgbClr val="000000"/>
                    </a:solidFill>
                    <a:uFillTx/>
                    <a:latin typeface="Times New Roman"/>
                    <a:ea typeface="Times New Roman"/>
                  </a:rPr>
                  <a:t>Monthly Revenue to Break Even</a:t>
                </a:r>
              </a:p>
            </c:rich>
          </c:tx>
          <c:overlay val="0"/>
          <c:spPr>
            <a:noFill/>
            <a:ln w="25560">
              <a:noFill/>
            </a:ln>
          </c:spPr>
        </c:title>
        <c:numFmt formatCode="\$#,##0" sourceLinked="0"/>
        <c:majorTickMark val="none"/>
        <c:minorTickMark val="none"/>
        <c:tickLblPos val="low"/>
        <c:spPr>
          <a:ln w="3240">
            <a:solidFill>
              <a:srgbClr val="808080"/>
            </a:solidFill>
            <a:round/>
          </a:ln>
        </c:spPr>
        <c:txPr>
          <a:bodyPr/>
          <a:lstStyle/>
          <a:p>
            <a:pPr>
              <a:defRPr b="0" sz="200" strike="noStrike" u="none">
                <a:solidFill>
                  <a:srgbClr val="000000"/>
                </a:solidFill>
                <a:uFillTx/>
                <a:latin typeface="Times New Roman"/>
                <a:ea typeface="Times New Roman"/>
              </a:defRPr>
            </a:pPr>
          </a:p>
        </c:txPr>
        <c:crossAx val="96267939"/>
        <c:crosses val="autoZero"/>
        <c:auto val="1"/>
        <c:lblAlgn val="ctr"/>
        <c:lblOffset val="100"/>
        <c:noMultiLvlLbl val="0"/>
      </c:catAx>
      <c:valAx>
        <c:axId val="96267939"/>
        <c:scaling>
          <c:orientation val="minMax"/>
        </c:scaling>
        <c:delete val="0"/>
        <c:axPos val="l"/>
        <c:majorGridlines>
          <c:spPr>
            <a:ln w="3240">
              <a:solidFill>
                <a:srgbClr val="808080"/>
              </a:solidFill>
              <a:round/>
            </a:ln>
          </c:spPr>
        </c:majorGridlines>
        <c:numFmt formatCode="\$#,##0_);[RED]&quot;($&quot;#,##0\)" sourceLinked="0"/>
        <c:majorTickMark val="none"/>
        <c:minorTickMark val="none"/>
        <c:tickLblPos val="nextTo"/>
        <c:spPr>
          <a:ln w="3240">
            <a:solidFill>
              <a:srgbClr val="808080"/>
            </a:solidFill>
            <a:round/>
          </a:ln>
        </c:spPr>
        <c:txPr>
          <a:bodyPr/>
          <a:lstStyle/>
          <a:p>
            <a:pPr>
              <a:defRPr b="0" sz="200" strike="noStrike" u="none">
                <a:solidFill>
                  <a:srgbClr val="000000"/>
                </a:solidFill>
                <a:uFillTx/>
                <a:latin typeface="Times New Roman"/>
                <a:ea typeface="Times New Roman"/>
              </a:defRPr>
            </a:pPr>
          </a:p>
        </c:txPr>
        <c:crossAx val="11741164"/>
        <c:crosses val="autoZero"/>
        <c:crossBetween val="midCat"/>
      </c:valAx>
      <c:spPr>
        <a:noFill/>
        <a:ln w="0">
          <a:noFill/>
        </a:ln>
      </c:spPr>
    </c:plotArea>
    <c:plotVisOnly val="1"/>
    <c:dispBlanksAs val="gap"/>
  </c:chart>
  <c:spPr>
    <a:solidFill>
      <a:srgbClr val="ffffff"/>
    </a:solidFill>
    <a:ln w="9360">
      <a:noFill/>
    </a:ln>
  </c:spPr>
</c:chartSpace>
</file>

<file path=xl/charts/chart30.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en-US" sz="1800" strike="noStrike" u="none">
                <a:solidFill>
                  <a:srgbClr val="000000"/>
                </a:solidFill>
                <a:uFillTx/>
                <a:latin typeface="Arial"/>
                <a:ea typeface="Arial"/>
              </a:rPr>
              <a:t>Revenue &amp; Expenses Year 1 Monthly</a:t>
            </a:r>
          </a:p>
        </c:rich>
      </c:tx>
      <c:layout>
        <c:manualLayout>
          <c:xMode val="edge"/>
          <c:yMode val="edge"/>
          <c:x val="0.161482722926012"/>
          <c:y val="0.0536860023569465"/>
        </c:manualLayout>
      </c:layout>
      <c:overlay val="0"/>
      <c:spPr>
        <a:noFill/>
        <a:ln w="25560">
          <a:noFill/>
        </a:ln>
      </c:spPr>
    </c:title>
    <c:autoTitleDeleted val="0"/>
    <c:plotArea>
      <c:layout>
        <c:manualLayout>
          <c:layoutTarget val="inner"/>
          <c:xMode val="edge"/>
          <c:yMode val="edge"/>
          <c:x val="0.0550105979198502"/>
          <c:y val="0.216708131465235"/>
          <c:w val="0.735791393503229"/>
          <c:h val="0.519706691109074"/>
        </c:manualLayout>
      </c:layout>
      <c:lineChart>
        <c:grouping val="standard"/>
        <c:varyColors val="0"/>
        <c:ser>
          <c:idx val="0"/>
          <c:order val="0"/>
          <c:tx>
            <c:strRef>
              <c:f>'3Y Grphs'!$A$130</c:f>
              <c:strCache>
                <c:ptCount val="1"/>
                <c:pt idx="0">
                  <c:v>Revenue</c:v>
                </c:pt>
              </c:strCache>
            </c:strRef>
          </c:tx>
          <c:spPr>
            <a:solidFill>
              <a:srgbClr val="99ccff"/>
            </a:solidFill>
            <a:ln w="38160">
              <a:solidFill>
                <a:srgbClr val="99ccff"/>
              </a:solidFill>
              <a:round/>
            </a:ln>
          </c:spPr>
          <c:marker>
            <c:symbol val="none"/>
          </c:marker>
          <c:dLbls>
            <c:txPr>
              <a:bodyPr wrap="square"/>
              <a:lstStyle/>
              <a:p>
                <a:pPr>
                  <a:defRPr b="0" sz="1000" strike="noStrike" u="none">
                    <a:solidFill>
                      <a:srgbClr val="000000"/>
                    </a:solidFill>
                    <a:uFillTx/>
                    <a:latin typeface="Calibri"/>
                  </a:defRPr>
                </a:pPr>
              </a:p>
            </c:txPr>
            <c:dLblPos val="r"/>
            <c:showLegendKey val="0"/>
            <c:showVal val="0"/>
            <c:showCatName val="0"/>
            <c:showSerName val="0"/>
            <c:showPercent val="0"/>
            <c:separator>; </c:separator>
            <c:showLeaderLines val="0"/>
            <c:leaderLines>
              <c:spPr>
                <a:ln w="38160">
                  <a:solidFill>
                    <a:srgbClr val="000000"/>
                  </a:solidFill>
                </a:ln>
              </c:spPr>
            </c:leaderLines>
            <c:extLst>
              <c:ext xmlns:c15="http://schemas.microsoft.com/office/drawing/2012/chart" uri="{CE6537A1-D6FC-4f65-9D91-7224C49458BB}">
                <c15:showLeaderLines val="0"/>
              </c:ext>
            </c:extLst>
          </c:dLbls>
          <c:cat>
            <c:strRef>
              <c:f>'3Y Grphs'!$B$129:$M$129</c:f>
              <c:strCache>
                <c:ptCount val="12"/>
                <c:pt idx="0">
                  <c:v>Month 1</c:v>
                </c:pt>
                <c:pt idx="1">
                  <c:v>Month 2</c:v>
                </c:pt>
                <c:pt idx="2">
                  <c:v>Month 3</c:v>
                </c:pt>
                <c:pt idx="3">
                  <c:v>Month 4</c:v>
                </c:pt>
                <c:pt idx="4">
                  <c:v>Month 5</c:v>
                </c:pt>
                <c:pt idx="5">
                  <c:v>Month 6</c:v>
                </c:pt>
                <c:pt idx="6">
                  <c:v>Month 7</c:v>
                </c:pt>
                <c:pt idx="7">
                  <c:v>Month 8</c:v>
                </c:pt>
                <c:pt idx="8">
                  <c:v>Month 9</c:v>
                </c:pt>
                <c:pt idx="9">
                  <c:v>Month 10</c:v>
                </c:pt>
                <c:pt idx="10">
                  <c:v>Month 11</c:v>
                </c:pt>
                <c:pt idx="11">
                  <c:v>Month 12</c:v>
                </c:pt>
              </c:strCache>
            </c:strRef>
          </c:cat>
          <c:val>
            <c:numRef>
              <c:f>'3Y Grphs'!$B$130:$M$130</c:f>
              <c:numCache>
                <c:formatCode>\$#,##0_);[RED]"($"#,##0\)</c:formatCode>
                <c:ptCount val="12"/>
                <c:pt idx="0">
                  <c:v>0</c:v>
                </c:pt>
                <c:pt idx="1">
                  <c:v>0</c:v>
                </c:pt>
                <c:pt idx="2">
                  <c:v>917.14</c:v>
                </c:pt>
                <c:pt idx="3">
                  <c:v>134197.060869048</c:v>
                </c:pt>
                <c:pt idx="4">
                  <c:v>268394.121738095</c:v>
                </c:pt>
                <c:pt idx="5">
                  <c:v>536788.243476191</c:v>
                </c:pt>
                <c:pt idx="6">
                  <c:v>805182.365214286</c:v>
                </c:pt>
                <c:pt idx="7">
                  <c:v>1073576.48695238</c:v>
                </c:pt>
                <c:pt idx="8">
                  <c:v>1341970.60869048</c:v>
                </c:pt>
                <c:pt idx="9">
                  <c:v>1610364.73042857</c:v>
                </c:pt>
                <c:pt idx="10">
                  <c:v>1878758.85216667</c:v>
                </c:pt>
                <c:pt idx="11">
                  <c:v>2147152.97390476</c:v>
                </c:pt>
              </c:numCache>
            </c:numRef>
          </c:val>
          <c:smooth val="0"/>
        </c:ser>
        <c:ser>
          <c:idx val="1"/>
          <c:order val="1"/>
          <c:tx>
            <c:strRef>
              <c:f>'3Y Grphs'!$A$131</c:f>
              <c:strCache>
                <c:ptCount val="1"/>
                <c:pt idx="0">
                  <c:v>Expenses</c:v>
                </c:pt>
              </c:strCache>
            </c:strRef>
          </c:tx>
          <c:spPr>
            <a:solidFill>
              <a:srgbClr val="99cc00"/>
            </a:solidFill>
            <a:ln w="38160">
              <a:solidFill>
                <a:srgbClr val="99cc00"/>
              </a:solidFill>
              <a:round/>
            </a:ln>
          </c:spPr>
          <c:marker>
            <c:symbol val="none"/>
          </c:marker>
          <c:dLbls>
            <c:txPr>
              <a:bodyPr wrap="square"/>
              <a:lstStyle/>
              <a:p>
                <a:pPr>
                  <a:defRPr b="0" sz="1000" strike="noStrike" u="none">
                    <a:solidFill>
                      <a:srgbClr val="000000"/>
                    </a:solidFill>
                    <a:uFillTx/>
                    <a:latin typeface="Calibri"/>
                  </a:defRPr>
                </a:pPr>
              </a:p>
            </c:txPr>
            <c:dLblPos val="r"/>
            <c:showLegendKey val="0"/>
            <c:showVal val="0"/>
            <c:showCatName val="0"/>
            <c:showSerName val="0"/>
            <c:showPercent val="0"/>
            <c:separator>; </c:separator>
            <c:showLeaderLines val="0"/>
            <c:leaderLines>
              <c:spPr>
                <a:ln w="38160">
                  <a:solidFill>
                    <a:srgbClr val="000000"/>
                  </a:solidFill>
                </a:ln>
              </c:spPr>
            </c:leaderLines>
            <c:extLst>
              <c:ext xmlns:c15="http://schemas.microsoft.com/office/drawing/2012/chart" uri="{CE6537A1-D6FC-4f65-9D91-7224C49458BB}">
                <c15:showLeaderLines val="0"/>
              </c:ext>
            </c:extLst>
          </c:dLbls>
          <c:cat>
            <c:strRef>
              <c:f>'3Y Grphs'!$B$129:$M$129</c:f>
              <c:strCache>
                <c:ptCount val="12"/>
                <c:pt idx="0">
                  <c:v>Month 1</c:v>
                </c:pt>
                <c:pt idx="1">
                  <c:v>Month 2</c:v>
                </c:pt>
                <c:pt idx="2">
                  <c:v>Month 3</c:v>
                </c:pt>
                <c:pt idx="3">
                  <c:v>Month 4</c:v>
                </c:pt>
                <c:pt idx="4">
                  <c:v>Month 5</c:v>
                </c:pt>
                <c:pt idx="5">
                  <c:v>Month 6</c:v>
                </c:pt>
                <c:pt idx="6">
                  <c:v>Month 7</c:v>
                </c:pt>
                <c:pt idx="7">
                  <c:v>Month 8</c:v>
                </c:pt>
                <c:pt idx="8">
                  <c:v>Month 9</c:v>
                </c:pt>
                <c:pt idx="9">
                  <c:v>Month 10</c:v>
                </c:pt>
                <c:pt idx="10">
                  <c:v>Month 11</c:v>
                </c:pt>
                <c:pt idx="11">
                  <c:v>Month 12</c:v>
                </c:pt>
              </c:strCache>
            </c:strRef>
          </c:cat>
          <c:val>
            <c:numRef>
              <c:f>'3Y Grphs'!$B$131:$M$131</c:f>
              <c:numCache>
                <c:formatCode>\$#,##0_);[RED]"($"#,##0\)</c:formatCode>
                <c:ptCount val="12"/>
                <c:pt idx="0">
                  <c:v>395805.9718</c:v>
                </c:pt>
                <c:pt idx="1">
                  <c:v>412861.9718</c:v>
                </c:pt>
                <c:pt idx="2">
                  <c:v>422177.669631429</c:v>
                </c:pt>
                <c:pt idx="3">
                  <c:v>518202.139226859</c:v>
                </c:pt>
                <c:pt idx="4">
                  <c:v>615014.306653719</c:v>
                </c:pt>
                <c:pt idx="5">
                  <c:v>829958.641507438</c:v>
                </c:pt>
                <c:pt idx="6">
                  <c:v>1091896.07636116</c:v>
                </c:pt>
                <c:pt idx="7">
                  <c:v>1324491.72567004</c:v>
                </c:pt>
                <c:pt idx="8">
                  <c:v>1532187.56854109</c:v>
                </c:pt>
                <c:pt idx="9">
                  <c:v>1740868.25603083</c:v>
                </c:pt>
                <c:pt idx="10">
                  <c:v>1946228.77649074</c:v>
                </c:pt>
                <c:pt idx="11">
                  <c:v>2154737.03000342</c:v>
                </c:pt>
              </c:numCache>
            </c:numRef>
          </c:val>
          <c:smooth val="0"/>
        </c:ser>
        <c:hiLowLines>
          <c:spPr>
            <a:ln w="0">
              <a:noFill/>
            </a:ln>
          </c:spPr>
        </c:hiLowLines>
        <c:marker val="0"/>
        <c:axId val="96775764"/>
        <c:axId val="28081726"/>
      </c:lineChart>
      <c:catAx>
        <c:axId val="96775764"/>
        <c:scaling>
          <c:orientation val="minMax"/>
        </c:scaling>
        <c:delete val="0"/>
        <c:axPos val="b"/>
        <c:numFmt formatCode="General" sourceLinked="0"/>
        <c:majorTickMark val="out"/>
        <c:minorTickMark val="none"/>
        <c:tickLblPos val="low"/>
        <c:spPr>
          <a:ln w="3240">
            <a:solidFill>
              <a:srgbClr val="969696"/>
            </a:solidFill>
            <a:round/>
          </a:ln>
        </c:spPr>
        <c:txPr>
          <a:bodyPr rot="-1800000"/>
          <a:lstStyle/>
          <a:p>
            <a:pPr>
              <a:defRPr b="0" sz="1050" strike="noStrike" u="none">
                <a:solidFill>
                  <a:srgbClr val="000000"/>
                </a:solidFill>
                <a:uFillTx/>
                <a:latin typeface="Arial"/>
                <a:ea typeface="Arial"/>
              </a:defRPr>
            </a:pPr>
          </a:p>
        </c:txPr>
        <c:crossAx val="28081726"/>
        <c:crosses val="autoZero"/>
        <c:auto val="1"/>
        <c:lblAlgn val="ctr"/>
        <c:lblOffset val="100"/>
        <c:noMultiLvlLbl val="0"/>
      </c:catAx>
      <c:valAx>
        <c:axId val="28081726"/>
        <c:scaling>
          <c:orientation val="minMax"/>
        </c:scaling>
        <c:delete val="0"/>
        <c:axPos val="l"/>
        <c:majorGridlines>
          <c:spPr>
            <a:ln w="3240">
              <a:solidFill>
                <a:srgbClr val="969696"/>
              </a:solidFill>
              <a:round/>
            </a:ln>
          </c:spPr>
        </c:majorGridlines>
        <c:numFmt formatCode="\$#,##0_);[RED]&quot;($&quot;#,##0\)" sourceLinked="0"/>
        <c:majorTickMark val="out"/>
        <c:minorTickMark val="none"/>
        <c:tickLblPos val="nextTo"/>
        <c:spPr>
          <a:ln w="3240">
            <a:solidFill>
              <a:srgbClr val="969696"/>
            </a:solidFill>
            <a:round/>
          </a:ln>
        </c:spPr>
        <c:txPr>
          <a:bodyPr/>
          <a:lstStyle/>
          <a:p>
            <a:pPr>
              <a:defRPr b="0" sz="1050" strike="noStrike" u="none">
                <a:solidFill>
                  <a:srgbClr val="000000"/>
                </a:solidFill>
                <a:uFillTx/>
                <a:latin typeface="Arial"/>
                <a:ea typeface="Arial"/>
              </a:defRPr>
            </a:pPr>
          </a:p>
        </c:txPr>
        <c:crossAx val="96775764"/>
        <c:crosses val="autoZero"/>
        <c:crossBetween val="between"/>
      </c:valAx>
      <c:spPr>
        <a:noFill/>
        <a:ln w="0">
          <a:noFill/>
        </a:ln>
      </c:spPr>
    </c:plotArea>
    <c:legend>
      <c:legendPos val="r"/>
      <c:layout>
        <c:manualLayout>
          <c:xMode val="edge"/>
          <c:yMode val="edge"/>
          <c:x val="0.808659217877095"/>
          <c:y val="0.18960244648318"/>
          <c:w val="0.150837988826816"/>
          <c:h val="0.525993883792049"/>
        </c:manualLayout>
      </c:layout>
      <c:overlay val="0"/>
      <c:spPr>
        <a:solidFill>
          <a:srgbClr val="ffffff"/>
        </a:solidFill>
        <a:ln w="25560">
          <a:noFill/>
        </a:ln>
      </c:spPr>
      <c:txPr>
        <a:bodyPr/>
        <a:lstStyle/>
        <a:p>
          <a:pPr>
            <a:defRPr b="0" sz="880" strike="noStrike" u="none">
              <a:solidFill>
                <a:srgbClr val="000000"/>
              </a:solidFill>
              <a:uFillTx/>
              <a:latin typeface="Arial"/>
              <a:ea typeface="Arial"/>
            </a:defRPr>
          </a:pPr>
        </a:p>
      </c:txPr>
    </c:legend>
    <c:plotVisOnly val="1"/>
    <c:dispBlanksAs val="zero"/>
  </c:chart>
  <c:spPr>
    <a:solidFill>
      <a:srgbClr val="ffffff"/>
    </a:solidFill>
    <a:ln w="9360">
      <a:noFill/>
    </a:ln>
  </c:spPr>
</c:chartSpace>
</file>

<file path=xl/charts/chart3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en-US" sz="1800" strike="noStrike" u="none">
                <a:solidFill>
                  <a:srgbClr val="000000"/>
                </a:solidFill>
                <a:uFillTx/>
                <a:latin typeface="Calibri"/>
              </a:rPr>
              <a:t>Revenue &amp; Expenses Years 1 to 5</a:t>
            </a:r>
          </a:p>
        </c:rich>
      </c:tx>
      <c:overlay val="0"/>
      <c:spPr>
        <a:noFill/>
        <a:ln w="25560">
          <a:noFill/>
        </a:ln>
      </c:spPr>
    </c:title>
    <c:autoTitleDeleted val="0"/>
    <c:plotArea>
      <c:layout>
        <c:manualLayout>
          <c:layoutTarget val="inner"/>
          <c:xMode val="edge"/>
          <c:yMode val="edge"/>
          <c:x val="0.0549433885968459"/>
          <c:y val="0.24083289680461"/>
          <c:w val="0.723766680145572"/>
          <c:h val="0.616946045049764"/>
        </c:manualLayout>
      </c:layout>
      <c:lineChart>
        <c:grouping val="standard"/>
        <c:varyColors val="0"/>
        <c:ser>
          <c:idx val="0"/>
          <c:order val="0"/>
          <c:tx>
            <c:strRef>
              <c:f>'3Y Grphs'!$A$130</c:f>
              <c:strCache>
                <c:ptCount val="1"/>
                <c:pt idx="0">
                  <c:v>Revenue</c:v>
                </c:pt>
              </c:strCache>
            </c:strRef>
          </c:tx>
          <c:spPr>
            <a:solidFill>
              <a:srgbClr val="99ccff"/>
            </a:solidFill>
            <a:ln w="38160">
              <a:solidFill>
                <a:srgbClr val="99ccff"/>
              </a:solidFill>
              <a:round/>
            </a:ln>
          </c:spPr>
          <c:marker>
            <c:symbol val="none"/>
          </c:marker>
          <c:dLbls>
            <c:txPr>
              <a:bodyPr wrap="square"/>
              <a:lstStyle/>
              <a:p>
                <a:pPr>
                  <a:defRPr b="0" sz="1000" strike="noStrike" u="none">
                    <a:solidFill>
                      <a:srgbClr val="000000"/>
                    </a:solidFill>
                    <a:uFillTx/>
                    <a:latin typeface="Calibri"/>
                  </a:defRPr>
                </a:pPr>
              </a:p>
            </c:txPr>
            <c:dLblPos val="r"/>
            <c:showLegendKey val="0"/>
            <c:showVal val="0"/>
            <c:showCatName val="0"/>
            <c:showSerName val="0"/>
            <c:showPercent val="0"/>
            <c:separator>; </c:separator>
            <c:showLeaderLines val="0"/>
            <c:leaderLines>
              <c:spPr>
                <a:ln w="38160">
                  <a:solidFill>
                    <a:srgbClr val="000000"/>
                  </a:solidFill>
                </a:ln>
              </c:spPr>
            </c:leaderLines>
            <c:extLst>
              <c:ext xmlns:c15="http://schemas.microsoft.com/office/drawing/2012/chart" uri="{CE6537A1-D6FC-4f65-9D91-7224C49458BB}">
                <c15:showLeaderLines val="0"/>
              </c:ext>
            </c:extLst>
          </c:dLbls>
          <c:cat>
            <c:strRef>
              <c:f>'3Y Grphs'!$N$129:$P$129</c:f>
              <c:strCache>
                <c:ptCount val="3"/>
                <c:pt idx="0">
                  <c:v>Year 1</c:v>
                </c:pt>
                <c:pt idx="1">
                  <c:v>Year 2</c:v>
                </c:pt>
                <c:pt idx="2">
                  <c:v>Year 3</c:v>
                </c:pt>
              </c:strCache>
            </c:strRef>
          </c:cat>
          <c:val>
            <c:numRef>
              <c:f>'3Y Grphs'!$N$130:$P$130</c:f>
              <c:numCache>
                <c:formatCode>\$#,##0_);[RED]"($"#,##0\)</c:formatCode>
                <c:ptCount val="3"/>
                <c:pt idx="0">
                  <c:v>9796385.44344048</c:v>
                </c:pt>
                <c:pt idx="1">
                  <c:v>63473726.2030143</c:v>
                </c:pt>
                <c:pt idx="2">
                  <c:v>167140846.428</c:v>
                </c:pt>
              </c:numCache>
            </c:numRef>
          </c:val>
          <c:smooth val="0"/>
        </c:ser>
        <c:ser>
          <c:idx val="1"/>
          <c:order val="1"/>
          <c:tx>
            <c:strRef>
              <c:f>'3Y Grphs'!$A$131</c:f>
              <c:strCache>
                <c:ptCount val="1"/>
                <c:pt idx="0">
                  <c:v>Expenses</c:v>
                </c:pt>
              </c:strCache>
            </c:strRef>
          </c:tx>
          <c:spPr>
            <a:solidFill>
              <a:srgbClr val="99cc00"/>
            </a:solidFill>
            <a:ln w="38160">
              <a:solidFill>
                <a:srgbClr val="99cc00"/>
              </a:solidFill>
              <a:round/>
            </a:ln>
          </c:spPr>
          <c:marker>
            <c:symbol val="none"/>
          </c:marker>
          <c:dLbls>
            <c:txPr>
              <a:bodyPr wrap="square"/>
              <a:lstStyle/>
              <a:p>
                <a:pPr>
                  <a:defRPr b="0" sz="1000" strike="noStrike" u="none">
                    <a:solidFill>
                      <a:srgbClr val="000000"/>
                    </a:solidFill>
                    <a:uFillTx/>
                    <a:latin typeface="Calibri"/>
                  </a:defRPr>
                </a:pPr>
              </a:p>
            </c:txPr>
            <c:dLblPos val="r"/>
            <c:showLegendKey val="0"/>
            <c:showVal val="0"/>
            <c:showCatName val="0"/>
            <c:showSerName val="0"/>
            <c:showPercent val="0"/>
            <c:separator>; </c:separator>
            <c:showLeaderLines val="0"/>
            <c:leaderLines>
              <c:spPr>
                <a:ln w="38160">
                  <a:solidFill>
                    <a:srgbClr val="000000"/>
                  </a:solidFill>
                </a:ln>
              </c:spPr>
            </c:leaderLines>
            <c:extLst>
              <c:ext xmlns:c15="http://schemas.microsoft.com/office/drawing/2012/chart" uri="{CE6537A1-D6FC-4f65-9D91-7224C49458BB}">
                <c15:showLeaderLines val="0"/>
              </c:ext>
            </c:extLst>
          </c:dLbls>
          <c:cat>
            <c:strRef>
              <c:f>'3Y Grphs'!$N$129:$P$129</c:f>
              <c:strCache>
                <c:ptCount val="3"/>
                <c:pt idx="0">
                  <c:v>Year 1</c:v>
                </c:pt>
                <c:pt idx="1">
                  <c:v>Year 2</c:v>
                </c:pt>
                <c:pt idx="2">
                  <c:v>Year 3</c:v>
                </c:pt>
              </c:strCache>
            </c:strRef>
          </c:cat>
          <c:val>
            <c:numRef>
              <c:f>'3Y Grphs'!$N$131:$P$131</c:f>
              <c:numCache>
                <c:formatCode>\$#,##0_);[RED]"($"#,##0\)</c:formatCode>
                <c:ptCount val="3"/>
                <c:pt idx="0">
                  <c:v>12983734.1498853</c:v>
                </c:pt>
                <c:pt idx="1">
                  <c:v>52730474.6261889</c:v>
                </c:pt>
                <c:pt idx="2">
                  <c:v>122699238.746533</c:v>
                </c:pt>
              </c:numCache>
            </c:numRef>
          </c:val>
          <c:smooth val="0"/>
        </c:ser>
        <c:hiLowLines>
          <c:spPr>
            <a:ln w="0">
              <a:noFill/>
            </a:ln>
          </c:spPr>
        </c:hiLowLines>
        <c:marker val="0"/>
        <c:axId val="72798246"/>
        <c:axId val="23593531"/>
      </c:lineChart>
      <c:catAx>
        <c:axId val="72798246"/>
        <c:scaling>
          <c:orientation val="minMax"/>
        </c:scaling>
        <c:delete val="0"/>
        <c:axPos val="b"/>
        <c:numFmt formatCode="General" sourceLinked="0"/>
        <c:majorTickMark val="out"/>
        <c:minorTickMark val="none"/>
        <c:tickLblPos val="low"/>
        <c:spPr>
          <a:ln w="3240">
            <a:solidFill>
              <a:srgbClr val="969696"/>
            </a:solidFill>
            <a:round/>
          </a:ln>
        </c:spPr>
        <c:txPr>
          <a:bodyPr rot="-1800000"/>
          <a:lstStyle/>
          <a:p>
            <a:pPr>
              <a:defRPr b="0" sz="1000" strike="noStrike" u="none">
                <a:solidFill>
                  <a:srgbClr val="000000"/>
                </a:solidFill>
                <a:uFillTx/>
                <a:latin typeface="Calibri"/>
              </a:defRPr>
            </a:pPr>
          </a:p>
        </c:txPr>
        <c:crossAx val="23593531"/>
        <c:crosses val="autoZero"/>
        <c:auto val="1"/>
        <c:lblAlgn val="ctr"/>
        <c:lblOffset val="100"/>
        <c:noMultiLvlLbl val="0"/>
      </c:catAx>
      <c:valAx>
        <c:axId val="23593531"/>
        <c:scaling>
          <c:orientation val="minMax"/>
        </c:scaling>
        <c:delete val="0"/>
        <c:axPos val="l"/>
        <c:majorGridlines>
          <c:spPr>
            <a:ln w="3240">
              <a:solidFill>
                <a:srgbClr val="969696"/>
              </a:solidFill>
              <a:round/>
            </a:ln>
          </c:spPr>
        </c:majorGridlines>
        <c:numFmt formatCode="\$#,##0_);[RED]&quot;($&quot;#,##0\)" sourceLinked="0"/>
        <c:majorTickMark val="out"/>
        <c:minorTickMark val="none"/>
        <c:tickLblPos val="nextTo"/>
        <c:spPr>
          <a:ln w="3240">
            <a:solidFill>
              <a:srgbClr val="969696"/>
            </a:solidFill>
            <a:round/>
          </a:ln>
        </c:spPr>
        <c:txPr>
          <a:bodyPr/>
          <a:lstStyle/>
          <a:p>
            <a:pPr>
              <a:defRPr b="0" sz="1000" strike="noStrike" u="none">
                <a:solidFill>
                  <a:srgbClr val="000000"/>
                </a:solidFill>
                <a:uFillTx/>
                <a:latin typeface="Calibri"/>
              </a:defRPr>
            </a:pPr>
          </a:p>
        </c:txPr>
        <c:crossAx val="72798246"/>
        <c:crosses val="autoZero"/>
        <c:crossBetween val="between"/>
      </c:valAx>
      <c:spPr>
        <a:noFill/>
        <a:ln w="0">
          <a:noFill/>
        </a:ln>
      </c:spPr>
    </c:plotArea>
    <c:legend>
      <c:legendPos val="r"/>
      <c:layout>
        <c:manualLayout>
          <c:xMode val="edge"/>
          <c:yMode val="edge"/>
          <c:x val="0.794835007173601"/>
          <c:y val="0.214067278287462"/>
          <c:w val="0.149210903873745"/>
          <c:h val="0.629969418960245"/>
        </c:manualLayout>
      </c:layout>
      <c:overlay val="0"/>
      <c:spPr>
        <a:solidFill>
          <a:srgbClr val="ffffff"/>
        </a:solidFill>
        <a:ln w="25560">
          <a:noFill/>
        </a:ln>
      </c:spPr>
      <c:txPr>
        <a:bodyPr/>
        <a:lstStyle/>
        <a:p>
          <a:pPr>
            <a:defRPr b="0" sz="1000" strike="noStrike" u="none">
              <a:solidFill>
                <a:srgbClr val="000000"/>
              </a:solidFill>
              <a:uFillTx/>
              <a:latin typeface="Calibri"/>
            </a:defRPr>
          </a:pPr>
        </a:p>
      </c:txPr>
    </c:legend>
    <c:plotVisOnly val="1"/>
    <c:dispBlanksAs val="zero"/>
  </c:chart>
  <c:spPr>
    <a:solidFill>
      <a:srgbClr val="ffffff"/>
    </a:solidFill>
    <a:ln w="9360">
      <a:noFill/>
    </a:ln>
  </c:spPr>
</c:chartSpace>
</file>

<file path=xl/charts/chart32.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layoutTarget val="inner"/>
          <c:xMode val="edge"/>
          <c:yMode val="edge"/>
          <c:x val="0.123936415803707"/>
          <c:y val="0.0707395498392283"/>
          <c:w val="0.678121495943539"/>
          <c:h val="0.775290625772941"/>
        </c:manualLayout>
      </c:layout>
      <c:lineChart>
        <c:grouping val="standard"/>
        <c:varyColors val="0"/>
        <c:ser>
          <c:idx val="0"/>
          <c:order val="0"/>
          <c:tx>
            <c:strRef>
              <c:f>'Break-Even'!$A$5</c:f>
              <c:strCache>
                <c:ptCount val="1"/>
                <c:pt idx="0">
                  <c:v>Accumulated Revenue</c:v>
                </c:pt>
              </c:strCache>
            </c:strRef>
          </c:tx>
          <c:spPr>
            <a:solidFill>
              <a:srgbClr val="99ccff"/>
            </a:solidFill>
            <a:ln w="25560">
              <a:solidFill>
                <a:srgbClr val="99ccff"/>
              </a:solidFill>
              <a:round/>
            </a:ln>
          </c:spPr>
          <c:marker>
            <c:symbol val="none"/>
          </c:marker>
          <c:dLbls>
            <c:txPr>
              <a:bodyPr wrap="square"/>
              <a:lstStyle/>
              <a:p>
                <a:pPr>
                  <a:defRPr b="0" sz="1000" strike="noStrike" u="none">
                    <a:solidFill>
                      <a:srgbClr val="000000"/>
                    </a:solidFill>
                    <a:uFillTx/>
                    <a:latin typeface="Calibri"/>
                  </a:defRPr>
                </a:pPr>
              </a:p>
            </c:txPr>
            <c:dLblPos val="r"/>
            <c:showLegendKey val="0"/>
            <c:showVal val="0"/>
            <c:showCatName val="0"/>
            <c:showSerName val="0"/>
            <c:showPercent val="0"/>
            <c:separator>; </c:separator>
            <c:showLeaderLines val="0"/>
            <c:leaderLines>
              <c:spPr>
                <a:ln w="25560">
                  <a:solidFill>
                    <a:srgbClr val="000000"/>
                  </a:solidFill>
                </a:ln>
              </c:spPr>
            </c:leaderLines>
            <c:extLst>
              <c:ext xmlns:c15="http://schemas.microsoft.com/office/drawing/2012/chart" uri="{CE6537A1-D6FC-4f65-9D91-7224C49458BB}">
                <c15:showLeaderLines val="0"/>
              </c:ext>
            </c:extLst>
          </c:dLbls>
          <c:val>
            <c:numRef>
              <c:f>'Break-Even'!$B$5:$AK$5</c:f>
              <c:numCache>
                <c:formatCode>\$#,##0_);[RED]"($"#,##0\)</c:formatCode>
                <c:ptCount val="36"/>
                <c:pt idx="0">
                  <c:v>0</c:v>
                </c:pt>
                <c:pt idx="1">
                  <c:v>0</c:v>
                </c:pt>
                <c:pt idx="2">
                  <c:v>917.14</c:v>
                </c:pt>
                <c:pt idx="3">
                  <c:v>135114.200869048</c:v>
                </c:pt>
                <c:pt idx="4">
                  <c:v>403508.322607143</c:v>
                </c:pt>
                <c:pt idx="5">
                  <c:v>940296.566083334</c:v>
                </c:pt>
                <c:pt idx="6">
                  <c:v>1745478.93129762</c:v>
                </c:pt>
                <c:pt idx="7">
                  <c:v>2819055.41825</c:v>
                </c:pt>
                <c:pt idx="8">
                  <c:v>4161026.02694048</c:v>
                </c:pt>
                <c:pt idx="9">
                  <c:v>5771390.75736905</c:v>
                </c:pt>
                <c:pt idx="10">
                  <c:v>7650149.60953572</c:v>
                </c:pt>
                <c:pt idx="11">
                  <c:v>9797302.58344048</c:v>
                </c:pt>
                <c:pt idx="12">
                  <c:v>13080426.3525619</c:v>
                </c:pt>
                <c:pt idx="13">
                  <c:v>16728341.6515857</c:v>
                </c:pt>
                <c:pt idx="14">
                  <c:v>20741048.4805119</c:v>
                </c:pt>
                <c:pt idx="15">
                  <c:v>25118546.8393405</c:v>
                </c:pt>
                <c:pt idx="16">
                  <c:v>29860836.7280714</c:v>
                </c:pt>
                <c:pt idx="17">
                  <c:v>34967918.1467048</c:v>
                </c:pt>
                <c:pt idx="18">
                  <c:v>40439791.0952405</c:v>
                </c:pt>
                <c:pt idx="19">
                  <c:v>46276455.5736786</c:v>
                </c:pt>
                <c:pt idx="20">
                  <c:v>52477911.5820191</c:v>
                </c:pt>
                <c:pt idx="21">
                  <c:v>59044159.1202619</c:v>
                </c:pt>
                <c:pt idx="22">
                  <c:v>65975198.1884072</c:v>
                </c:pt>
                <c:pt idx="23">
                  <c:v>73271028.7864548</c:v>
                </c:pt>
                <c:pt idx="24">
                  <c:v>87199432.6554548</c:v>
                </c:pt>
                <c:pt idx="25">
                  <c:v>101127836.524455</c:v>
                </c:pt>
                <c:pt idx="26">
                  <c:v>115056240.393455</c:v>
                </c:pt>
                <c:pt idx="27">
                  <c:v>128984644.262455</c:v>
                </c:pt>
                <c:pt idx="28">
                  <c:v>142913048.131455</c:v>
                </c:pt>
                <c:pt idx="29">
                  <c:v>156841452.000455</c:v>
                </c:pt>
                <c:pt idx="30">
                  <c:v>170769855.869455</c:v>
                </c:pt>
                <c:pt idx="31">
                  <c:v>184698259.738455</c:v>
                </c:pt>
                <c:pt idx="32">
                  <c:v>198626663.607455</c:v>
                </c:pt>
                <c:pt idx="33">
                  <c:v>212555067.476455</c:v>
                </c:pt>
                <c:pt idx="34">
                  <c:v>226483471.345455</c:v>
                </c:pt>
                <c:pt idx="35">
                  <c:v>240411875.214455</c:v>
                </c:pt>
              </c:numCache>
            </c:numRef>
          </c:val>
          <c:smooth val="0"/>
        </c:ser>
        <c:ser>
          <c:idx val="1"/>
          <c:order val="1"/>
          <c:tx>
            <c:strRef>
              <c:f>'Break-Even'!$A$7</c:f>
              <c:strCache>
                <c:ptCount val="1"/>
                <c:pt idx="0">
                  <c:v>Accumulated Expenses</c:v>
                </c:pt>
              </c:strCache>
            </c:strRef>
          </c:tx>
          <c:spPr>
            <a:solidFill>
              <a:srgbClr val="99cc00"/>
            </a:solidFill>
            <a:ln w="25560">
              <a:solidFill>
                <a:srgbClr val="99cc00"/>
              </a:solidFill>
              <a:round/>
            </a:ln>
          </c:spPr>
          <c:marker>
            <c:symbol val="none"/>
          </c:marker>
          <c:dLbls>
            <c:txPr>
              <a:bodyPr wrap="square"/>
              <a:lstStyle/>
              <a:p>
                <a:pPr>
                  <a:defRPr b="0" sz="1000" strike="noStrike" u="none">
                    <a:solidFill>
                      <a:srgbClr val="000000"/>
                    </a:solidFill>
                    <a:uFillTx/>
                    <a:latin typeface="Calibri"/>
                  </a:defRPr>
                </a:pPr>
              </a:p>
            </c:txPr>
            <c:dLblPos val="r"/>
            <c:showLegendKey val="0"/>
            <c:showVal val="0"/>
            <c:showCatName val="0"/>
            <c:showSerName val="0"/>
            <c:showPercent val="0"/>
            <c:separator>; </c:separator>
            <c:showLeaderLines val="0"/>
            <c:leaderLines>
              <c:spPr>
                <a:ln w="25560">
                  <a:solidFill>
                    <a:srgbClr val="000000"/>
                  </a:solidFill>
                </a:ln>
              </c:spPr>
            </c:leaderLines>
            <c:extLst>
              <c:ext xmlns:c15="http://schemas.microsoft.com/office/drawing/2012/chart" uri="{CE6537A1-D6FC-4f65-9D91-7224C49458BB}">
                <c15:showLeaderLines val="0"/>
              </c:ext>
            </c:extLst>
          </c:dLbls>
          <c:val>
            <c:numRef>
              <c:f>'Break-Even'!$B$7:$AK$7</c:f>
              <c:numCache>
                <c:formatCode>\$#,##0_);[RED]"($"#,##0\)</c:formatCode>
                <c:ptCount val="36"/>
                <c:pt idx="0">
                  <c:v>395805.9718</c:v>
                </c:pt>
                <c:pt idx="1">
                  <c:v>808667.9436</c:v>
                </c:pt>
                <c:pt idx="2">
                  <c:v>1230845.61323143</c:v>
                </c:pt>
                <c:pt idx="3">
                  <c:v>1749047.75245829</c:v>
                </c:pt>
                <c:pt idx="4">
                  <c:v>2364062.05911201</c:v>
                </c:pt>
                <c:pt idx="5">
                  <c:v>3194020.70061944</c:v>
                </c:pt>
                <c:pt idx="6">
                  <c:v>4328705.2769806</c:v>
                </c:pt>
                <c:pt idx="7">
                  <c:v>5725665.45765064</c:v>
                </c:pt>
                <c:pt idx="8">
                  <c:v>7354217.50619173</c:v>
                </c:pt>
                <c:pt idx="9">
                  <c:v>9217135.70722256</c:v>
                </c:pt>
                <c:pt idx="10">
                  <c:v>11305725.9737133</c:v>
                </c:pt>
                <c:pt idx="11">
                  <c:v>13628509.9587167</c:v>
                </c:pt>
                <c:pt idx="12">
                  <c:v>16547831.4964366</c:v>
                </c:pt>
                <c:pt idx="13">
                  <c:v>19741071.3725499</c:v>
                </c:pt>
                <c:pt idx="14">
                  <c:v>23252983.872368</c:v>
                </c:pt>
                <c:pt idx="15">
                  <c:v>27077337.6566285</c:v>
                </c:pt>
                <c:pt idx="16">
                  <c:v>31214129.0512937</c:v>
                </c:pt>
                <c:pt idx="17">
                  <c:v>35663354.3639555</c:v>
                </c:pt>
                <c:pt idx="18">
                  <c:v>40531542.4980558</c:v>
                </c:pt>
                <c:pt idx="19">
                  <c:v>45681955.6676884</c:v>
                </c:pt>
                <c:pt idx="20">
                  <c:v>51073363.1369922</c:v>
                </c:pt>
                <c:pt idx="21">
                  <c:v>56705761.7041772</c:v>
                </c:pt>
                <c:pt idx="22">
                  <c:v>62579148.1514444</c:v>
                </c:pt>
                <c:pt idx="23">
                  <c:v>68693519.2449056</c:v>
                </c:pt>
                <c:pt idx="24">
                  <c:v>79117642.9945971</c:v>
                </c:pt>
                <c:pt idx="25">
                  <c:v>89541110.216422</c:v>
                </c:pt>
                <c:pt idx="26">
                  <c:v>99963917.6277407</c:v>
                </c:pt>
                <c:pt idx="27">
                  <c:v>110386061.929501</c:v>
                </c:pt>
                <c:pt idx="28">
                  <c:v>120807539.806155</c:v>
                </c:pt>
                <c:pt idx="29">
                  <c:v>131228347.925577</c:v>
                </c:pt>
                <c:pt idx="30">
                  <c:v>141648482.938981</c:v>
                </c:pt>
                <c:pt idx="31">
                  <c:v>152067941.480837</c:v>
                </c:pt>
                <c:pt idx="32">
                  <c:v>162486720.168786</c:v>
                </c:pt>
                <c:pt idx="33">
                  <c:v>172904815.603561</c:v>
                </c:pt>
                <c:pt idx="34">
                  <c:v>183322224.368894</c:v>
                </c:pt>
                <c:pt idx="35">
                  <c:v>193738943.031439</c:v>
                </c:pt>
              </c:numCache>
            </c:numRef>
          </c:val>
          <c:smooth val="0"/>
        </c:ser>
        <c:hiLowLines>
          <c:spPr>
            <a:ln w="0">
              <a:noFill/>
            </a:ln>
          </c:spPr>
        </c:hiLowLines>
        <c:marker val="0"/>
        <c:axId val="53470229"/>
        <c:axId val="64275662"/>
      </c:lineChart>
      <c:catAx>
        <c:axId val="53470229"/>
        <c:scaling>
          <c:orientation val="minMax"/>
        </c:scaling>
        <c:delete val="0"/>
        <c:axPos val="b"/>
        <c:numFmt formatCode="General" sourceLinked="0"/>
        <c:majorTickMark val="out"/>
        <c:minorTickMark val="none"/>
        <c:tickLblPos val="nextTo"/>
        <c:spPr>
          <a:ln w="9360">
            <a:solidFill>
              <a:srgbClr val="878787"/>
            </a:solidFill>
            <a:round/>
          </a:ln>
        </c:spPr>
        <c:txPr>
          <a:bodyPr rot="-1800000"/>
          <a:lstStyle/>
          <a:p>
            <a:pPr>
              <a:defRPr b="0" sz="1000" strike="noStrike" u="none">
                <a:solidFill>
                  <a:srgbClr val="000000"/>
                </a:solidFill>
                <a:uFillTx/>
                <a:latin typeface="Calibri"/>
              </a:defRPr>
            </a:pPr>
          </a:p>
        </c:txPr>
        <c:crossAx val="64275662"/>
        <c:crosses val="autoZero"/>
        <c:auto val="1"/>
        <c:lblAlgn val="ctr"/>
        <c:lblOffset val="100"/>
        <c:noMultiLvlLbl val="0"/>
      </c:catAx>
      <c:valAx>
        <c:axId val="64275662"/>
        <c:scaling>
          <c:orientation val="minMax"/>
        </c:scaling>
        <c:delete val="0"/>
        <c:axPos val="l"/>
        <c:numFmt formatCode="\$#,##0_);[RED]&quot;($&quot;#,##0\)" sourceLinked="0"/>
        <c:majorTickMark val="out"/>
        <c:minorTickMark val="none"/>
        <c:tickLblPos val="nextTo"/>
        <c:spPr>
          <a:ln w="9360">
            <a:solidFill>
              <a:srgbClr val="878787"/>
            </a:solidFill>
            <a:round/>
          </a:ln>
        </c:spPr>
        <c:txPr>
          <a:bodyPr/>
          <a:lstStyle/>
          <a:p>
            <a:pPr>
              <a:defRPr b="0" sz="1000" strike="noStrike" u="none">
                <a:solidFill>
                  <a:srgbClr val="000000"/>
                </a:solidFill>
                <a:uFillTx/>
                <a:latin typeface="Calibri"/>
              </a:defRPr>
            </a:pPr>
          </a:p>
        </c:txPr>
        <c:crossAx val="53470229"/>
        <c:crosses val="autoZero"/>
        <c:crossBetween val="between"/>
      </c:valAx>
      <c:spPr>
        <a:noFill/>
        <a:ln w="0">
          <a:noFill/>
        </a:ln>
      </c:spPr>
    </c:plotArea>
    <c:legend>
      <c:legendPos val="r"/>
      <c:layout>
        <c:manualLayout>
          <c:xMode val="edge"/>
          <c:yMode val="edge"/>
          <c:x val="0.750733675321375"/>
          <c:y val="0.28821022151811"/>
          <c:w val="0.211143846184137"/>
          <c:h val="0.458516261506084"/>
        </c:manualLayout>
      </c:layout>
      <c:overlay val="0"/>
      <c:spPr>
        <a:noFill/>
        <a:ln w="0">
          <a:noFill/>
        </a:ln>
      </c:spPr>
      <c:txPr>
        <a:bodyPr/>
        <a:lstStyle/>
        <a:p>
          <a:pPr>
            <a:defRPr b="0" sz="1000" strike="noStrike" u="none">
              <a:solidFill>
                <a:srgbClr val="000000"/>
              </a:solidFill>
              <a:uFillTx/>
              <a:latin typeface="Calibri"/>
            </a:defRPr>
          </a:pPr>
        </a:p>
      </c:txPr>
    </c:legend>
    <c:plotVisOnly val="1"/>
    <c:dispBlanksAs val="zero"/>
  </c:chart>
  <c:spPr>
    <a:solidFill>
      <a:srgbClr val="ffffff"/>
    </a:solidFill>
    <a:ln w="9360">
      <a:noFill/>
    </a:ln>
  </c:spPr>
</c:chartSpace>
</file>

<file path=xl/charts/chart4.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en-US" sz="325" strike="noStrike" u="none">
                <a:solidFill>
                  <a:srgbClr val="000000"/>
                </a:solidFill>
                <a:uFillTx/>
                <a:latin typeface="Arial"/>
                <a:ea typeface="Arial"/>
              </a:rPr>
              <a:t>Profit Monthly</a:t>
            </a:r>
          </a:p>
        </c:rich>
      </c:tx>
      <c:overlay val="0"/>
      <c:spPr>
        <a:noFill/>
        <a:ln w="25560">
          <a:noFill/>
        </a:ln>
      </c:spPr>
    </c:title>
    <c:autoTitleDeleted val="0"/>
    <c:plotArea>
      <c:barChart>
        <c:barDir val="col"/>
        <c:grouping val="clustered"/>
        <c:varyColors val="0"/>
        <c:ser>
          <c:idx val="0"/>
          <c:order val="0"/>
          <c:spPr>
            <a:solidFill>
              <a:srgbClr val="900000"/>
            </a:solidFill>
            <a:ln w="25560">
              <a:noFill/>
            </a:ln>
          </c:spPr>
          <c:invertIfNegative val="0"/>
        </c:ser>
        <c:gapWidth val="90"/>
        <c:overlap val="0"/>
        <c:axId val="38835950"/>
        <c:axId val="51472887"/>
      </c:barChart>
      <c:catAx>
        <c:axId val="38835950"/>
        <c:scaling>
          <c:orientation val="minMax"/>
        </c:scaling>
        <c:delete val="0"/>
        <c:axPos val="b"/>
        <c:majorGridlines>
          <c:spPr>
            <a:ln w="3240">
              <a:solidFill>
                <a:srgbClr val="969696"/>
              </a:solidFill>
              <a:round/>
            </a:ln>
          </c:spPr>
        </c:majorGridlines>
        <c:numFmt formatCode="General" sourceLinked="0"/>
        <c:majorTickMark val="out"/>
        <c:minorTickMark val="none"/>
        <c:tickLblPos val="low"/>
        <c:spPr>
          <a:ln w="3240">
            <a:solidFill>
              <a:srgbClr val="969696"/>
            </a:solidFill>
            <a:round/>
          </a:ln>
        </c:spPr>
        <c:txPr>
          <a:bodyPr rot="-5400000"/>
          <a:lstStyle/>
          <a:p>
            <a:pPr>
              <a:defRPr b="0" sz="200" strike="noStrike" u="none">
                <a:solidFill>
                  <a:srgbClr val="000000"/>
                </a:solidFill>
                <a:uFillTx/>
                <a:latin typeface="Times New Roman"/>
                <a:ea typeface="Times New Roman"/>
              </a:defRPr>
            </a:pPr>
          </a:p>
        </c:txPr>
        <c:crossAx val="51472887"/>
        <c:crosses val="autoZero"/>
        <c:auto val="1"/>
        <c:lblAlgn val="ctr"/>
        <c:lblOffset val="100"/>
        <c:noMultiLvlLbl val="0"/>
      </c:catAx>
      <c:valAx>
        <c:axId val="51472887"/>
        <c:scaling>
          <c:orientation val="minMax"/>
        </c:scaling>
        <c:delete val="0"/>
        <c:axPos val="l"/>
        <c:majorGridlines>
          <c:spPr>
            <a:ln w="3240">
              <a:solidFill>
                <a:srgbClr val="969696"/>
              </a:solidFill>
              <a:round/>
            </a:ln>
          </c:spPr>
        </c:majorGridlines>
        <c:numFmt formatCode="General" sourceLinked="0"/>
        <c:majorTickMark val="out"/>
        <c:minorTickMark val="none"/>
        <c:tickLblPos val="low"/>
        <c:spPr>
          <a:ln w="3240">
            <a:solidFill>
              <a:srgbClr val="969696"/>
            </a:solidFill>
            <a:round/>
          </a:ln>
        </c:spPr>
        <c:txPr>
          <a:bodyPr/>
          <a:lstStyle/>
          <a:p>
            <a:pPr>
              <a:defRPr b="0" sz="200" strike="noStrike" u="none">
                <a:solidFill>
                  <a:srgbClr val="000000"/>
                </a:solidFill>
                <a:uFillTx/>
                <a:latin typeface="Times New Roman"/>
                <a:ea typeface="Times New Roman"/>
              </a:defRPr>
            </a:pPr>
          </a:p>
        </c:txPr>
        <c:crossAx val="38835950"/>
        <c:crosses val="autoZero"/>
        <c:crossBetween val="between"/>
      </c:valAx>
      <c:spPr>
        <a:noFill/>
        <a:ln w="0">
          <a:noFill/>
        </a:ln>
      </c:spPr>
    </c:plotArea>
    <c:plotVisOnly val="1"/>
    <c:dispBlanksAs val="gap"/>
  </c:chart>
  <c:spPr>
    <a:solidFill>
      <a:srgbClr val="ffffff"/>
    </a:solidFill>
    <a:ln w="9360">
      <a:noFill/>
    </a:ln>
  </c:spPr>
</c:chartSpace>
</file>

<file path=xl/charts/chart5.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en-US" sz="325" strike="noStrike" u="none">
                <a:solidFill>
                  <a:srgbClr val="000000"/>
                </a:solidFill>
                <a:uFillTx/>
                <a:latin typeface="Arial"/>
                <a:ea typeface="Arial"/>
              </a:rPr>
              <a:t>Profit Yearly</a:t>
            </a:r>
          </a:p>
        </c:rich>
      </c:tx>
      <c:overlay val="0"/>
      <c:spPr>
        <a:noFill/>
        <a:ln w="25560">
          <a:noFill/>
        </a:ln>
      </c:spPr>
    </c:title>
    <c:autoTitleDeleted val="0"/>
    <c:plotArea>
      <c:barChart>
        <c:barDir val="col"/>
        <c:grouping val="clustered"/>
        <c:varyColors val="0"/>
        <c:ser>
          <c:idx val="0"/>
          <c:order val="0"/>
          <c:spPr>
            <a:solidFill>
              <a:srgbClr val="900000"/>
            </a:solidFill>
            <a:ln w="25560">
              <a:noFill/>
            </a:ln>
          </c:spPr>
          <c:invertIfNegative val="0"/>
        </c:ser>
        <c:gapWidth val="90"/>
        <c:overlap val="0"/>
        <c:axId val="98722261"/>
        <c:axId val="12789933"/>
      </c:barChart>
      <c:catAx>
        <c:axId val="98722261"/>
        <c:scaling>
          <c:orientation val="minMax"/>
        </c:scaling>
        <c:delete val="0"/>
        <c:axPos val="b"/>
        <c:majorGridlines>
          <c:spPr>
            <a:ln w="3240">
              <a:solidFill>
                <a:srgbClr val="969696"/>
              </a:solidFill>
              <a:round/>
            </a:ln>
          </c:spPr>
        </c:majorGridlines>
        <c:numFmt formatCode="General" sourceLinked="0"/>
        <c:majorTickMark val="out"/>
        <c:minorTickMark val="none"/>
        <c:tickLblPos val="low"/>
        <c:spPr>
          <a:ln w="3240">
            <a:solidFill>
              <a:srgbClr val="969696"/>
            </a:solidFill>
            <a:round/>
          </a:ln>
        </c:spPr>
        <c:txPr>
          <a:bodyPr/>
          <a:lstStyle/>
          <a:p>
            <a:pPr>
              <a:defRPr b="0" sz="200" strike="noStrike" u="none">
                <a:solidFill>
                  <a:srgbClr val="000000"/>
                </a:solidFill>
                <a:uFillTx/>
                <a:latin typeface="Times New Roman"/>
                <a:ea typeface="Times New Roman"/>
              </a:defRPr>
            </a:pPr>
          </a:p>
        </c:txPr>
        <c:crossAx val="12789933"/>
        <c:crosses val="autoZero"/>
        <c:auto val="1"/>
        <c:lblAlgn val="ctr"/>
        <c:lblOffset val="100"/>
        <c:noMultiLvlLbl val="0"/>
      </c:catAx>
      <c:valAx>
        <c:axId val="12789933"/>
        <c:scaling>
          <c:orientation val="minMax"/>
        </c:scaling>
        <c:delete val="0"/>
        <c:axPos val="l"/>
        <c:majorGridlines>
          <c:spPr>
            <a:ln w="3240">
              <a:solidFill>
                <a:srgbClr val="969696"/>
              </a:solidFill>
              <a:round/>
            </a:ln>
          </c:spPr>
        </c:majorGridlines>
        <c:numFmt formatCode="General" sourceLinked="0"/>
        <c:majorTickMark val="out"/>
        <c:minorTickMark val="none"/>
        <c:tickLblPos val="nextTo"/>
        <c:spPr>
          <a:ln w="3240">
            <a:solidFill>
              <a:srgbClr val="969696"/>
            </a:solidFill>
            <a:round/>
          </a:ln>
        </c:spPr>
        <c:txPr>
          <a:bodyPr/>
          <a:lstStyle/>
          <a:p>
            <a:pPr>
              <a:defRPr b="0" sz="200" strike="noStrike" u="none">
                <a:solidFill>
                  <a:srgbClr val="000000"/>
                </a:solidFill>
                <a:uFillTx/>
                <a:latin typeface="Times New Roman"/>
                <a:ea typeface="Times New Roman"/>
              </a:defRPr>
            </a:pPr>
          </a:p>
        </c:txPr>
        <c:crossAx val="98722261"/>
        <c:crosses val="autoZero"/>
        <c:crossBetween val="between"/>
      </c:valAx>
      <c:spPr>
        <a:noFill/>
        <a:ln w="0">
          <a:noFill/>
        </a:ln>
      </c:spPr>
    </c:plotArea>
    <c:plotVisOnly val="1"/>
    <c:dispBlanksAs val="gap"/>
  </c:chart>
  <c:spPr>
    <a:solidFill>
      <a:srgbClr val="ffffff"/>
    </a:solidFill>
    <a:ln w="9360">
      <a:noFill/>
    </a:ln>
  </c:spPr>
</c:chartSpace>
</file>

<file path=xl/charts/chart6.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en-US" sz="350" strike="noStrike" u="none">
                <a:solidFill>
                  <a:srgbClr val="000000"/>
                </a:solidFill>
                <a:uFillTx/>
                <a:latin typeface="Arial"/>
                <a:ea typeface="Arial"/>
              </a:rPr>
              <a:t>Gross Margin Monthly</a:t>
            </a:r>
          </a:p>
        </c:rich>
      </c:tx>
      <c:overlay val="0"/>
      <c:spPr>
        <a:noFill/>
        <a:ln w="25560">
          <a:noFill/>
        </a:ln>
      </c:spPr>
    </c:title>
    <c:autoTitleDeleted val="0"/>
    <c:plotArea>
      <c:barChart>
        <c:barDir val="col"/>
        <c:grouping val="clustered"/>
        <c:varyColors val="0"/>
        <c:ser>
          <c:idx val="0"/>
          <c:order val="0"/>
          <c:spPr>
            <a:solidFill>
              <a:srgbClr val="900000"/>
            </a:solidFill>
            <a:ln w="25560">
              <a:noFill/>
            </a:ln>
          </c:spPr>
          <c:invertIfNegative val="0"/>
        </c:ser>
        <c:gapWidth val="90"/>
        <c:overlap val="0"/>
        <c:axId val="23290566"/>
        <c:axId val="95769117"/>
      </c:barChart>
      <c:catAx>
        <c:axId val="23290566"/>
        <c:scaling>
          <c:orientation val="minMax"/>
        </c:scaling>
        <c:delete val="0"/>
        <c:axPos val="b"/>
        <c:majorGridlines>
          <c:spPr>
            <a:ln w="3240">
              <a:solidFill>
                <a:srgbClr val="969696"/>
              </a:solidFill>
              <a:round/>
            </a:ln>
          </c:spPr>
        </c:majorGridlines>
        <c:numFmt formatCode="General" sourceLinked="0"/>
        <c:majorTickMark val="out"/>
        <c:minorTickMark val="none"/>
        <c:tickLblPos val="low"/>
        <c:spPr>
          <a:ln w="3240">
            <a:solidFill>
              <a:srgbClr val="969696"/>
            </a:solidFill>
            <a:round/>
          </a:ln>
        </c:spPr>
        <c:txPr>
          <a:bodyPr rot="-5400000"/>
          <a:lstStyle/>
          <a:p>
            <a:pPr>
              <a:defRPr b="0" sz="200" strike="noStrike" u="none">
                <a:solidFill>
                  <a:srgbClr val="000000"/>
                </a:solidFill>
                <a:uFillTx/>
                <a:latin typeface="Times New Roman"/>
                <a:ea typeface="Times New Roman"/>
              </a:defRPr>
            </a:pPr>
          </a:p>
        </c:txPr>
        <c:crossAx val="95769117"/>
        <c:crosses val="autoZero"/>
        <c:auto val="1"/>
        <c:lblAlgn val="ctr"/>
        <c:lblOffset val="100"/>
        <c:noMultiLvlLbl val="0"/>
      </c:catAx>
      <c:valAx>
        <c:axId val="95769117"/>
        <c:scaling>
          <c:orientation val="minMax"/>
        </c:scaling>
        <c:delete val="0"/>
        <c:axPos val="l"/>
        <c:majorGridlines>
          <c:spPr>
            <a:ln w="3240">
              <a:solidFill>
                <a:srgbClr val="969696"/>
              </a:solidFill>
              <a:round/>
            </a:ln>
          </c:spPr>
        </c:majorGridlines>
        <c:numFmt formatCode="General" sourceLinked="0"/>
        <c:majorTickMark val="out"/>
        <c:minorTickMark val="none"/>
        <c:tickLblPos val="nextTo"/>
        <c:spPr>
          <a:ln w="3240">
            <a:solidFill>
              <a:srgbClr val="969696"/>
            </a:solidFill>
            <a:round/>
          </a:ln>
        </c:spPr>
        <c:txPr>
          <a:bodyPr/>
          <a:lstStyle/>
          <a:p>
            <a:pPr>
              <a:defRPr b="0" sz="200" strike="noStrike" u="none">
                <a:solidFill>
                  <a:srgbClr val="000000"/>
                </a:solidFill>
                <a:uFillTx/>
                <a:latin typeface="Times New Roman"/>
                <a:ea typeface="Times New Roman"/>
              </a:defRPr>
            </a:pPr>
          </a:p>
        </c:txPr>
        <c:crossAx val="23290566"/>
        <c:crosses val="autoZero"/>
        <c:crossBetween val="between"/>
      </c:valAx>
      <c:spPr>
        <a:noFill/>
        <a:ln w="0">
          <a:noFill/>
        </a:ln>
      </c:spPr>
    </c:plotArea>
    <c:plotVisOnly val="1"/>
    <c:dispBlanksAs val="gap"/>
  </c:chart>
  <c:spPr>
    <a:solidFill>
      <a:srgbClr val="ffffff"/>
    </a:solidFill>
    <a:ln w="9360">
      <a:noFill/>
    </a:ln>
  </c:spPr>
</c:chartSpace>
</file>

<file path=xl/charts/chart7.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en-US" sz="325" strike="noStrike" u="none">
                <a:solidFill>
                  <a:srgbClr val="000000"/>
                </a:solidFill>
                <a:uFillTx/>
                <a:latin typeface="Arial"/>
                <a:ea typeface="Arial"/>
              </a:rPr>
              <a:t>Gross Margin Yearly</a:t>
            </a:r>
          </a:p>
        </c:rich>
      </c:tx>
      <c:overlay val="0"/>
      <c:spPr>
        <a:noFill/>
        <a:ln w="25560">
          <a:noFill/>
        </a:ln>
      </c:spPr>
    </c:title>
    <c:autoTitleDeleted val="0"/>
    <c:plotArea>
      <c:barChart>
        <c:barDir val="col"/>
        <c:grouping val="clustered"/>
        <c:varyColors val="0"/>
        <c:ser>
          <c:idx val="0"/>
          <c:order val="0"/>
          <c:spPr>
            <a:solidFill>
              <a:srgbClr val="900000"/>
            </a:solidFill>
            <a:ln w="25560">
              <a:noFill/>
            </a:ln>
          </c:spPr>
          <c:invertIfNegative val="0"/>
        </c:ser>
        <c:gapWidth val="90"/>
        <c:overlap val="0"/>
        <c:axId val="10630412"/>
        <c:axId val="47669008"/>
      </c:barChart>
      <c:catAx>
        <c:axId val="10630412"/>
        <c:scaling>
          <c:orientation val="minMax"/>
        </c:scaling>
        <c:delete val="0"/>
        <c:axPos val="b"/>
        <c:majorGridlines>
          <c:spPr>
            <a:ln w="3240">
              <a:solidFill>
                <a:srgbClr val="969696"/>
              </a:solidFill>
              <a:round/>
            </a:ln>
          </c:spPr>
        </c:majorGridlines>
        <c:numFmt formatCode="General" sourceLinked="0"/>
        <c:majorTickMark val="out"/>
        <c:minorTickMark val="none"/>
        <c:tickLblPos val="low"/>
        <c:spPr>
          <a:ln w="3240">
            <a:solidFill>
              <a:srgbClr val="969696"/>
            </a:solidFill>
            <a:round/>
          </a:ln>
        </c:spPr>
        <c:txPr>
          <a:bodyPr/>
          <a:lstStyle/>
          <a:p>
            <a:pPr>
              <a:defRPr b="0" sz="200" strike="noStrike" u="none">
                <a:solidFill>
                  <a:srgbClr val="000000"/>
                </a:solidFill>
                <a:uFillTx/>
                <a:latin typeface="Times New Roman"/>
                <a:ea typeface="Times New Roman"/>
              </a:defRPr>
            </a:pPr>
          </a:p>
        </c:txPr>
        <c:crossAx val="47669008"/>
        <c:crosses val="autoZero"/>
        <c:auto val="1"/>
        <c:lblAlgn val="ctr"/>
        <c:lblOffset val="100"/>
        <c:noMultiLvlLbl val="0"/>
      </c:catAx>
      <c:valAx>
        <c:axId val="47669008"/>
        <c:scaling>
          <c:orientation val="minMax"/>
        </c:scaling>
        <c:delete val="0"/>
        <c:axPos val="l"/>
        <c:majorGridlines>
          <c:spPr>
            <a:ln w="3240">
              <a:solidFill>
                <a:srgbClr val="969696"/>
              </a:solidFill>
              <a:round/>
            </a:ln>
          </c:spPr>
        </c:majorGridlines>
        <c:numFmt formatCode="General" sourceLinked="0"/>
        <c:majorTickMark val="out"/>
        <c:minorTickMark val="none"/>
        <c:tickLblPos val="nextTo"/>
        <c:spPr>
          <a:ln w="3240">
            <a:solidFill>
              <a:srgbClr val="969696"/>
            </a:solidFill>
            <a:round/>
          </a:ln>
        </c:spPr>
        <c:txPr>
          <a:bodyPr/>
          <a:lstStyle/>
          <a:p>
            <a:pPr>
              <a:defRPr b="0" sz="200" strike="noStrike" u="none">
                <a:solidFill>
                  <a:srgbClr val="000000"/>
                </a:solidFill>
                <a:uFillTx/>
                <a:latin typeface="Times New Roman"/>
                <a:ea typeface="Times New Roman"/>
              </a:defRPr>
            </a:pPr>
          </a:p>
        </c:txPr>
        <c:crossAx val="10630412"/>
        <c:crosses val="autoZero"/>
        <c:crossBetween val="between"/>
      </c:valAx>
      <c:spPr>
        <a:noFill/>
        <a:ln w="0">
          <a:noFill/>
        </a:ln>
      </c:spPr>
    </c:plotArea>
    <c:plotVisOnly val="1"/>
    <c:dispBlanksAs val="gap"/>
  </c:chart>
  <c:spPr>
    <a:solidFill>
      <a:srgbClr val="ffffff"/>
    </a:solidFill>
    <a:ln w="9360">
      <a:noFill/>
    </a:ln>
  </c:spPr>
</c:chartSpace>
</file>

<file path=xl/charts/chart8.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en-US" sz="250" strike="noStrike" u="none">
                <a:solidFill>
                  <a:srgbClr val="000000"/>
                </a:solidFill>
                <a:uFillTx/>
                <a:latin typeface="Arial"/>
                <a:ea typeface="Arial"/>
              </a:rPr>
              <a:t>Year 1 Cash</a:t>
            </a:r>
          </a:p>
        </c:rich>
      </c:tx>
      <c:overlay val="0"/>
      <c:spPr>
        <a:noFill/>
        <a:ln w="25560">
          <a:noFill/>
        </a:ln>
      </c:spPr>
    </c:title>
    <c:autoTitleDeleted val="0"/>
    <c:plotArea>
      <c:barChart>
        <c:barDir val="col"/>
        <c:grouping val="clustered"/>
        <c:varyColors val="0"/>
        <c:ser>
          <c:idx val="0"/>
          <c:order val="0"/>
          <c:spPr>
            <a:solidFill>
              <a:srgbClr val="900000"/>
            </a:solidFill>
            <a:ln w="25560">
              <a:noFill/>
            </a:ln>
          </c:spPr>
          <c:invertIfNegative val="0"/>
        </c:ser>
        <c:ser>
          <c:idx val="1"/>
          <c:order val="1"/>
          <c:spPr>
            <a:solidFill>
              <a:srgbClr val="006411"/>
            </a:solidFill>
            <a:ln w="25560">
              <a:noFill/>
            </a:ln>
          </c:spPr>
          <c:invertIfNegative val="0"/>
        </c:ser>
        <c:gapWidth val="90"/>
        <c:overlap val="-50"/>
        <c:axId val="51971697"/>
        <c:axId val="18852630"/>
      </c:barChart>
      <c:catAx>
        <c:axId val="51971697"/>
        <c:scaling>
          <c:orientation val="minMax"/>
        </c:scaling>
        <c:delete val="0"/>
        <c:axPos val="b"/>
        <c:majorGridlines>
          <c:spPr>
            <a:ln w="3240">
              <a:solidFill>
                <a:srgbClr val="969696"/>
              </a:solidFill>
              <a:round/>
            </a:ln>
          </c:spPr>
        </c:majorGridlines>
        <c:numFmt formatCode="General" sourceLinked="0"/>
        <c:majorTickMark val="out"/>
        <c:minorTickMark val="none"/>
        <c:tickLblPos val="low"/>
        <c:spPr>
          <a:ln w="3240">
            <a:solidFill>
              <a:srgbClr val="969696"/>
            </a:solidFill>
            <a:round/>
          </a:ln>
        </c:spPr>
        <c:txPr>
          <a:bodyPr rot="-5400000"/>
          <a:lstStyle/>
          <a:p>
            <a:pPr>
              <a:defRPr b="0" sz="225" strike="noStrike" u="none">
                <a:solidFill>
                  <a:srgbClr val="000000"/>
                </a:solidFill>
                <a:uFillTx/>
                <a:latin typeface="Times New Roman"/>
                <a:ea typeface="Times New Roman"/>
              </a:defRPr>
            </a:pPr>
          </a:p>
        </c:txPr>
        <c:crossAx val="18852630"/>
        <c:crosses val="autoZero"/>
        <c:auto val="1"/>
        <c:lblAlgn val="ctr"/>
        <c:lblOffset val="100"/>
        <c:noMultiLvlLbl val="0"/>
      </c:catAx>
      <c:valAx>
        <c:axId val="18852630"/>
        <c:scaling>
          <c:orientation val="minMax"/>
        </c:scaling>
        <c:delete val="0"/>
        <c:axPos val="l"/>
        <c:majorGridlines>
          <c:spPr>
            <a:ln w="3240">
              <a:solidFill>
                <a:srgbClr val="969696"/>
              </a:solidFill>
              <a:round/>
            </a:ln>
          </c:spPr>
        </c:majorGridlines>
        <c:numFmt formatCode="\$#,##0" sourceLinked="0"/>
        <c:majorTickMark val="out"/>
        <c:minorTickMark val="none"/>
        <c:tickLblPos val="nextTo"/>
        <c:spPr>
          <a:ln w="3240">
            <a:solidFill>
              <a:srgbClr val="969696"/>
            </a:solidFill>
            <a:round/>
          </a:ln>
        </c:spPr>
        <c:txPr>
          <a:bodyPr/>
          <a:lstStyle/>
          <a:p>
            <a:pPr>
              <a:defRPr b="0" sz="225" strike="noStrike" u="none">
                <a:solidFill>
                  <a:srgbClr val="000000"/>
                </a:solidFill>
                <a:uFillTx/>
                <a:latin typeface="Times New Roman"/>
                <a:ea typeface="Times New Roman"/>
              </a:defRPr>
            </a:pPr>
          </a:p>
        </c:txPr>
        <c:crossAx val="51971697"/>
        <c:crosses val="autoZero"/>
        <c:crossBetween val="between"/>
      </c:valAx>
      <c:spPr>
        <a:noFill/>
        <a:ln w="0">
          <a:noFill/>
        </a:ln>
      </c:spPr>
    </c:plotArea>
    <c:legend>
      <c:legendPos val="r"/>
      <c:overlay val="0"/>
      <c:spPr>
        <a:solidFill>
          <a:srgbClr val="ffffff"/>
        </a:solidFill>
        <a:ln w="25560">
          <a:noFill/>
        </a:ln>
      </c:spPr>
      <c:txPr>
        <a:bodyPr/>
        <a:lstStyle/>
        <a:p>
          <a:pPr>
            <a:defRPr b="0" sz="230" strike="noStrike" u="none">
              <a:solidFill>
                <a:srgbClr val="000000"/>
              </a:solidFill>
              <a:uFillTx/>
              <a:latin typeface="Times New Roman"/>
              <a:ea typeface="Times New Roman"/>
            </a:defRPr>
          </a:pPr>
        </a:p>
      </c:txPr>
    </c:legend>
    <c:plotVisOnly val="1"/>
    <c:dispBlanksAs val="gap"/>
  </c:chart>
  <c:spPr>
    <a:solidFill>
      <a:srgbClr val="ffffff"/>
    </a:solidFill>
    <a:ln w="9360">
      <a:noFill/>
    </a:ln>
  </c:spPr>
</c:chartSpace>
</file>

<file path=xl/charts/chart9.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en-US" sz="250" strike="noStrike" u="none">
                <a:solidFill>
                  <a:srgbClr val="000000"/>
                </a:solidFill>
                <a:uFillTx/>
                <a:latin typeface="Arial"/>
                <a:ea typeface="Arial"/>
              </a:rPr>
              <a:t>Gross Margin &amp; Profit Monthly</a:t>
            </a:r>
          </a:p>
        </c:rich>
      </c:tx>
      <c:overlay val="0"/>
      <c:spPr>
        <a:noFill/>
        <a:ln w="25560">
          <a:noFill/>
        </a:ln>
      </c:spPr>
    </c:title>
    <c:autoTitleDeleted val="0"/>
    <c:plotArea>
      <c:barChart>
        <c:barDir val="col"/>
        <c:grouping val="clustered"/>
        <c:varyColors val="0"/>
        <c:ser>
          <c:idx val="0"/>
          <c:order val="0"/>
          <c:spPr>
            <a:solidFill>
              <a:srgbClr val="900000"/>
            </a:solidFill>
            <a:ln w="25560">
              <a:noFill/>
            </a:ln>
          </c:spPr>
          <c:invertIfNegative val="0"/>
        </c:ser>
        <c:ser>
          <c:idx val="1"/>
          <c:order val="1"/>
          <c:spPr>
            <a:solidFill>
              <a:srgbClr val="006411"/>
            </a:solidFill>
            <a:ln w="25560">
              <a:noFill/>
            </a:ln>
          </c:spPr>
          <c:invertIfNegative val="0"/>
        </c:ser>
        <c:gapWidth val="90"/>
        <c:overlap val="-50"/>
        <c:axId val="90642881"/>
        <c:axId val="81411786"/>
      </c:barChart>
      <c:catAx>
        <c:axId val="90642881"/>
        <c:scaling>
          <c:orientation val="minMax"/>
        </c:scaling>
        <c:delete val="0"/>
        <c:axPos val="b"/>
        <c:numFmt formatCode="General" sourceLinked="0"/>
        <c:majorTickMark val="out"/>
        <c:minorTickMark val="none"/>
        <c:tickLblPos val="low"/>
        <c:spPr>
          <a:ln w="3240">
            <a:solidFill>
              <a:srgbClr val="969696"/>
            </a:solidFill>
            <a:round/>
          </a:ln>
        </c:spPr>
        <c:txPr>
          <a:bodyPr rot="-5400000"/>
          <a:lstStyle/>
          <a:p>
            <a:pPr>
              <a:defRPr b="0" sz="275" strike="noStrike" u="none">
                <a:solidFill>
                  <a:srgbClr val="000000"/>
                </a:solidFill>
                <a:uFillTx/>
                <a:latin typeface="Arial"/>
                <a:ea typeface="Arial"/>
              </a:defRPr>
            </a:pPr>
          </a:p>
        </c:txPr>
        <c:crossAx val="81411786"/>
        <c:crosses val="autoZero"/>
        <c:auto val="1"/>
        <c:lblAlgn val="ctr"/>
        <c:lblOffset val="100"/>
        <c:noMultiLvlLbl val="0"/>
      </c:catAx>
      <c:valAx>
        <c:axId val="81411786"/>
        <c:scaling>
          <c:orientation val="minMax"/>
        </c:scaling>
        <c:delete val="0"/>
        <c:axPos val="l"/>
        <c:majorGridlines>
          <c:spPr>
            <a:ln w="3240">
              <a:solidFill>
                <a:srgbClr val="969696"/>
              </a:solidFill>
              <a:round/>
            </a:ln>
          </c:spPr>
        </c:majorGridlines>
        <c:numFmt formatCode="General" sourceLinked="0"/>
        <c:majorTickMark val="out"/>
        <c:minorTickMark val="none"/>
        <c:tickLblPos val="nextTo"/>
        <c:spPr>
          <a:ln w="3240">
            <a:solidFill>
              <a:srgbClr val="969696"/>
            </a:solidFill>
            <a:round/>
          </a:ln>
        </c:spPr>
        <c:txPr>
          <a:bodyPr/>
          <a:lstStyle/>
          <a:p>
            <a:pPr>
              <a:defRPr b="0" sz="200" strike="noStrike" u="none">
                <a:solidFill>
                  <a:srgbClr val="000000"/>
                </a:solidFill>
                <a:uFillTx/>
                <a:latin typeface="Arial"/>
                <a:ea typeface="Arial"/>
              </a:defRPr>
            </a:pPr>
          </a:p>
        </c:txPr>
        <c:crossAx val="90642881"/>
        <c:crosses val="autoZero"/>
        <c:crossBetween val="between"/>
      </c:valAx>
      <c:spPr>
        <a:noFill/>
        <a:ln w="0">
          <a:noFill/>
        </a:ln>
      </c:spPr>
    </c:plotArea>
    <c:legend>
      <c:legendPos val="r"/>
      <c:overlay val="0"/>
      <c:spPr>
        <a:solidFill>
          <a:srgbClr val="ffffff"/>
        </a:solidFill>
        <a:ln w="25560">
          <a:noFill/>
        </a:ln>
      </c:spPr>
      <c:txPr>
        <a:bodyPr/>
        <a:lstStyle/>
        <a:p>
          <a:pPr>
            <a:defRPr b="0" sz="230" strike="noStrike" u="none">
              <a:solidFill>
                <a:srgbClr val="000000"/>
              </a:solidFill>
              <a:uFillTx/>
              <a:latin typeface="Times New Roman"/>
              <a:ea typeface="Times New Roman"/>
            </a:defRPr>
          </a:pPr>
        </a:p>
      </c:txPr>
    </c:legend>
    <c:plotVisOnly val="1"/>
    <c:dispBlanksAs val="gap"/>
  </c:chart>
  <c:spPr>
    <a:solidFill>
      <a:srgbClr val="ffffff"/>
    </a:solidFill>
    <a:ln w="9360">
      <a:noFill/>
    </a:ln>
  </c:spPr>
</c:chartSpace>
</file>

<file path=xl/drawings/_rels/drawing1.xml.rels><?xml version="1.0" encoding="UTF-8"?>
<Relationships xmlns="http://schemas.openxmlformats.org/package/2006/relationships"><Relationship Id="rId1" Type="http://schemas.openxmlformats.org/officeDocument/2006/relationships/chart" Target="../charts/chart1.xml"/>
</Relationships>
</file>

<file path=xl/drawings/_rels/drawing2.xml.rels><?xml version="1.0" encoding="UTF-8"?>
<Relationships xmlns="http://schemas.openxmlformats.org/package/2006/relationships"><Relationship Id="rId1" Type="http://schemas.openxmlformats.org/officeDocument/2006/relationships/chart" Target="../charts/chart2.xml"/><Relationship Id="rId2" Type="http://schemas.openxmlformats.org/officeDocument/2006/relationships/chart" Target="../charts/chart3.xml"/><Relationship Id="rId3" Type="http://schemas.openxmlformats.org/officeDocument/2006/relationships/chart" Target="../charts/chart4.xml"/><Relationship Id="rId4" Type="http://schemas.openxmlformats.org/officeDocument/2006/relationships/chart" Target="../charts/chart5.xml"/><Relationship Id="rId5" Type="http://schemas.openxmlformats.org/officeDocument/2006/relationships/chart" Target="../charts/chart6.xml"/><Relationship Id="rId6" Type="http://schemas.openxmlformats.org/officeDocument/2006/relationships/chart" Target="../charts/chart7.xml"/><Relationship Id="rId7" Type="http://schemas.openxmlformats.org/officeDocument/2006/relationships/chart" Target="../charts/chart8.xml"/><Relationship Id="rId8" Type="http://schemas.openxmlformats.org/officeDocument/2006/relationships/chart" Target="../charts/chart9.xml"/><Relationship Id="rId9" Type="http://schemas.openxmlformats.org/officeDocument/2006/relationships/chart" Target="../charts/chart10.xml"/><Relationship Id="rId10" Type="http://schemas.openxmlformats.org/officeDocument/2006/relationships/chart" Target="../charts/chart11.xml"/><Relationship Id="rId11" Type="http://schemas.openxmlformats.org/officeDocument/2006/relationships/chart" Target="../charts/chart12.xml"/><Relationship Id="rId12" Type="http://schemas.openxmlformats.org/officeDocument/2006/relationships/chart" Target="../charts/chart13.xml"/><Relationship Id="rId13" Type="http://schemas.openxmlformats.org/officeDocument/2006/relationships/chart" Target="../charts/chart14.xml"/><Relationship Id="rId14" Type="http://schemas.openxmlformats.org/officeDocument/2006/relationships/chart" Target="../charts/chart15.xml"/><Relationship Id="rId15" Type="http://schemas.openxmlformats.org/officeDocument/2006/relationships/chart" Target="../charts/chart16.xml"/><Relationship Id="rId16" Type="http://schemas.openxmlformats.org/officeDocument/2006/relationships/chart" Target="../charts/chart17.xml"/>
</Relationships>
</file>

<file path=xl/drawings/_rels/drawing3.xml.rels><?xml version="1.0" encoding="UTF-8"?>
<Relationships xmlns="http://schemas.openxmlformats.org/package/2006/relationships"><Relationship Id="rId1" Type="http://schemas.openxmlformats.org/officeDocument/2006/relationships/chart" Target="../charts/chart18.xml"/><Relationship Id="rId2" Type="http://schemas.openxmlformats.org/officeDocument/2006/relationships/chart" Target="../charts/chart19.xml"/><Relationship Id="rId3" Type="http://schemas.openxmlformats.org/officeDocument/2006/relationships/chart" Target="../charts/chart20.xml"/><Relationship Id="rId4" Type="http://schemas.openxmlformats.org/officeDocument/2006/relationships/chart" Target="../charts/chart21.xml"/><Relationship Id="rId5" Type="http://schemas.openxmlformats.org/officeDocument/2006/relationships/chart" Target="../charts/chart22.xml"/><Relationship Id="rId6" Type="http://schemas.openxmlformats.org/officeDocument/2006/relationships/chart" Target="../charts/chart23.xml"/><Relationship Id="rId7" Type="http://schemas.openxmlformats.org/officeDocument/2006/relationships/chart" Target="../charts/chart24.xml"/><Relationship Id="rId8" Type="http://schemas.openxmlformats.org/officeDocument/2006/relationships/chart" Target="../charts/chart25.xml"/><Relationship Id="rId9" Type="http://schemas.openxmlformats.org/officeDocument/2006/relationships/chart" Target="../charts/chart26.xml"/><Relationship Id="rId10" Type="http://schemas.openxmlformats.org/officeDocument/2006/relationships/chart" Target="../charts/chart27.xml"/><Relationship Id="rId11" Type="http://schemas.openxmlformats.org/officeDocument/2006/relationships/chart" Target="../charts/chart28.xml"/><Relationship Id="rId12" Type="http://schemas.openxmlformats.org/officeDocument/2006/relationships/chart" Target="../charts/chart29.xml"/><Relationship Id="rId13" Type="http://schemas.openxmlformats.org/officeDocument/2006/relationships/chart" Target="../charts/chart30.xml"/><Relationship Id="rId14" Type="http://schemas.openxmlformats.org/officeDocument/2006/relationships/chart" Target="../charts/chart31.xml"/>
</Relationships>
</file>

<file path=xl/drawings/_rels/drawing4.xml.rels><?xml version="1.0" encoding="UTF-8"?>
<Relationships xmlns="http://schemas.openxmlformats.org/package/2006/relationships"><Relationship Id="rId1" Type="http://schemas.openxmlformats.org/officeDocument/2006/relationships/chart" Target="../charts/chart32.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7</xdr:col>
      <xdr:colOff>204480</xdr:colOff>
      <xdr:row>7</xdr:row>
      <xdr:rowOff>133920</xdr:rowOff>
    </xdr:from>
    <xdr:to>
      <xdr:col>18</xdr:col>
      <xdr:colOff>866520</xdr:colOff>
      <xdr:row>33</xdr:row>
      <xdr:rowOff>146160</xdr:rowOff>
    </xdr:to>
    <xdr:graphicFrame>
      <xdr:nvGraphicFramePr>
        <xdr:cNvPr id="0" name="Chart 1"/>
        <xdr:cNvGraphicFramePr/>
      </xdr:nvGraphicFramePr>
      <xdr:xfrm>
        <a:off x="7335000" y="1276920"/>
        <a:ext cx="8230680" cy="422244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57240</xdr:colOff>
      <xdr:row>70</xdr:row>
      <xdr:rowOff>95760</xdr:rowOff>
    </xdr:from>
    <xdr:to>
      <xdr:col>6</xdr:col>
      <xdr:colOff>173160</xdr:colOff>
      <xdr:row>88</xdr:row>
      <xdr:rowOff>6120</xdr:rowOff>
    </xdr:to>
    <xdr:graphicFrame>
      <xdr:nvGraphicFramePr>
        <xdr:cNvPr id="1" name="Chart 1"/>
        <xdr:cNvGraphicFramePr/>
      </xdr:nvGraphicFramePr>
      <xdr:xfrm>
        <a:off x="57240" y="10897200"/>
        <a:ext cx="6945840" cy="265356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2</xdr:col>
      <xdr:colOff>152280</xdr:colOff>
      <xdr:row>123</xdr:row>
      <xdr:rowOff>19080</xdr:rowOff>
    </xdr:from>
    <xdr:to>
      <xdr:col>8</xdr:col>
      <xdr:colOff>645840</xdr:colOff>
      <xdr:row>123</xdr:row>
      <xdr:rowOff>19080</xdr:rowOff>
    </xdr:to>
    <xdr:graphicFrame>
      <xdr:nvGraphicFramePr>
        <xdr:cNvPr id="2" name="Chart 2"/>
        <xdr:cNvGraphicFramePr/>
      </xdr:nvGraphicFramePr>
      <xdr:xfrm>
        <a:off x="3208680" y="18935640"/>
        <a:ext cx="593964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xdr:col>
      <xdr:colOff>0</xdr:colOff>
      <xdr:row>123</xdr:row>
      <xdr:rowOff>19080</xdr:rowOff>
    </xdr:from>
    <xdr:to>
      <xdr:col>8</xdr:col>
      <xdr:colOff>617400</xdr:colOff>
      <xdr:row>123</xdr:row>
      <xdr:rowOff>19080</xdr:rowOff>
    </xdr:to>
    <xdr:graphicFrame>
      <xdr:nvGraphicFramePr>
        <xdr:cNvPr id="3" name="Chart 3"/>
        <xdr:cNvGraphicFramePr/>
      </xdr:nvGraphicFramePr>
      <xdr:xfrm>
        <a:off x="3056400" y="18935640"/>
        <a:ext cx="606348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2</xdr:col>
      <xdr:colOff>0</xdr:colOff>
      <xdr:row>123</xdr:row>
      <xdr:rowOff>19080</xdr:rowOff>
    </xdr:from>
    <xdr:to>
      <xdr:col>8</xdr:col>
      <xdr:colOff>617400</xdr:colOff>
      <xdr:row>123</xdr:row>
      <xdr:rowOff>19080</xdr:rowOff>
    </xdr:to>
    <xdr:graphicFrame>
      <xdr:nvGraphicFramePr>
        <xdr:cNvPr id="4" name="Chart 4"/>
        <xdr:cNvGraphicFramePr/>
      </xdr:nvGraphicFramePr>
      <xdr:xfrm>
        <a:off x="3056400" y="18935640"/>
        <a:ext cx="606348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2</xdr:col>
      <xdr:colOff>9360</xdr:colOff>
      <xdr:row>123</xdr:row>
      <xdr:rowOff>19080</xdr:rowOff>
    </xdr:from>
    <xdr:to>
      <xdr:col>9</xdr:col>
      <xdr:colOff>100440</xdr:colOff>
      <xdr:row>123</xdr:row>
      <xdr:rowOff>19080</xdr:rowOff>
    </xdr:to>
    <xdr:graphicFrame>
      <xdr:nvGraphicFramePr>
        <xdr:cNvPr id="5" name="Chart 5"/>
        <xdr:cNvGraphicFramePr/>
      </xdr:nvGraphicFramePr>
      <xdr:xfrm>
        <a:off x="3065760" y="18935640"/>
        <a:ext cx="619092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2</xdr:col>
      <xdr:colOff>0</xdr:colOff>
      <xdr:row>123</xdr:row>
      <xdr:rowOff>19080</xdr:rowOff>
    </xdr:from>
    <xdr:to>
      <xdr:col>8</xdr:col>
      <xdr:colOff>617400</xdr:colOff>
      <xdr:row>123</xdr:row>
      <xdr:rowOff>19080</xdr:rowOff>
    </xdr:to>
    <xdr:graphicFrame>
      <xdr:nvGraphicFramePr>
        <xdr:cNvPr id="6" name="Chart 6"/>
        <xdr:cNvGraphicFramePr/>
      </xdr:nvGraphicFramePr>
      <xdr:xfrm>
        <a:off x="3056400" y="18935640"/>
        <a:ext cx="606348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3</xdr:col>
      <xdr:colOff>76320</xdr:colOff>
      <xdr:row>123</xdr:row>
      <xdr:rowOff>19080</xdr:rowOff>
    </xdr:from>
    <xdr:to>
      <xdr:col>9</xdr:col>
      <xdr:colOff>697320</xdr:colOff>
      <xdr:row>123</xdr:row>
      <xdr:rowOff>19080</xdr:rowOff>
    </xdr:to>
    <xdr:graphicFrame>
      <xdr:nvGraphicFramePr>
        <xdr:cNvPr id="7" name="Chart 7"/>
        <xdr:cNvGraphicFramePr/>
      </xdr:nvGraphicFramePr>
      <xdr:xfrm>
        <a:off x="4330800" y="18935640"/>
        <a:ext cx="552276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9</xdr:col>
      <xdr:colOff>790560</xdr:colOff>
      <xdr:row>123</xdr:row>
      <xdr:rowOff>19080</xdr:rowOff>
    </xdr:from>
    <xdr:to>
      <xdr:col>21</xdr:col>
      <xdr:colOff>610560</xdr:colOff>
      <xdr:row>123</xdr:row>
      <xdr:rowOff>19080</xdr:rowOff>
    </xdr:to>
    <xdr:graphicFrame>
      <xdr:nvGraphicFramePr>
        <xdr:cNvPr id="8" name="Chart 8"/>
        <xdr:cNvGraphicFramePr/>
      </xdr:nvGraphicFramePr>
      <xdr:xfrm>
        <a:off x="9946800" y="18935640"/>
        <a:ext cx="830988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10</xdr:col>
      <xdr:colOff>0</xdr:colOff>
      <xdr:row>123</xdr:row>
      <xdr:rowOff>19080</xdr:rowOff>
    </xdr:from>
    <xdr:to>
      <xdr:col>21</xdr:col>
      <xdr:colOff>610560</xdr:colOff>
      <xdr:row>123</xdr:row>
      <xdr:rowOff>19080</xdr:rowOff>
    </xdr:to>
    <xdr:graphicFrame>
      <xdr:nvGraphicFramePr>
        <xdr:cNvPr id="9" name="Chart 9"/>
        <xdr:cNvGraphicFramePr/>
      </xdr:nvGraphicFramePr>
      <xdr:xfrm>
        <a:off x="10001880" y="18935640"/>
        <a:ext cx="825480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0</xdr:col>
      <xdr:colOff>104760</xdr:colOff>
      <xdr:row>6</xdr:row>
      <xdr:rowOff>123840</xdr:rowOff>
    </xdr:from>
    <xdr:to>
      <xdr:col>6</xdr:col>
      <xdr:colOff>106560</xdr:colOff>
      <xdr:row>27</xdr:row>
      <xdr:rowOff>115920</xdr:rowOff>
    </xdr:to>
    <xdr:graphicFrame>
      <xdr:nvGraphicFramePr>
        <xdr:cNvPr id="10" name="Chart 10"/>
        <xdr:cNvGraphicFramePr/>
      </xdr:nvGraphicFramePr>
      <xdr:xfrm>
        <a:off x="104760" y="1076400"/>
        <a:ext cx="6831720" cy="320184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oneCell">
    <xdr:from>
      <xdr:col>0</xdr:col>
      <xdr:colOff>200160</xdr:colOff>
      <xdr:row>36</xdr:row>
      <xdr:rowOff>111960</xdr:rowOff>
    </xdr:from>
    <xdr:to>
      <xdr:col>5</xdr:col>
      <xdr:colOff>582840</xdr:colOff>
      <xdr:row>54</xdr:row>
      <xdr:rowOff>70200</xdr:rowOff>
    </xdr:to>
    <xdr:graphicFrame>
      <xdr:nvGraphicFramePr>
        <xdr:cNvPr id="11" name="Chart 11"/>
        <xdr:cNvGraphicFramePr/>
      </xdr:nvGraphicFramePr>
      <xdr:xfrm>
        <a:off x="200160" y="5684040"/>
        <a:ext cx="6354360" cy="270144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oneCell">
    <xdr:from>
      <xdr:col>0</xdr:col>
      <xdr:colOff>114480</xdr:colOff>
      <xdr:row>102</xdr:row>
      <xdr:rowOff>68760</xdr:rowOff>
    </xdr:from>
    <xdr:to>
      <xdr:col>6</xdr:col>
      <xdr:colOff>230400</xdr:colOff>
      <xdr:row>119</xdr:row>
      <xdr:rowOff>140760</xdr:rowOff>
    </xdr:to>
    <xdr:graphicFrame>
      <xdr:nvGraphicFramePr>
        <xdr:cNvPr id="12" name="Chart 12"/>
        <xdr:cNvGraphicFramePr/>
      </xdr:nvGraphicFramePr>
      <xdr:xfrm>
        <a:off x="114480" y="15784920"/>
        <a:ext cx="6945840" cy="266292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oneCell">
    <xdr:from>
      <xdr:col>0</xdr:col>
      <xdr:colOff>0</xdr:colOff>
      <xdr:row>135</xdr:row>
      <xdr:rowOff>100800</xdr:rowOff>
    </xdr:from>
    <xdr:to>
      <xdr:col>6</xdr:col>
      <xdr:colOff>230400</xdr:colOff>
      <xdr:row>153</xdr:row>
      <xdr:rowOff>106560</xdr:rowOff>
    </xdr:to>
    <xdr:graphicFrame>
      <xdr:nvGraphicFramePr>
        <xdr:cNvPr id="13" name="Chart 13"/>
        <xdr:cNvGraphicFramePr/>
      </xdr:nvGraphicFramePr>
      <xdr:xfrm>
        <a:off x="0" y="20846160"/>
        <a:ext cx="7060320" cy="274896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oneCell">
    <xdr:from>
      <xdr:col>0</xdr:col>
      <xdr:colOff>0</xdr:colOff>
      <xdr:row>154</xdr:row>
      <xdr:rowOff>68040</xdr:rowOff>
    </xdr:from>
    <xdr:to>
      <xdr:col>6</xdr:col>
      <xdr:colOff>239760</xdr:colOff>
      <xdr:row>172</xdr:row>
      <xdr:rowOff>82800</xdr:rowOff>
    </xdr:to>
    <xdr:graphicFrame>
      <xdr:nvGraphicFramePr>
        <xdr:cNvPr id="14" name="Chart 14"/>
        <xdr:cNvGraphicFramePr/>
      </xdr:nvGraphicFramePr>
      <xdr:xfrm>
        <a:off x="0" y="23709240"/>
        <a:ext cx="7069680" cy="275796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oneCell">
    <xdr:from>
      <xdr:col>9</xdr:col>
      <xdr:colOff>152280</xdr:colOff>
      <xdr:row>10</xdr:row>
      <xdr:rowOff>104760</xdr:rowOff>
    </xdr:from>
    <xdr:to>
      <xdr:col>16</xdr:col>
      <xdr:colOff>277920</xdr:colOff>
      <xdr:row>28</xdr:row>
      <xdr:rowOff>68400</xdr:rowOff>
    </xdr:to>
    <xdr:graphicFrame>
      <xdr:nvGraphicFramePr>
        <xdr:cNvPr id="15" name="Chart 15"/>
        <xdr:cNvGraphicFramePr/>
      </xdr:nvGraphicFramePr>
      <xdr:xfrm>
        <a:off x="9308520" y="1666800"/>
        <a:ext cx="5117040" cy="271656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0</xdr:col>
      <xdr:colOff>390600</xdr:colOff>
      <xdr:row>181</xdr:row>
      <xdr:rowOff>140400</xdr:rowOff>
    </xdr:from>
    <xdr:to>
      <xdr:col>6</xdr:col>
      <xdr:colOff>287640</xdr:colOff>
      <xdr:row>198</xdr:row>
      <xdr:rowOff>11160</xdr:rowOff>
    </xdr:to>
    <xdr:graphicFrame>
      <xdr:nvGraphicFramePr>
        <xdr:cNvPr id="16" name="Chart 16"/>
        <xdr:cNvGraphicFramePr/>
      </xdr:nvGraphicFramePr>
      <xdr:xfrm>
        <a:off x="390600" y="27896400"/>
        <a:ext cx="6726960" cy="246132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70</xdr:row>
      <xdr:rowOff>89280</xdr:rowOff>
    </xdr:from>
    <xdr:to>
      <xdr:col>6</xdr:col>
      <xdr:colOff>211320</xdr:colOff>
      <xdr:row>87</xdr:row>
      <xdr:rowOff>152280</xdr:rowOff>
    </xdr:to>
    <xdr:graphicFrame>
      <xdr:nvGraphicFramePr>
        <xdr:cNvPr id="17" name="Chart 1"/>
        <xdr:cNvGraphicFramePr/>
      </xdr:nvGraphicFramePr>
      <xdr:xfrm>
        <a:off x="0" y="10890720"/>
        <a:ext cx="7093440" cy="265356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2</xdr:col>
      <xdr:colOff>152280</xdr:colOff>
      <xdr:row>123</xdr:row>
      <xdr:rowOff>19080</xdr:rowOff>
    </xdr:from>
    <xdr:to>
      <xdr:col>8</xdr:col>
      <xdr:colOff>645480</xdr:colOff>
      <xdr:row>123</xdr:row>
      <xdr:rowOff>19080</xdr:rowOff>
    </xdr:to>
    <xdr:graphicFrame>
      <xdr:nvGraphicFramePr>
        <xdr:cNvPr id="18" name="Chart 2"/>
        <xdr:cNvGraphicFramePr/>
      </xdr:nvGraphicFramePr>
      <xdr:xfrm>
        <a:off x="3222000" y="18935640"/>
        <a:ext cx="580500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xdr:col>
      <xdr:colOff>0</xdr:colOff>
      <xdr:row>123</xdr:row>
      <xdr:rowOff>19080</xdr:rowOff>
    </xdr:from>
    <xdr:to>
      <xdr:col>8</xdr:col>
      <xdr:colOff>617040</xdr:colOff>
      <xdr:row>123</xdr:row>
      <xdr:rowOff>19080</xdr:rowOff>
    </xdr:to>
    <xdr:graphicFrame>
      <xdr:nvGraphicFramePr>
        <xdr:cNvPr id="19" name="Chart 3"/>
        <xdr:cNvGraphicFramePr/>
      </xdr:nvGraphicFramePr>
      <xdr:xfrm>
        <a:off x="3069720" y="18935640"/>
        <a:ext cx="592884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2</xdr:col>
      <xdr:colOff>0</xdr:colOff>
      <xdr:row>123</xdr:row>
      <xdr:rowOff>19080</xdr:rowOff>
    </xdr:from>
    <xdr:to>
      <xdr:col>8</xdr:col>
      <xdr:colOff>617040</xdr:colOff>
      <xdr:row>123</xdr:row>
      <xdr:rowOff>19080</xdr:rowOff>
    </xdr:to>
    <xdr:graphicFrame>
      <xdr:nvGraphicFramePr>
        <xdr:cNvPr id="20" name="Chart 4"/>
        <xdr:cNvGraphicFramePr/>
      </xdr:nvGraphicFramePr>
      <xdr:xfrm>
        <a:off x="3069720" y="18935640"/>
        <a:ext cx="592884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2</xdr:col>
      <xdr:colOff>9360</xdr:colOff>
      <xdr:row>123</xdr:row>
      <xdr:rowOff>19080</xdr:rowOff>
    </xdr:from>
    <xdr:to>
      <xdr:col>9</xdr:col>
      <xdr:colOff>100800</xdr:colOff>
      <xdr:row>123</xdr:row>
      <xdr:rowOff>19080</xdr:rowOff>
    </xdr:to>
    <xdr:graphicFrame>
      <xdr:nvGraphicFramePr>
        <xdr:cNvPr id="21" name="Chart 5"/>
        <xdr:cNvGraphicFramePr/>
      </xdr:nvGraphicFramePr>
      <xdr:xfrm>
        <a:off x="3079080" y="18935640"/>
        <a:ext cx="605664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2</xdr:col>
      <xdr:colOff>0</xdr:colOff>
      <xdr:row>123</xdr:row>
      <xdr:rowOff>19080</xdr:rowOff>
    </xdr:from>
    <xdr:to>
      <xdr:col>8</xdr:col>
      <xdr:colOff>617040</xdr:colOff>
      <xdr:row>123</xdr:row>
      <xdr:rowOff>19080</xdr:rowOff>
    </xdr:to>
    <xdr:graphicFrame>
      <xdr:nvGraphicFramePr>
        <xdr:cNvPr id="22" name="Chart 6"/>
        <xdr:cNvGraphicFramePr/>
      </xdr:nvGraphicFramePr>
      <xdr:xfrm>
        <a:off x="3069720" y="18935640"/>
        <a:ext cx="592884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3</xdr:col>
      <xdr:colOff>76320</xdr:colOff>
      <xdr:row>123</xdr:row>
      <xdr:rowOff>19080</xdr:rowOff>
    </xdr:from>
    <xdr:to>
      <xdr:col>9</xdr:col>
      <xdr:colOff>697320</xdr:colOff>
      <xdr:row>123</xdr:row>
      <xdr:rowOff>19080</xdr:rowOff>
    </xdr:to>
    <xdr:graphicFrame>
      <xdr:nvGraphicFramePr>
        <xdr:cNvPr id="23" name="Chart 7"/>
        <xdr:cNvGraphicFramePr/>
      </xdr:nvGraphicFramePr>
      <xdr:xfrm>
        <a:off x="4344120" y="18935640"/>
        <a:ext cx="538812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9</xdr:col>
      <xdr:colOff>790560</xdr:colOff>
      <xdr:row>123</xdr:row>
      <xdr:rowOff>19080</xdr:rowOff>
    </xdr:from>
    <xdr:to>
      <xdr:col>21</xdr:col>
      <xdr:colOff>610920</xdr:colOff>
      <xdr:row>123</xdr:row>
      <xdr:rowOff>19080</xdr:rowOff>
    </xdr:to>
    <xdr:graphicFrame>
      <xdr:nvGraphicFramePr>
        <xdr:cNvPr id="24" name="Chart 8"/>
        <xdr:cNvGraphicFramePr/>
      </xdr:nvGraphicFramePr>
      <xdr:xfrm>
        <a:off x="9825480" y="18935640"/>
        <a:ext cx="848844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10</xdr:col>
      <xdr:colOff>0</xdr:colOff>
      <xdr:row>123</xdr:row>
      <xdr:rowOff>19080</xdr:rowOff>
    </xdr:from>
    <xdr:to>
      <xdr:col>21</xdr:col>
      <xdr:colOff>610920</xdr:colOff>
      <xdr:row>123</xdr:row>
      <xdr:rowOff>19080</xdr:rowOff>
    </xdr:to>
    <xdr:graphicFrame>
      <xdr:nvGraphicFramePr>
        <xdr:cNvPr id="25" name="Chart 9"/>
        <xdr:cNvGraphicFramePr/>
      </xdr:nvGraphicFramePr>
      <xdr:xfrm>
        <a:off x="9880560" y="18935640"/>
        <a:ext cx="843336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0</xdr:col>
      <xdr:colOff>142920</xdr:colOff>
      <xdr:row>6</xdr:row>
      <xdr:rowOff>123840</xdr:rowOff>
    </xdr:from>
    <xdr:to>
      <xdr:col>6</xdr:col>
      <xdr:colOff>144720</xdr:colOff>
      <xdr:row>27</xdr:row>
      <xdr:rowOff>115920</xdr:rowOff>
    </xdr:to>
    <xdr:graphicFrame>
      <xdr:nvGraphicFramePr>
        <xdr:cNvPr id="26" name="Chart 10"/>
        <xdr:cNvGraphicFramePr/>
      </xdr:nvGraphicFramePr>
      <xdr:xfrm>
        <a:off x="142920" y="1076400"/>
        <a:ext cx="6883920" cy="320184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oneCell">
    <xdr:from>
      <xdr:col>0</xdr:col>
      <xdr:colOff>228600</xdr:colOff>
      <xdr:row>36</xdr:row>
      <xdr:rowOff>45720</xdr:rowOff>
    </xdr:from>
    <xdr:to>
      <xdr:col>5</xdr:col>
      <xdr:colOff>611280</xdr:colOff>
      <xdr:row>53</xdr:row>
      <xdr:rowOff>146520</xdr:rowOff>
    </xdr:to>
    <xdr:graphicFrame>
      <xdr:nvGraphicFramePr>
        <xdr:cNvPr id="27" name="Chart 11"/>
        <xdr:cNvGraphicFramePr/>
      </xdr:nvGraphicFramePr>
      <xdr:xfrm>
        <a:off x="228600" y="5617800"/>
        <a:ext cx="6406200" cy="269172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oneCell">
    <xdr:from>
      <xdr:col>0</xdr:col>
      <xdr:colOff>0</xdr:colOff>
      <xdr:row>102</xdr:row>
      <xdr:rowOff>40320</xdr:rowOff>
    </xdr:from>
    <xdr:to>
      <xdr:col>6</xdr:col>
      <xdr:colOff>439920</xdr:colOff>
      <xdr:row>120</xdr:row>
      <xdr:rowOff>36000</xdr:rowOff>
    </xdr:to>
    <xdr:graphicFrame>
      <xdr:nvGraphicFramePr>
        <xdr:cNvPr id="28" name="Chart 12"/>
        <xdr:cNvGraphicFramePr/>
      </xdr:nvGraphicFramePr>
      <xdr:xfrm>
        <a:off x="0" y="15756480"/>
        <a:ext cx="7322040" cy="273888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oneCell">
    <xdr:from>
      <xdr:col>0</xdr:col>
      <xdr:colOff>0</xdr:colOff>
      <xdr:row>135</xdr:row>
      <xdr:rowOff>72360</xdr:rowOff>
    </xdr:from>
    <xdr:to>
      <xdr:col>6</xdr:col>
      <xdr:colOff>420840</xdr:colOff>
      <xdr:row>153</xdr:row>
      <xdr:rowOff>78120</xdr:rowOff>
    </xdr:to>
    <xdr:graphicFrame>
      <xdr:nvGraphicFramePr>
        <xdr:cNvPr id="29" name="Chart 13"/>
        <xdr:cNvGraphicFramePr/>
      </xdr:nvGraphicFramePr>
      <xdr:xfrm>
        <a:off x="0" y="20817720"/>
        <a:ext cx="7302960" cy="274896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oneCell">
    <xdr:from>
      <xdr:col>0</xdr:col>
      <xdr:colOff>0</xdr:colOff>
      <xdr:row>154</xdr:row>
      <xdr:rowOff>68040</xdr:rowOff>
    </xdr:from>
    <xdr:to>
      <xdr:col>6</xdr:col>
      <xdr:colOff>239760</xdr:colOff>
      <xdr:row>172</xdr:row>
      <xdr:rowOff>73440</xdr:rowOff>
    </xdr:to>
    <xdr:graphicFrame>
      <xdr:nvGraphicFramePr>
        <xdr:cNvPr id="30" name="Chart 14"/>
        <xdr:cNvGraphicFramePr/>
      </xdr:nvGraphicFramePr>
      <xdr:xfrm>
        <a:off x="0" y="23709240"/>
        <a:ext cx="7121880" cy="274860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354600</xdr:colOff>
      <xdr:row>9</xdr:row>
      <xdr:rowOff>85680</xdr:rowOff>
    </xdr:from>
    <xdr:to>
      <xdr:col>11</xdr:col>
      <xdr:colOff>378360</xdr:colOff>
      <xdr:row>32</xdr:row>
      <xdr:rowOff>81720</xdr:rowOff>
    </xdr:to>
    <xdr:graphicFrame>
      <xdr:nvGraphicFramePr>
        <xdr:cNvPr id="31" name="Chart 1"/>
        <xdr:cNvGraphicFramePr/>
      </xdr:nvGraphicFramePr>
      <xdr:xfrm>
        <a:off x="2430360" y="1190520"/>
        <a:ext cx="5457600" cy="29106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xmlns:r="http://schemas.openxmlformats.org/officeDocument/2006/relationships" name="Office Theme 2007 - 2010">
  <a:themeElements>
    <a:clrScheme name="Office 2007 - 2010">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_rels/sheet17.xml.rels><?xml version="1.0" encoding="UTF-8"?>
<Relationships xmlns="http://schemas.openxmlformats.org/package/2006/relationships"><Relationship Id="rId1" Type="http://schemas.openxmlformats.org/officeDocument/2006/relationships/drawing" Target="../drawings/drawing2.xml"/>
</Relationships>
</file>

<file path=xl/worksheets/_rels/sheet20.xml.rels><?xml version="1.0" encoding="UTF-8"?>
<Relationships xmlns="http://schemas.openxmlformats.org/package/2006/relationships"><Relationship Id="rId1" Type="http://schemas.openxmlformats.org/officeDocument/2006/relationships/drawing" Target="../drawings/drawing3.xml"/>
</Relationships>
</file>

<file path=xl/worksheets/_rels/sheet23.xml.rels><?xml version="1.0" encoding="UTF-8"?>
<Relationships xmlns="http://schemas.openxmlformats.org/package/2006/relationships"><Relationship Id="rId1" Type="http://schemas.openxmlformats.org/officeDocument/2006/relationships/drawing" Target="../drawings/drawing4.xml"/>
</Relationships>
</file>

<file path=xl/worksheets/_rels/sheet6.xml.rels><?xml version="1.0" encoding="UTF-8"?>
<Relationships xmlns="http://schemas.openxmlformats.org/package/2006/relationships"><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9" activeCellId="0" sqref="E9"/>
    </sheetView>
  </sheetViews>
  <sheetFormatPr defaultColWidth="8.6328125" defaultRowHeight="15" customHeight="true" zeroHeight="false" outlineLevelRow="0" outlineLevelCol="0"/>
  <cols>
    <col collapsed="false" customWidth="true" hidden="false" outlineLevel="0" max="1" min="1" style="1" width="3"/>
    <col collapsed="false" customWidth="true" hidden="false" outlineLevel="0" max="2" min="2" style="1" width="26.63"/>
    <col collapsed="false" customWidth="true" hidden="false" outlineLevel="0" max="9" min="3" style="1" width="12"/>
  </cols>
  <sheetData>
    <row r="1" customFormat="false" ht="12" hidden="false" customHeight="true" outlineLevel="0" collapsed="false"/>
    <row r="2" customFormat="false" ht="18" hidden="false" customHeight="true" outlineLevel="0" collapsed="false">
      <c r="B2" s="2" t="s">
        <v>0</v>
      </c>
      <c r="C2" s="2"/>
      <c r="D2" s="2"/>
      <c r="E2" s="2"/>
      <c r="F2" s="2"/>
      <c r="G2" s="2"/>
      <c r="H2" s="2"/>
      <c r="I2" s="2"/>
    </row>
    <row r="3" customFormat="false" ht="12" hidden="false" customHeight="true" outlineLevel="0" collapsed="false"/>
    <row r="4" customFormat="false" ht="15" hidden="false" customHeight="true" outlineLevel="0" collapsed="false">
      <c r="B4" s="3" t="s">
        <v>1</v>
      </c>
      <c r="C4" s="3"/>
      <c r="D4" s="3"/>
      <c r="E4" s="3"/>
      <c r="F4" s="3"/>
      <c r="G4" s="3"/>
      <c r="H4" s="3"/>
      <c r="I4" s="3"/>
    </row>
    <row r="5" customFormat="false" ht="15" hidden="false" customHeight="true" outlineLevel="0" collapsed="false">
      <c r="B5" s="4" t="s">
        <v>2</v>
      </c>
      <c r="C5" s="5" t="n">
        <v>115</v>
      </c>
    </row>
    <row r="6" customFormat="false" ht="15" hidden="false" customHeight="true" outlineLevel="0" collapsed="false">
      <c r="B6" s="4" t="s">
        <v>3</v>
      </c>
      <c r="C6" s="6" t="n">
        <v>0.05</v>
      </c>
    </row>
    <row r="7" customFormat="false" ht="15" hidden="false" customHeight="true" outlineLevel="0" collapsed="false">
      <c r="B7" s="4" t="s">
        <v>4</v>
      </c>
      <c r="C7" s="6" t="n">
        <v>0.1</v>
      </c>
    </row>
    <row r="8" customFormat="false" ht="15" hidden="false" customHeight="true" outlineLevel="0" collapsed="false">
      <c r="B8" s="4" t="s">
        <v>5</v>
      </c>
      <c r="C8" s="7" t="n">
        <v>1</v>
      </c>
    </row>
    <row r="9" customFormat="false" ht="15" hidden="false" customHeight="true" outlineLevel="0" collapsed="false">
      <c r="B9" s="4" t="s">
        <v>6</v>
      </c>
      <c r="C9" s="7" t="n">
        <v>1</v>
      </c>
    </row>
    <row r="10" customFormat="false" ht="15" hidden="false" customHeight="true" outlineLevel="0" collapsed="false">
      <c r="B10" s="4" t="s">
        <v>7</v>
      </c>
      <c r="C10" s="7" t="n">
        <v>1.45</v>
      </c>
    </row>
    <row r="11" customFormat="false" ht="15" hidden="false" customHeight="true" outlineLevel="0" collapsed="false">
      <c r="B11" s="4" t="s">
        <v>8</v>
      </c>
      <c r="C11" s="8" t="n">
        <f aca="false">1-1/C10</f>
        <v>0.310344827586207</v>
      </c>
    </row>
    <row r="12" customFormat="false" ht="12" hidden="false" customHeight="true" outlineLevel="0" collapsed="false"/>
    <row r="13" customFormat="false" ht="15" hidden="false" customHeight="true" outlineLevel="0" collapsed="false">
      <c r="B13" s="3" t="s">
        <v>9</v>
      </c>
      <c r="C13" s="3"/>
      <c r="D13" s="3"/>
      <c r="E13" s="3"/>
      <c r="F13" s="3"/>
      <c r="G13" s="3"/>
      <c r="H13" s="3"/>
      <c r="I13" s="3"/>
    </row>
    <row r="14" customFormat="false" ht="30" hidden="false" customHeight="true" outlineLevel="0" collapsed="false">
      <c r="B14" s="9" t="s">
        <v>10</v>
      </c>
      <c r="C14" s="9" t="s">
        <v>11</v>
      </c>
      <c r="D14" s="9" t="s">
        <v>12</v>
      </c>
      <c r="E14" s="9" t="s">
        <v>13</v>
      </c>
      <c r="F14" s="9" t="s">
        <v>14</v>
      </c>
    </row>
    <row r="15" customFormat="false" ht="15" hidden="false" customHeight="true" outlineLevel="0" collapsed="false">
      <c r="B15" s="10" t="n">
        <v>2.5</v>
      </c>
      <c r="C15" s="11" t="s">
        <v>15</v>
      </c>
      <c r="D15" s="12" t="n">
        <v>0.18</v>
      </c>
      <c r="E15" s="12" t="n">
        <v>0.05</v>
      </c>
      <c r="F15" s="12" t="n">
        <v>0.35</v>
      </c>
    </row>
    <row r="16" customFormat="false" ht="15" hidden="false" customHeight="true" outlineLevel="0" collapsed="false">
      <c r="B16" s="10" t="n">
        <v>3</v>
      </c>
      <c r="C16" s="11" t="s">
        <v>15</v>
      </c>
      <c r="D16" s="12" t="n">
        <v>0.2</v>
      </c>
      <c r="E16" s="12" t="n">
        <v>0.06</v>
      </c>
      <c r="F16" s="12" t="n">
        <v>0.4</v>
      </c>
    </row>
    <row r="17" customFormat="false" ht="15" hidden="false" customHeight="true" outlineLevel="0" collapsed="false">
      <c r="B17" s="10" t="n">
        <v>4</v>
      </c>
      <c r="C17" s="11" t="s">
        <v>15</v>
      </c>
      <c r="D17" s="12" t="n">
        <v>0.24</v>
      </c>
      <c r="E17" s="12" t="n">
        <v>0.07</v>
      </c>
      <c r="F17" s="12" t="n">
        <v>0.5</v>
      </c>
    </row>
    <row r="18" customFormat="false" ht="15" hidden="false" customHeight="true" outlineLevel="0" collapsed="false">
      <c r="B18" s="10" t="n">
        <v>6</v>
      </c>
      <c r="C18" s="11" t="s">
        <v>15</v>
      </c>
      <c r="D18" s="12" t="n">
        <v>0.32</v>
      </c>
      <c r="E18" s="12" t="n">
        <v>0.1</v>
      </c>
      <c r="F18" s="12" t="n">
        <v>0.7</v>
      </c>
    </row>
    <row r="19" customFormat="false" ht="15" hidden="false" customHeight="true" outlineLevel="0" collapsed="false">
      <c r="B19" s="10" t="n">
        <v>8</v>
      </c>
      <c r="C19" s="11" t="s">
        <v>15</v>
      </c>
      <c r="D19" s="12" t="n">
        <v>0.4</v>
      </c>
      <c r="E19" s="12" t="n">
        <v>0.13</v>
      </c>
      <c r="F19" s="12" t="n">
        <v>0.9</v>
      </c>
    </row>
    <row r="20" customFormat="false" ht="15" hidden="false" customHeight="true" outlineLevel="0" collapsed="false">
      <c r="B20" s="10" t="n">
        <v>10</v>
      </c>
      <c r="C20" s="11" t="s">
        <v>15</v>
      </c>
      <c r="D20" s="12" t="n">
        <v>0.5</v>
      </c>
      <c r="E20" s="12" t="n">
        <v>0.16</v>
      </c>
      <c r="F20" s="12" t="n">
        <v>1.1</v>
      </c>
    </row>
    <row r="21" customFormat="false" ht="15" hidden="false" customHeight="true" outlineLevel="0" collapsed="false">
      <c r="B21" s="10" t="n">
        <v>12</v>
      </c>
      <c r="C21" s="11" t="s">
        <v>15</v>
      </c>
      <c r="D21" s="12" t="n">
        <v>0.6</v>
      </c>
      <c r="E21" s="12" t="n">
        <v>0.2</v>
      </c>
      <c r="F21" s="12" t="n">
        <v>1.3</v>
      </c>
    </row>
    <row r="22" customFormat="false" ht="15" hidden="false" customHeight="true" outlineLevel="0" collapsed="false">
      <c r="B22" s="10" t="n">
        <v>14</v>
      </c>
      <c r="C22" s="11" t="s">
        <v>15</v>
      </c>
      <c r="D22" s="12" t="n">
        <v>0.72</v>
      </c>
      <c r="E22" s="12" t="n">
        <v>0.24</v>
      </c>
      <c r="F22" s="12" t="n">
        <v>1.5</v>
      </c>
    </row>
    <row r="23" customFormat="false" ht="15" hidden="false" customHeight="true" outlineLevel="0" collapsed="false">
      <c r="B23" s="10" t="n">
        <v>16</v>
      </c>
      <c r="C23" s="11" t="s">
        <v>15</v>
      </c>
      <c r="D23" s="12" t="n">
        <v>0.85</v>
      </c>
      <c r="E23" s="12" t="n">
        <v>0.28</v>
      </c>
      <c r="F23" s="12" t="n">
        <v>1.8</v>
      </c>
    </row>
    <row r="24" customFormat="false" ht="15" hidden="false" customHeight="true" outlineLevel="0" collapsed="false">
      <c r="B24" s="10" t="n">
        <v>20</v>
      </c>
      <c r="C24" s="11" t="s">
        <v>15</v>
      </c>
      <c r="D24" s="12" t="n">
        <v>1.1</v>
      </c>
      <c r="E24" s="12" t="n">
        <v>0.36</v>
      </c>
      <c r="F24" s="12" t="n">
        <v>2.3</v>
      </c>
    </row>
    <row r="25" customFormat="false" ht="15" hidden="false" customHeight="true" outlineLevel="0" collapsed="false">
      <c r="B25" s="10" t="n">
        <v>24</v>
      </c>
      <c r="C25" s="11" t="s">
        <v>15</v>
      </c>
      <c r="D25" s="12" t="n">
        <v>1.35</v>
      </c>
      <c r="E25" s="12" t="n">
        <v>0.44</v>
      </c>
      <c r="F25" s="12" t="n">
        <v>2.8</v>
      </c>
    </row>
    <row r="26" customFormat="false" ht="15" hidden="false" customHeight="true" outlineLevel="0" collapsed="false">
      <c r="B26" s="10" t="n">
        <v>30</v>
      </c>
      <c r="C26" s="11" t="s">
        <v>15</v>
      </c>
      <c r="D26" s="12" t="n">
        <v>1.75</v>
      </c>
      <c r="E26" s="12" t="n">
        <v>0.55</v>
      </c>
      <c r="F26" s="12" t="n">
        <v>3.6</v>
      </c>
    </row>
    <row r="27" customFormat="false" ht="15" hidden="false" customHeight="true" outlineLevel="0" collapsed="false">
      <c r="B27" s="10" t="n">
        <v>36</v>
      </c>
      <c r="C27" s="11" t="s">
        <v>15</v>
      </c>
      <c r="D27" s="12" t="n">
        <v>2.2</v>
      </c>
      <c r="E27" s="12" t="n">
        <v>0.66</v>
      </c>
      <c r="F27" s="12" t="n">
        <v>4.5</v>
      </c>
    </row>
    <row r="28" customFormat="false" ht="15" hidden="false" customHeight="true" outlineLevel="0" collapsed="false">
      <c r="B28" s="10" t="n">
        <v>42</v>
      </c>
      <c r="C28" s="11" t="s">
        <v>15</v>
      </c>
      <c r="D28" s="12" t="n">
        <v>2.65</v>
      </c>
      <c r="E28" s="12" t="n">
        <v>0.78</v>
      </c>
      <c r="F28" s="12" t="n">
        <v>5.5</v>
      </c>
    </row>
    <row r="29" customFormat="false" ht="15" hidden="false" customHeight="true" outlineLevel="0" collapsed="false">
      <c r="B29" s="10" t="n">
        <v>48</v>
      </c>
      <c r="C29" s="11" t="s">
        <v>15</v>
      </c>
      <c r="D29" s="12" t="n">
        <v>3.1</v>
      </c>
      <c r="E29" s="12" t="n">
        <v>0.9</v>
      </c>
      <c r="F29" s="12" t="n">
        <v>6.6</v>
      </c>
    </row>
    <row r="30" customFormat="false" ht="12" hidden="false" customHeight="true" outlineLevel="0" collapsed="false"/>
    <row r="31" customFormat="false" ht="12" hidden="false" customHeight="true" outlineLevel="0" collapsed="false"/>
    <row r="32" customFormat="false" ht="15" hidden="false" customHeight="true" outlineLevel="0" collapsed="false">
      <c r="B32" s="3" t="s">
        <v>16</v>
      </c>
      <c r="C32" s="3"/>
      <c r="D32" s="3"/>
      <c r="E32" s="3"/>
      <c r="F32" s="3"/>
      <c r="G32" s="3"/>
      <c r="H32" s="3"/>
      <c r="I32" s="3"/>
    </row>
    <row r="33" customFormat="false" ht="30" hidden="false" customHeight="true" outlineLevel="0" collapsed="false">
      <c r="B33" s="9" t="s">
        <v>17</v>
      </c>
      <c r="C33" s="9" t="s">
        <v>18</v>
      </c>
      <c r="D33" s="9" t="s">
        <v>19</v>
      </c>
      <c r="E33" s="9" t="s">
        <v>20</v>
      </c>
      <c r="F33" s="9" t="s">
        <v>21</v>
      </c>
      <c r="G33" s="9" t="s">
        <v>22</v>
      </c>
      <c r="H33" s="9" t="s">
        <v>23</v>
      </c>
    </row>
    <row r="34" customFormat="false" ht="15" hidden="false" customHeight="true" outlineLevel="0" collapsed="false">
      <c r="B34" s="10" t="n">
        <f aca="false">B15</f>
        <v>2.5</v>
      </c>
      <c r="C34" s="13" t="n">
        <f aca="false">D15+$C$8*E15+$C$9*F15</f>
        <v>0.58</v>
      </c>
      <c r="D34" s="14" t="n">
        <f aca="false">C34*$C$5*$C$10/B34</f>
        <v>38.686</v>
      </c>
      <c r="E34" s="14" t="n">
        <f aca="false">D34*(1+$C$7)^1</f>
        <v>42.5546</v>
      </c>
      <c r="F34" s="14" t="n">
        <f aca="false">D34*(1+$C$7)^2</f>
        <v>46.81006</v>
      </c>
      <c r="G34" s="14" t="n">
        <f aca="false">D34*(1+$C$7)^3</f>
        <v>51.491066</v>
      </c>
      <c r="H34" s="14" t="n">
        <f aca="false">D34*(1+$C$7)^4</f>
        <v>56.6401726</v>
      </c>
    </row>
    <row r="35" customFormat="false" ht="15" hidden="false" customHeight="true" outlineLevel="0" collapsed="false">
      <c r="B35" s="10" t="n">
        <f aca="false">B16</f>
        <v>3</v>
      </c>
      <c r="C35" s="13" t="n">
        <f aca="false">D16+$C$8*E16+$C$9*F16</f>
        <v>0.66</v>
      </c>
      <c r="D35" s="14" t="n">
        <f aca="false">C35*$C$5*$C$10/B35</f>
        <v>36.685</v>
      </c>
      <c r="E35" s="14" t="n">
        <f aca="false">D35*(1+$C$7)^1</f>
        <v>40.3535</v>
      </c>
      <c r="F35" s="14" t="n">
        <f aca="false">D35*(1+$C$7)^2</f>
        <v>44.38885</v>
      </c>
      <c r="G35" s="14" t="n">
        <f aca="false">D35*(1+$C$7)^3</f>
        <v>48.827735</v>
      </c>
      <c r="H35" s="14" t="n">
        <f aca="false">D35*(1+$C$7)^4</f>
        <v>53.7105085</v>
      </c>
    </row>
    <row r="36" customFormat="false" ht="15" hidden="false" customHeight="true" outlineLevel="0" collapsed="false">
      <c r="B36" s="10" t="n">
        <f aca="false">B17</f>
        <v>4</v>
      </c>
      <c r="C36" s="13" t="n">
        <f aca="false">D17+$C$8*E17+$C$9*F17</f>
        <v>0.81</v>
      </c>
      <c r="D36" s="14" t="n">
        <f aca="false">C36*$C$5*$C$10/B36</f>
        <v>33.766875</v>
      </c>
      <c r="E36" s="14" t="n">
        <f aca="false">D36*(1+$C$7)^1</f>
        <v>37.1435625</v>
      </c>
      <c r="F36" s="14" t="n">
        <f aca="false">D36*(1+$C$7)^2</f>
        <v>40.85791875</v>
      </c>
      <c r="G36" s="14" t="n">
        <f aca="false">D36*(1+$C$7)^3</f>
        <v>44.943710625</v>
      </c>
      <c r="H36" s="14" t="n">
        <f aca="false">D36*(1+$C$7)^4</f>
        <v>49.4380816875</v>
      </c>
    </row>
    <row r="37" customFormat="false" ht="15" hidden="false" customHeight="true" outlineLevel="0" collapsed="false">
      <c r="B37" s="10" t="n">
        <f aca="false">B18</f>
        <v>6</v>
      </c>
      <c r="C37" s="13" t="n">
        <f aca="false">D18+$C$8*E18+$C$9*F18</f>
        <v>1.12</v>
      </c>
      <c r="D37" s="14" t="n">
        <f aca="false">C37*$C$5*$C$10/B37</f>
        <v>31.1266666666667</v>
      </c>
      <c r="E37" s="14" t="n">
        <f aca="false">D37*(1+$C$7)^1</f>
        <v>34.2393333333333</v>
      </c>
      <c r="F37" s="14" t="n">
        <f aca="false">D37*(1+$C$7)^2</f>
        <v>37.6632666666667</v>
      </c>
      <c r="G37" s="14" t="n">
        <f aca="false">D37*(1+$C$7)^3</f>
        <v>41.4295933333334</v>
      </c>
      <c r="H37" s="14" t="n">
        <f aca="false">D37*(1+$C$7)^4</f>
        <v>45.5725526666667</v>
      </c>
    </row>
    <row r="38" customFormat="false" ht="15" hidden="false" customHeight="true" outlineLevel="0" collapsed="false">
      <c r="B38" s="10" t="n">
        <f aca="false">B19</f>
        <v>8</v>
      </c>
      <c r="C38" s="13" t="n">
        <f aca="false">D19+$C$8*E19+$C$9*F19</f>
        <v>1.43</v>
      </c>
      <c r="D38" s="14" t="n">
        <f aca="false">C38*$C$5*$C$10/B38</f>
        <v>29.8065625</v>
      </c>
      <c r="E38" s="14" t="n">
        <f aca="false">D38*(1+$C$7)^1</f>
        <v>32.78721875</v>
      </c>
      <c r="F38" s="14" t="n">
        <f aca="false">D38*(1+$C$7)^2</f>
        <v>36.065940625</v>
      </c>
      <c r="G38" s="14" t="n">
        <f aca="false">D38*(1+$C$7)^3</f>
        <v>39.6725346875</v>
      </c>
      <c r="H38" s="14" t="n">
        <f aca="false">D38*(1+$C$7)^4</f>
        <v>43.63978815625</v>
      </c>
    </row>
    <row r="39" customFormat="false" ht="15" hidden="false" customHeight="true" outlineLevel="0" collapsed="false">
      <c r="B39" s="10" t="n">
        <f aca="false">B20</f>
        <v>10</v>
      </c>
      <c r="C39" s="13" t="n">
        <f aca="false">D20+$C$8*E20+$C$9*F20</f>
        <v>1.76</v>
      </c>
      <c r="D39" s="14" t="n">
        <f aca="false">C39*$C$5*$C$10/B39</f>
        <v>29.348</v>
      </c>
      <c r="E39" s="14" t="n">
        <f aca="false">D39*(1+$C$7)^1</f>
        <v>32.2828</v>
      </c>
      <c r="F39" s="14" t="n">
        <f aca="false">D39*(1+$C$7)^2</f>
        <v>35.51108</v>
      </c>
      <c r="G39" s="14" t="n">
        <f aca="false">D39*(1+$C$7)^3</f>
        <v>39.062188</v>
      </c>
      <c r="H39" s="14" t="n">
        <f aca="false">D39*(1+$C$7)^4</f>
        <v>42.9684068</v>
      </c>
    </row>
    <row r="40" customFormat="false" ht="15" hidden="false" customHeight="true" outlineLevel="0" collapsed="false">
      <c r="B40" s="10" t="n">
        <f aca="false">B21</f>
        <v>12</v>
      </c>
      <c r="C40" s="13" t="n">
        <f aca="false">D21+$C$8*E21+$C$9*F21</f>
        <v>2.1</v>
      </c>
      <c r="D40" s="14" t="n">
        <f aca="false">C40*$C$5*$C$10/B40</f>
        <v>29.18125</v>
      </c>
      <c r="E40" s="14" t="n">
        <f aca="false">D40*(1+$C$7)^1</f>
        <v>32.099375</v>
      </c>
      <c r="F40" s="14" t="n">
        <f aca="false">D40*(1+$C$7)^2</f>
        <v>35.3093125</v>
      </c>
      <c r="G40" s="14" t="n">
        <f aca="false">D40*(1+$C$7)^3</f>
        <v>38.84024375</v>
      </c>
      <c r="H40" s="14" t="n">
        <f aca="false">D40*(1+$C$7)^4</f>
        <v>42.724268125</v>
      </c>
    </row>
    <row r="41" customFormat="false" ht="15" hidden="false" customHeight="true" outlineLevel="0" collapsed="false">
      <c r="B41" s="10" t="n">
        <f aca="false">B22</f>
        <v>14</v>
      </c>
      <c r="C41" s="13" t="n">
        <f aca="false">D22+$C$8*E22+$C$9*F22</f>
        <v>2.46</v>
      </c>
      <c r="D41" s="14" t="n">
        <f aca="false">C41*$C$5*$C$10/B41</f>
        <v>29.3003571428571</v>
      </c>
      <c r="E41" s="14" t="n">
        <f aca="false">D41*(1+$C$7)^1</f>
        <v>32.2303928571429</v>
      </c>
      <c r="F41" s="14" t="n">
        <f aca="false">D41*(1+$C$7)^2</f>
        <v>35.4534321428571</v>
      </c>
      <c r="G41" s="14" t="n">
        <f aca="false">D41*(1+$C$7)^3</f>
        <v>38.9987753571429</v>
      </c>
      <c r="H41" s="14" t="n">
        <f aca="false">D41*(1+$C$7)^4</f>
        <v>42.8986528928572</v>
      </c>
    </row>
    <row r="42" customFormat="false" ht="15" hidden="false" customHeight="true" outlineLevel="0" collapsed="false">
      <c r="B42" s="10" t="n">
        <f aca="false">B23</f>
        <v>16</v>
      </c>
      <c r="C42" s="13" t="n">
        <f aca="false">D23+$C$8*E23+$C$9*F23</f>
        <v>2.93</v>
      </c>
      <c r="D42" s="14" t="n">
        <f aca="false">C42*$C$5*$C$10/B42</f>
        <v>30.53609375</v>
      </c>
      <c r="E42" s="14" t="n">
        <f aca="false">D42*(1+$C$7)^1</f>
        <v>33.589703125</v>
      </c>
      <c r="F42" s="14" t="n">
        <f aca="false">D42*(1+$C$7)^2</f>
        <v>36.9486734375</v>
      </c>
      <c r="G42" s="14" t="n">
        <f aca="false">D42*(1+$C$7)^3</f>
        <v>40.64354078125</v>
      </c>
      <c r="H42" s="14" t="n">
        <f aca="false">D42*(1+$C$7)^4</f>
        <v>44.707894859375</v>
      </c>
    </row>
    <row r="43" customFormat="false" ht="15" hidden="false" customHeight="true" outlineLevel="0" collapsed="false">
      <c r="B43" s="10" t="n">
        <f aca="false">B24</f>
        <v>20</v>
      </c>
      <c r="C43" s="13" t="n">
        <f aca="false">D24+$C$8*E24+$C$9*F24</f>
        <v>3.76</v>
      </c>
      <c r="D43" s="14" t="n">
        <f aca="false">C43*$C$5*$C$10/B43</f>
        <v>31.349</v>
      </c>
      <c r="E43" s="14" t="n">
        <f aca="false">D43*(1+$C$7)^1</f>
        <v>34.4839</v>
      </c>
      <c r="F43" s="14" t="n">
        <f aca="false">D43*(1+$C$7)^2</f>
        <v>37.93229</v>
      </c>
      <c r="G43" s="14" t="n">
        <f aca="false">D43*(1+$C$7)^3</f>
        <v>41.725519</v>
      </c>
      <c r="H43" s="14" t="n">
        <f aca="false">D43*(1+$C$7)^4</f>
        <v>45.8980709</v>
      </c>
    </row>
    <row r="44" customFormat="false" ht="15" hidden="false" customHeight="true" outlineLevel="0" collapsed="false">
      <c r="B44" s="10" t="n">
        <f aca="false">B25</f>
        <v>24</v>
      </c>
      <c r="C44" s="13" t="n">
        <f aca="false">D25+$C$8*E25+$C$9*F25</f>
        <v>4.59</v>
      </c>
      <c r="D44" s="14" t="n">
        <f aca="false">C44*$C$5*$C$10/B44</f>
        <v>31.8909375</v>
      </c>
      <c r="E44" s="14" t="n">
        <f aca="false">D44*(1+$C$7)^1</f>
        <v>35.08003125</v>
      </c>
      <c r="F44" s="14" t="n">
        <f aca="false">D44*(1+$C$7)^2</f>
        <v>38.588034375</v>
      </c>
      <c r="G44" s="14" t="n">
        <f aca="false">D44*(1+$C$7)^3</f>
        <v>42.4468378125</v>
      </c>
      <c r="H44" s="14" t="n">
        <f aca="false">D44*(1+$C$7)^4</f>
        <v>46.69152159375</v>
      </c>
    </row>
    <row r="45" customFormat="false" ht="15" hidden="false" customHeight="true" outlineLevel="0" collapsed="false">
      <c r="B45" s="10" t="n">
        <f aca="false">B26</f>
        <v>30</v>
      </c>
      <c r="C45" s="13" t="n">
        <f aca="false">D26+$C$8*E26+$C$9*F26</f>
        <v>5.9</v>
      </c>
      <c r="D45" s="14" t="n">
        <f aca="false">C45*$C$5*$C$10/B45</f>
        <v>32.7941666666667</v>
      </c>
      <c r="E45" s="14" t="n">
        <f aca="false">D45*(1+$C$7)^1</f>
        <v>36.0735833333333</v>
      </c>
      <c r="F45" s="14" t="n">
        <f aca="false">D45*(1+$C$7)^2</f>
        <v>39.6809416666667</v>
      </c>
      <c r="G45" s="14" t="n">
        <f aca="false">D45*(1+$C$7)^3</f>
        <v>43.6490358333333</v>
      </c>
      <c r="H45" s="14" t="n">
        <f aca="false">D45*(1+$C$7)^4</f>
        <v>48.0139394166667</v>
      </c>
    </row>
    <row r="46" customFormat="false" ht="15" hidden="false" customHeight="true" outlineLevel="0" collapsed="false">
      <c r="B46" s="10" t="n">
        <f aca="false">B27</f>
        <v>36</v>
      </c>
      <c r="C46" s="13" t="n">
        <f aca="false">D27+$C$8*E27+$C$9*F27</f>
        <v>7.36</v>
      </c>
      <c r="D46" s="14" t="n">
        <f aca="false">C46*$C$5*$C$10/B46</f>
        <v>34.0911111111111</v>
      </c>
      <c r="E46" s="14" t="n">
        <f aca="false">D46*(1+$C$7)^1</f>
        <v>37.5002222222222</v>
      </c>
      <c r="F46" s="14" t="n">
        <f aca="false">D46*(1+$C$7)^2</f>
        <v>41.2502444444445</v>
      </c>
      <c r="G46" s="14" t="n">
        <f aca="false">D46*(1+$C$7)^3</f>
        <v>45.3752688888889</v>
      </c>
      <c r="H46" s="14" t="n">
        <f aca="false">D46*(1+$C$7)^4</f>
        <v>49.9127957777778</v>
      </c>
    </row>
    <row r="47" customFormat="false" ht="15" hidden="false" customHeight="true" outlineLevel="0" collapsed="false">
      <c r="B47" s="10" t="n">
        <f aca="false">B28</f>
        <v>42</v>
      </c>
      <c r="C47" s="13" t="n">
        <f aca="false">D28+$C$8*E28+$C$9*F28</f>
        <v>8.93</v>
      </c>
      <c r="D47" s="14" t="n">
        <f aca="false">C47*$C$5*$C$10/B47</f>
        <v>35.4542261904762</v>
      </c>
      <c r="E47" s="14" t="n">
        <f aca="false">D47*(1+$C$7)^1</f>
        <v>38.9996488095238</v>
      </c>
      <c r="F47" s="14" t="n">
        <f aca="false">D47*(1+$C$7)^2</f>
        <v>42.8996136904762</v>
      </c>
      <c r="G47" s="14" t="n">
        <f aca="false">D47*(1+$C$7)^3</f>
        <v>47.1895750595238</v>
      </c>
      <c r="H47" s="14" t="n">
        <f aca="false">D47*(1+$C$7)^4</f>
        <v>51.9085325654762</v>
      </c>
    </row>
    <row r="48" customFormat="false" ht="15" hidden="false" customHeight="true" outlineLevel="0" collapsed="false">
      <c r="B48" s="10" t="n">
        <f aca="false">B29</f>
        <v>48</v>
      </c>
      <c r="C48" s="13" t="n">
        <f aca="false">D29+$C$8*E29+$C$9*F29</f>
        <v>10.6</v>
      </c>
      <c r="D48" s="14" t="n">
        <f aca="false">C48*$C$5*$C$10/B48</f>
        <v>36.8239583333333</v>
      </c>
      <c r="E48" s="14" t="n">
        <f aca="false">D48*(1+$C$7)^1</f>
        <v>40.5063541666667</v>
      </c>
      <c r="F48" s="14" t="n">
        <f aca="false">D48*(1+$C$7)^2</f>
        <v>44.5569895833333</v>
      </c>
      <c r="G48" s="14" t="n">
        <f aca="false">D48*(1+$C$7)^3</f>
        <v>49.0126885416667</v>
      </c>
      <c r="H48" s="14" t="n">
        <f aca="false">D48*(1+$C$7)^4</f>
        <v>53.9139573958333</v>
      </c>
    </row>
    <row r="49" customFormat="false" ht="12" hidden="false" customHeight="true" outlineLevel="0" collapsed="false"/>
    <row r="50" customFormat="false" ht="12" hidden="false" customHeight="true" outlineLevel="0" collapsed="false"/>
    <row r="51" customFormat="false" ht="15" hidden="false" customHeight="true" outlineLevel="0" collapsed="false">
      <c r="A51" s="15"/>
      <c r="B51" s="16" t="s">
        <v>24</v>
      </c>
      <c r="C51" s="16"/>
      <c r="D51" s="16"/>
      <c r="E51" s="16"/>
      <c r="F51" s="16"/>
      <c r="G51" s="16"/>
      <c r="H51" s="16"/>
      <c r="I51" s="15"/>
      <c r="J51" s="15"/>
      <c r="K51" s="15"/>
    </row>
    <row r="52" customFormat="false" ht="30" hidden="false" customHeight="true" outlineLevel="0" collapsed="false">
      <c r="A52" s="15"/>
      <c r="B52" s="17" t="s">
        <v>25</v>
      </c>
      <c r="C52" s="17"/>
      <c r="D52" s="17"/>
      <c r="E52" s="17"/>
      <c r="F52" s="17"/>
      <c r="G52" s="17"/>
      <c r="H52" s="17"/>
      <c r="I52" s="18"/>
      <c r="J52" s="15"/>
      <c r="K52" s="15"/>
    </row>
    <row r="53" customFormat="false" ht="15" hidden="false" customHeight="true" outlineLevel="0" collapsed="false">
      <c r="A53" s="15"/>
      <c r="B53" s="17" t="s">
        <v>26</v>
      </c>
      <c r="C53" s="17"/>
      <c r="D53" s="17"/>
      <c r="E53" s="17"/>
      <c r="F53" s="17"/>
      <c r="G53" s="17"/>
      <c r="H53" s="17"/>
      <c r="I53" s="19"/>
      <c r="J53" s="15"/>
      <c r="K53" s="15"/>
    </row>
    <row r="54" customFormat="false" ht="15" hidden="false" customHeight="true" outlineLevel="0" collapsed="false">
      <c r="A54" s="15"/>
      <c r="B54" s="17" t="s">
        <v>27</v>
      </c>
      <c r="C54" s="17"/>
      <c r="D54" s="17"/>
      <c r="E54" s="17"/>
      <c r="F54" s="17"/>
      <c r="G54" s="17"/>
      <c r="H54" s="17"/>
      <c r="I54" s="19"/>
      <c r="J54" s="15"/>
      <c r="K54" s="15"/>
    </row>
    <row r="55" customFormat="false" ht="15" hidden="false" customHeight="true" outlineLevel="0" collapsed="false">
      <c r="A55" s="15"/>
      <c r="B55" s="17" t="s">
        <v>28</v>
      </c>
      <c r="C55" s="17"/>
      <c r="D55" s="17"/>
      <c r="E55" s="17"/>
      <c r="F55" s="17"/>
      <c r="G55" s="17"/>
      <c r="H55" s="17"/>
      <c r="I55" s="19"/>
      <c r="J55" s="15"/>
      <c r="K55" s="15"/>
    </row>
    <row r="56" customFormat="false" ht="15" hidden="false" customHeight="true" outlineLevel="0" collapsed="false">
      <c r="A56" s="15"/>
      <c r="B56" s="17" t="s">
        <v>29</v>
      </c>
      <c r="C56" s="17"/>
      <c r="D56" s="17"/>
      <c r="E56" s="17"/>
      <c r="F56" s="17"/>
      <c r="G56" s="17"/>
      <c r="H56" s="17"/>
      <c r="I56" s="19"/>
      <c r="J56" s="15"/>
      <c r="K56" s="15"/>
    </row>
    <row r="57" customFormat="false" ht="15" hidden="false" customHeight="true" outlineLevel="0" collapsed="false">
      <c r="A57" s="15"/>
      <c r="B57" s="15"/>
      <c r="C57" s="15"/>
      <c r="D57" s="15"/>
      <c r="E57" s="15"/>
      <c r="F57" s="15"/>
      <c r="G57" s="15"/>
      <c r="H57" s="15"/>
      <c r="I57" s="15"/>
      <c r="J57" s="15"/>
      <c r="K57" s="15"/>
    </row>
    <row r="58" customFormat="false" ht="15" hidden="false" customHeight="true" outlineLevel="0" collapsed="false">
      <c r="A58" s="15"/>
      <c r="B58" s="15"/>
      <c r="C58" s="15"/>
      <c r="D58" s="15"/>
      <c r="E58" s="15"/>
      <c r="F58" s="15"/>
      <c r="G58" s="15"/>
      <c r="H58" s="15"/>
      <c r="I58" s="15"/>
      <c r="J58" s="15"/>
      <c r="K58" s="15"/>
    </row>
    <row r="59" customFormat="false" ht="15" hidden="false" customHeight="true" outlineLevel="0" collapsed="false">
      <c r="A59" s="15"/>
      <c r="B59" s="20"/>
      <c r="C59" s="15"/>
      <c r="D59" s="15"/>
      <c r="E59" s="15"/>
      <c r="F59" s="15"/>
      <c r="G59" s="15"/>
      <c r="H59" s="15"/>
      <c r="I59" s="15"/>
      <c r="J59" s="15"/>
      <c r="K59" s="15"/>
    </row>
    <row r="60" customFormat="false" ht="15" hidden="false" customHeight="true" outlineLevel="0" collapsed="false">
      <c r="A60" s="15"/>
      <c r="B60" s="20"/>
      <c r="C60" s="15"/>
      <c r="D60" s="15"/>
      <c r="E60" s="15"/>
      <c r="F60" s="15"/>
      <c r="G60" s="15"/>
      <c r="H60" s="15"/>
      <c r="I60" s="15"/>
      <c r="J60" s="15"/>
      <c r="K60" s="15"/>
    </row>
    <row r="61" customFormat="false" ht="15" hidden="false" customHeight="true" outlineLevel="0" collapsed="false">
      <c r="A61" s="15"/>
      <c r="B61" s="20"/>
      <c r="C61" s="15"/>
      <c r="D61" s="15"/>
      <c r="E61" s="15"/>
      <c r="F61" s="15"/>
      <c r="G61" s="15"/>
      <c r="H61" s="15"/>
      <c r="I61" s="15"/>
      <c r="J61" s="15"/>
      <c r="K61" s="15"/>
    </row>
    <row r="62" customFormat="false" ht="15" hidden="false" customHeight="true" outlineLevel="0" collapsed="false">
      <c r="A62" s="15"/>
      <c r="B62" s="20"/>
      <c r="C62" s="15"/>
      <c r="D62" s="15"/>
      <c r="E62" s="15"/>
      <c r="F62" s="15"/>
      <c r="G62" s="15"/>
      <c r="H62" s="15"/>
      <c r="I62" s="15"/>
      <c r="J62" s="15"/>
      <c r="K62" s="15"/>
    </row>
    <row r="63" customFormat="false" ht="15" hidden="false" customHeight="true" outlineLevel="0" collapsed="false">
      <c r="A63" s="15"/>
      <c r="B63" s="20"/>
      <c r="C63" s="15"/>
      <c r="D63" s="15"/>
      <c r="E63" s="15"/>
      <c r="F63" s="15"/>
      <c r="G63" s="15"/>
      <c r="H63" s="15"/>
      <c r="I63" s="15"/>
      <c r="J63" s="15"/>
      <c r="K63" s="15"/>
    </row>
    <row r="64" customFormat="false" ht="15" hidden="false" customHeight="true" outlineLevel="0" collapsed="false">
      <c r="A64" s="15"/>
      <c r="B64" s="20"/>
      <c r="C64" s="15"/>
      <c r="D64" s="15"/>
      <c r="E64" s="15"/>
      <c r="F64" s="15"/>
      <c r="G64" s="15"/>
      <c r="H64" s="15"/>
      <c r="I64" s="15"/>
      <c r="J64" s="15"/>
      <c r="K64" s="15"/>
    </row>
    <row r="65" customFormat="false" ht="15" hidden="false" customHeight="true" outlineLevel="0" collapsed="false">
      <c r="A65" s="15"/>
      <c r="B65" s="15"/>
      <c r="C65" s="15"/>
      <c r="D65" s="15"/>
      <c r="E65" s="15"/>
      <c r="F65" s="15"/>
      <c r="G65" s="15"/>
      <c r="H65" s="15"/>
      <c r="I65" s="15"/>
      <c r="J65" s="15"/>
      <c r="K65" s="15"/>
    </row>
    <row r="66" customFormat="false" ht="15" hidden="false" customHeight="true" outlineLevel="0" collapsed="false">
      <c r="A66" s="15"/>
      <c r="B66" s="15"/>
      <c r="C66" s="15"/>
      <c r="D66" s="15"/>
      <c r="E66" s="15"/>
      <c r="F66" s="15"/>
      <c r="G66" s="15"/>
      <c r="H66" s="15"/>
      <c r="I66" s="15"/>
      <c r="J66" s="15"/>
      <c r="K66" s="15"/>
    </row>
    <row r="67" customFormat="false" ht="15" hidden="false" customHeight="true" outlineLevel="0" collapsed="false">
      <c r="A67" s="15"/>
      <c r="B67" s="15"/>
      <c r="C67" s="15"/>
      <c r="D67" s="15"/>
      <c r="E67" s="15"/>
      <c r="F67" s="15"/>
      <c r="G67" s="15"/>
      <c r="H67" s="15"/>
      <c r="I67" s="15"/>
      <c r="J67" s="15"/>
      <c r="K67" s="15"/>
    </row>
    <row r="68" customFormat="false" ht="15" hidden="false" customHeight="true" outlineLevel="0" collapsed="false">
      <c r="A68" s="15"/>
      <c r="B68" s="15"/>
      <c r="C68" s="15"/>
      <c r="D68" s="15"/>
      <c r="E68" s="15"/>
      <c r="F68" s="15"/>
      <c r="G68" s="15"/>
      <c r="H68" s="15"/>
      <c r="I68" s="15"/>
      <c r="J68" s="15"/>
      <c r="K68" s="15"/>
    </row>
    <row r="69" customFormat="false" ht="15" hidden="false" customHeight="true" outlineLevel="0" collapsed="false">
      <c r="A69" s="15"/>
      <c r="B69" s="15"/>
      <c r="C69" s="15"/>
      <c r="D69" s="15"/>
      <c r="E69" s="15"/>
      <c r="F69" s="15"/>
      <c r="G69" s="15"/>
      <c r="H69" s="15"/>
      <c r="I69" s="15"/>
      <c r="J69" s="15"/>
      <c r="K69" s="15"/>
    </row>
  </sheetData>
  <mergeCells count="10">
    <mergeCell ref="B2:I2"/>
    <mergeCell ref="B4:I4"/>
    <mergeCell ref="B13:I13"/>
    <mergeCell ref="B32:I32"/>
    <mergeCell ref="B51:H51"/>
    <mergeCell ref="B52:H52"/>
    <mergeCell ref="B53:H53"/>
    <mergeCell ref="B54:H54"/>
    <mergeCell ref="B55:H55"/>
    <mergeCell ref="B56:H56"/>
  </mergeCells>
  <printOptions headings="false" gridLines="false" gridLinesSet="true" horizontalCentered="false" verticalCentered="false"/>
  <pageMargins left="0.75" right="0.75" top="1" bottom="1"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9DFF43"/>
    <pageSetUpPr fitToPage="false"/>
  </sheetPr>
  <dimension ref="A1:BW54"/>
  <sheetViews>
    <sheetView showFormulas="false" showGridLines="true" showRowColHeaders="true" showZeros="true" rightToLeft="false" tabSelected="false" showOutlineSymbols="true" defaultGridColor="true" view="normal" topLeftCell="A11" colorId="64" zoomScale="130" zoomScaleNormal="130" zoomScalePageLayoutView="100" workbookViewId="0">
      <pane xSplit="1" ySplit="0" topLeftCell="AY11" activePane="topRight" state="frozen"/>
      <selection pane="topLeft" activeCell="A11" activeCellId="0" sqref="A11"/>
      <selection pane="topRight" activeCell="BL59" activeCellId="0" sqref="BL59"/>
    </sheetView>
  </sheetViews>
  <sheetFormatPr defaultColWidth="9.18359375" defaultRowHeight="10.5" customHeight="true" zeroHeight="false" outlineLevelRow="0" outlineLevelCol="0"/>
  <cols>
    <col collapsed="false" customWidth="true" hidden="false" outlineLevel="0" max="1" min="1" style="529" width="18.45"/>
    <col collapsed="false" customWidth="true" hidden="false" outlineLevel="0" max="2" min="2" style="530" width="7.45"/>
    <col collapsed="false" customWidth="true" hidden="false" outlineLevel="0" max="8" min="3" style="530" width="8.45"/>
    <col collapsed="false" customWidth="true" hidden="false" outlineLevel="0" max="36" min="9" style="530" width="8.73"/>
    <col collapsed="false" customWidth="true" hidden="false" outlineLevel="0" max="61" min="37" style="530" width="9.54"/>
    <col collapsed="false" customWidth="true" hidden="false" outlineLevel="0" max="62" min="62" style="530" width="9.27"/>
    <col collapsed="false" customWidth="true" hidden="false" outlineLevel="0" max="63" min="63" style="530" width="9.91"/>
    <col collapsed="false" customWidth="true" hidden="false" outlineLevel="0" max="66" min="64" style="530" width="9.54"/>
    <col collapsed="false" customWidth="true" hidden="false" outlineLevel="0" max="67" min="67" style="530" width="18.45"/>
    <col collapsed="false" customWidth="false" hidden="false" outlineLevel="0" max="68" min="68" style="530" width="9.18"/>
    <col collapsed="false" customWidth="true" hidden="false" outlineLevel="0" max="69" min="69" style="530" width="8.73"/>
    <col collapsed="false" customWidth="true" hidden="false" outlineLevel="0" max="72" min="70" style="530" width="9.45"/>
    <col collapsed="false" customWidth="false" hidden="false" outlineLevel="0" max="74" min="73" style="530" width="9.18"/>
    <col collapsed="false" customWidth="true" hidden="false" outlineLevel="0" max="75" min="75" style="529" width="19.82"/>
    <col collapsed="false" customWidth="true" hidden="false" outlineLevel="0" max="123" min="76" style="530" width="7.45"/>
    <col collapsed="false" customWidth="false" hidden="false" outlineLevel="0" max="16384" min="124" style="530" width="9.18"/>
  </cols>
  <sheetData>
    <row r="1" customFormat="false" ht="12.75" hidden="false" customHeight="true" outlineLevel="0" collapsed="false">
      <c r="A1" s="531"/>
      <c r="B1" s="532"/>
      <c r="C1" s="533" t="s">
        <v>1717</v>
      </c>
      <c r="D1" s="533"/>
      <c r="E1" s="533"/>
      <c r="F1" s="533"/>
      <c r="G1" s="533" t="str">
        <f aca="false">IF('P&amp;L'!E14="y","% of Funding","% OF REVENUE")</f>
        <v>% OF REVENUE</v>
      </c>
      <c r="H1" s="533"/>
      <c r="I1" s="533"/>
      <c r="J1" s="533"/>
      <c r="K1" s="533"/>
      <c r="L1" s="532"/>
      <c r="M1" s="534"/>
      <c r="N1" s="535"/>
      <c r="O1" s="535"/>
      <c r="P1" s="535"/>
      <c r="Q1" s="535"/>
      <c r="R1" s="535"/>
      <c r="S1" s="535"/>
      <c r="T1" s="535"/>
      <c r="U1" s="535"/>
      <c r="V1" s="535"/>
      <c r="W1" s="535"/>
      <c r="X1" s="535"/>
      <c r="Y1" s="535"/>
      <c r="Z1" s="535"/>
      <c r="AA1" s="535"/>
      <c r="AB1" s="535"/>
      <c r="AC1" s="535"/>
      <c r="AD1" s="535"/>
      <c r="AE1" s="535"/>
      <c r="AF1" s="535"/>
      <c r="AG1" s="535"/>
      <c r="AH1" s="535"/>
      <c r="AI1" s="535"/>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6"/>
      <c r="BK1" s="536"/>
      <c r="BL1" s="536"/>
      <c r="BM1" s="536"/>
      <c r="BN1" s="536"/>
    </row>
    <row r="2" s="542" customFormat="true" ht="27.75" hidden="false" customHeight="true" outlineLevel="0" collapsed="false">
      <c r="A2" s="537" t="s">
        <v>1718</v>
      </c>
      <c r="B2" s="538" t="s">
        <v>1481</v>
      </c>
      <c r="C2" s="539" t="s">
        <v>1672</v>
      </c>
      <c r="D2" s="538" t="s">
        <v>1673</v>
      </c>
      <c r="E2" s="538" t="s">
        <v>1674</v>
      </c>
      <c r="F2" s="538" t="s">
        <v>1675</v>
      </c>
      <c r="G2" s="538" t="s">
        <v>1488</v>
      </c>
      <c r="H2" s="538" t="s">
        <v>1672</v>
      </c>
      <c r="I2" s="538" t="s">
        <v>1673</v>
      </c>
      <c r="J2" s="538" t="s">
        <v>1674</v>
      </c>
      <c r="K2" s="538" t="s">
        <v>1675</v>
      </c>
      <c r="L2" s="536"/>
      <c r="M2" s="540"/>
      <c r="N2" s="535"/>
      <c r="O2" s="535"/>
      <c r="P2" s="535"/>
      <c r="Q2" s="535"/>
      <c r="R2" s="535"/>
      <c r="S2" s="535"/>
      <c r="T2" s="535"/>
      <c r="U2" s="535"/>
      <c r="V2" s="535"/>
      <c r="W2" s="535"/>
      <c r="X2" s="535"/>
      <c r="Y2" s="535"/>
      <c r="Z2" s="535"/>
      <c r="AA2" s="535"/>
      <c r="AB2" s="535"/>
      <c r="AC2" s="535"/>
      <c r="AD2" s="535"/>
      <c r="AE2" s="535"/>
      <c r="AF2" s="535"/>
      <c r="AG2" s="535"/>
      <c r="AH2" s="535"/>
      <c r="AI2" s="535"/>
      <c r="AJ2" s="535"/>
      <c r="AK2" s="535"/>
      <c r="AL2" s="535"/>
      <c r="AM2" s="535"/>
      <c r="AN2" s="535"/>
      <c r="AO2" s="535"/>
      <c r="AP2" s="535"/>
      <c r="AQ2" s="535"/>
      <c r="AR2" s="535"/>
      <c r="AS2" s="535"/>
      <c r="AT2" s="535"/>
      <c r="AU2" s="535"/>
      <c r="AV2" s="535"/>
      <c r="AW2" s="535"/>
      <c r="AX2" s="535"/>
      <c r="AY2" s="535"/>
      <c r="AZ2" s="535"/>
      <c r="BA2" s="535"/>
      <c r="BB2" s="535"/>
      <c r="BC2" s="535"/>
      <c r="BD2" s="535"/>
      <c r="BE2" s="535"/>
      <c r="BF2" s="535"/>
      <c r="BG2" s="535"/>
      <c r="BH2" s="535"/>
      <c r="BI2" s="535"/>
      <c r="BJ2" s="536"/>
      <c r="BK2" s="536"/>
      <c r="BL2" s="541"/>
      <c r="BM2" s="541"/>
      <c r="BN2" s="541"/>
    </row>
    <row r="3" customFormat="false" ht="12.75" hidden="false" customHeight="true" outlineLevel="0" collapsed="false">
      <c r="A3" s="543" t="s">
        <v>1719</v>
      </c>
      <c r="B3" s="544" t="n">
        <v>20000</v>
      </c>
      <c r="C3" s="545" t="n">
        <v>0.05</v>
      </c>
      <c r="D3" s="546" t="n">
        <v>0.05</v>
      </c>
      <c r="E3" s="546" t="n">
        <v>0.05</v>
      </c>
      <c r="F3" s="546" t="n">
        <v>0.05</v>
      </c>
      <c r="G3" s="547" t="n">
        <f aca="false">IF(BJ19=0,0,BJ28/BJ19)</f>
        <v>0.0244988318789254</v>
      </c>
      <c r="H3" s="547" t="n">
        <f aca="false">IF(BK19=0,0,BK28/BK19)</f>
        <v>0.00397014662718876</v>
      </c>
      <c r="I3" s="547" t="n">
        <f aca="false">IF(BL19=0,0,BL28/BL19)</f>
        <v>0.00158309596759152</v>
      </c>
      <c r="J3" s="547" t="n">
        <f aca="false">IF(BM19=0,0,BM28/BM19)</f>
        <v>0.00153438532243486</v>
      </c>
      <c r="K3" s="547" t="n">
        <f aca="false">IF(BN19=0,0,BN28/BN19)</f>
        <v>0.00149602568937399</v>
      </c>
      <c r="L3" s="536"/>
      <c r="M3" s="540"/>
      <c r="N3" s="535"/>
      <c r="O3" s="535"/>
      <c r="P3" s="535"/>
      <c r="Q3" s="535"/>
      <c r="R3" s="535"/>
      <c r="S3" s="535"/>
      <c r="T3" s="535"/>
      <c r="U3" s="535"/>
      <c r="V3" s="535"/>
      <c r="W3" s="535"/>
      <c r="X3" s="535"/>
      <c r="Y3" s="535"/>
      <c r="Z3" s="535"/>
      <c r="AA3" s="535"/>
      <c r="AB3" s="535"/>
      <c r="AC3" s="535"/>
      <c r="AD3" s="535"/>
      <c r="AE3" s="535"/>
      <c r="AF3" s="535"/>
      <c r="AG3" s="535"/>
      <c r="AH3" s="535"/>
      <c r="AI3" s="535"/>
      <c r="AJ3" s="535"/>
      <c r="AK3" s="535"/>
      <c r="AL3" s="535"/>
      <c r="AM3" s="535"/>
      <c r="AN3" s="535"/>
      <c r="AO3" s="535"/>
      <c r="AP3" s="535"/>
      <c r="AQ3" s="535"/>
      <c r="AR3" s="535"/>
      <c r="AS3" s="535"/>
      <c r="AT3" s="535"/>
      <c r="AU3" s="535"/>
      <c r="AV3" s="535"/>
      <c r="AW3" s="535"/>
      <c r="AX3" s="535"/>
      <c r="AY3" s="535"/>
      <c r="AZ3" s="535"/>
      <c r="BA3" s="535"/>
      <c r="BB3" s="535"/>
      <c r="BC3" s="535"/>
      <c r="BD3" s="535"/>
      <c r="BE3" s="535"/>
      <c r="BF3" s="535"/>
      <c r="BG3" s="535"/>
      <c r="BH3" s="535"/>
      <c r="BI3" s="535"/>
      <c r="BJ3" s="536"/>
      <c r="BK3" s="536"/>
      <c r="BL3" s="536"/>
      <c r="BM3" s="536"/>
      <c r="BN3" s="536"/>
    </row>
    <row r="4" customFormat="false" ht="12.75" hidden="false" customHeight="true" outlineLevel="0" collapsed="false">
      <c r="A4" s="543" t="s">
        <v>1720</v>
      </c>
      <c r="B4" s="548" t="n">
        <v>300000</v>
      </c>
      <c r="C4" s="545" t="n">
        <v>0.05</v>
      </c>
      <c r="D4" s="546" t="n">
        <v>0.05</v>
      </c>
      <c r="E4" s="546" t="n">
        <v>0.05</v>
      </c>
      <c r="F4" s="546" t="n">
        <v>0.05</v>
      </c>
      <c r="G4" s="547" t="n">
        <f aca="false">IF(BJ19=0,0,BJ29/BJ19)</f>
        <v>0.36748247818388</v>
      </c>
      <c r="H4" s="547" t="n">
        <f aca="false">IF(BK19=0,0,BK29/BK19)</f>
        <v>0.0595521994078314</v>
      </c>
      <c r="I4" s="547" t="n">
        <f aca="false">IF(BL19=0,0,BL29/BL19)</f>
        <v>0.0237464395138728</v>
      </c>
      <c r="J4" s="547" t="n">
        <f aca="false">IF(BM19=0,0,BM29/BM19)</f>
        <v>0.0230157798365228</v>
      </c>
      <c r="K4" s="547" t="n">
        <f aca="false">IF(BN19=0,0,BN29/BN19)</f>
        <v>0.0224403853406098</v>
      </c>
      <c r="M4" s="549"/>
    </row>
    <row r="5" customFormat="false" ht="12.75" hidden="false" customHeight="true" outlineLevel="0" collapsed="false">
      <c r="A5" s="543"/>
      <c r="B5" s="544"/>
      <c r="C5" s="545" t="n">
        <v>0.05</v>
      </c>
      <c r="D5" s="546" t="n">
        <v>0.05</v>
      </c>
      <c r="E5" s="546" t="n">
        <v>0.05</v>
      </c>
      <c r="F5" s="546" t="n">
        <v>0.05</v>
      </c>
      <c r="G5" s="550" t="n">
        <v>0</v>
      </c>
      <c r="H5" s="550" t="n">
        <v>0</v>
      </c>
      <c r="I5" s="550" t="n">
        <v>0</v>
      </c>
      <c r="J5" s="550" t="n">
        <v>0</v>
      </c>
      <c r="K5" s="550" t="n">
        <v>0.05</v>
      </c>
      <c r="M5" s="549"/>
    </row>
    <row r="6" customFormat="false" ht="12.75" hidden="false" customHeight="true" outlineLevel="0" collapsed="false">
      <c r="A6" s="543"/>
      <c r="B6" s="544"/>
      <c r="C6" s="545" t="n">
        <v>0.05</v>
      </c>
      <c r="D6" s="546" t="n">
        <v>0.05</v>
      </c>
      <c r="E6" s="546" t="n">
        <v>0.05</v>
      </c>
      <c r="F6" s="546" t="n">
        <v>0.05</v>
      </c>
      <c r="G6" s="550" t="n">
        <v>0</v>
      </c>
      <c r="H6" s="550" t="n">
        <v>0</v>
      </c>
      <c r="I6" s="550" t="n">
        <v>0</v>
      </c>
      <c r="J6" s="550" t="n">
        <v>0</v>
      </c>
      <c r="K6" s="550" t="n">
        <v>0.05</v>
      </c>
      <c r="M6" s="549"/>
    </row>
    <row r="7" customFormat="false" ht="12.75" hidden="false" customHeight="true" outlineLevel="0" collapsed="false">
      <c r="A7" s="543"/>
      <c r="B7" s="544"/>
      <c r="C7" s="545" t="n">
        <v>0.05</v>
      </c>
      <c r="D7" s="546" t="n">
        <v>0.05</v>
      </c>
      <c r="E7" s="546" t="n">
        <v>0.05</v>
      </c>
      <c r="F7" s="546" t="n">
        <v>0.05</v>
      </c>
      <c r="G7" s="550" t="n">
        <v>0</v>
      </c>
      <c r="H7" s="550" t="n">
        <v>0</v>
      </c>
      <c r="I7" s="550" t="n">
        <v>0</v>
      </c>
      <c r="J7" s="550" t="n">
        <v>0</v>
      </c>
      <c r="K7" s="550" t="n">
        <v>0</v>
      </c>
      <c r="M7" s="549"/>
    </row>
    <row r="8" customFormat="false" ht="12.75" hidden="false" customHeight="true" outlineLevel="0" collapsed="false">
      <c r="A8" s="543"/>
      <c r="B8" s="544"/>
      <c r="C8" s="545" t="n">
        <v>0.05</v>
      </c>
      <c r="D8" s="546" t="n">
        <v>0.05</v>
      </c>
      <c r="E8" s="546" t="n">
        <v>0.05</v>
      </c>
      <c r="F8" s="546" t="n">
        <v>0.05</v>
      </c>
      <c r="G8" s="550" t="n">
        <v>0</v>
      </c>
      <c r="H8" s="550" t="n">
        <v>0</v>
      </c>
      <c r="I8" s="550" t="n">
        <v>0</v>
      </c>
      <c r="J8" s="550" t="n">
        <v>0</v>
      </c>
      <c r="K8" s="550" t="n">
        <v>0</v>
      </c>
      <c r="M8" s="549"/>
    </row>
    <row r="9" customFormat="false" ht="12.75" hidden="false" customHeight="true" outlineLevel="0" collapsed="false">
      <c r="A9" s="543"/>
      <c r="B9" s="544"/>
      <c r="C9" s="545" t="n">
        <v>0.05</v>
      </c>
      <c r="D9" s="546" t="n">
        <v>0.05</v>
      </c>
      <c r="E9" s="546" t="n">
        <v>0</v>
      </c>
      <c r="F9" s="546" t="n">
        <v>0</v>
      </c>
      <c r="G9" s="550" t="n">
        <v>0</v>
      </c>
      <c r="H9" s="550" t="n">
        <v>0</v>
      </c>
      <c r="I9" s="550" t="n">
        <v>0</v>
      </c>
      <c r="J9" s="550" t="n">
        <v>0</v>
      </c>
      <c r="K9" s="550" t="n">
        <v>0</v>
      </c>
      <c r="M9" s="549"/>
    </row>
    <row r="10" customFormat="false" ht="12.75" hidden="false" customHeight="true" outlineLevel="0" collapsed="false">
      <c r="A10" s="543"/>
      <c r="B10" s="544" t="n">
        <v>0</v>
      </c>
      <c r="C10" s="545" t="n">
        <v>0.05</v>
      </c>
      <c r="D10" s="546" t="n">
        <v>0.05</v>
      </c>
      <c r="E10" s="546" t="n">
        <v>0.05</v>
      </c>
      <c r="F10" s="546" t="n">
        <v>0.05</v>
      </c>
      <c r="G10" s="550" t="n">
        <v>0</v>
      </c>
      <c r="H10" s="550" t="n">
        <v>0</v>
      </c>
      <c r="I10" s="550" t="n">
        <v>0</v>
      </c>
      <c r="J10" s="550" t="n">
        <v>0</v>
      </c>
      <c r="K10" s="550" t="n">
        <v>0</v>
      </c>
      <c r="L10" s="536"/>
      <c r="M10" s="540"/>
      <c r="N10" s="535"/>
      <c r="O10" s="535"/>
      <c r="P10" s="535"/>
      <c r="Q10" s="535"/>
      <c r="R10" s="535"/>
      <c r="S10" s="535"/>
      <c r="T10" s="535"/>
      <c r="U10" s="535"/>
      <c r="V10" s="535"/>
      <c r="W10" s="535"/>
      <c r="X10" s="535"/>
      <c r="Y10" s="535"/>
      <c r="Z10" s="535"/>
      <c r="AA10" s="535"/>
      <c r="AB10" s="535"/>
      <c r="AC10" s="535"/>
      <c r="AD10" s="535"/>
      <c r="AE10" s="535"/>
      <c r="AF10" s="535"/>
      <c r="AG10" s="535"/>
      <c r="AH10" s="535"/>
      <c r="AI10" s="535"/>
      <c r="AJ10" s="535"/>
      <c r="AK10" s="535"/>
      <c r="AL10" s="535"/>
      <c r="AM10" s="535"/>
      <c r="AN10" s="535"/>
      <c r="AO10" s="535"/>
      <c r="AP10" s="535"/>
      <c r="AQ10" s="535"/>
      <c r="AR10" s="535"/>
      <c r="AS10" s="535"/>
      <c r="AT10" s="535"/>
      <c r="AU10" s="535"/>
      <c r="AV10" s="535"/>
      <c r="AW10" s="535"/>
      <c r="AX10" s="535"/>
      <c r="AY10" s="535"/>
      <c r="AZ10" s="535"/>
      <c r="BA10" s="535"/>
      <c r="BB10" s="535"/>
      <c r="BC10" s="535"/>
      <c r="BD10" s="535"/>
      <c r="BE10" s="535"/>
      <c r="BF10" s="535"/>
      <c r="BG10" s="535"/>
      <c r="BH10" s="535"/>
      <c r="BI10" s="535"/>
      <c r="BJ10" s="536"/>
      <c r="BK10" s="536"/>
      <c r="BL10" s="536"/>
      <c r="BM10" s="536"/>
      <c r="BN10" s="536"/>
    </row>
    <row r="11" customFormat="false" ht="12.75" hidden="false" customHeight="true" outlineLevel="0" collapsed="false">
      <c r="A11" s="543"/>
      <c r="B11" s="544" t="n">
        <v>0</v>
      </c>
      <c r="C11" s="545" t="n">
        <v>0.05</v>
      </c>
      <c r="D11" s="546" t="n">
        <v>0.05</v>
      </c>
      <c r="E11" s="546" t="n">
        <v>0.05</v>
      </c>
      <c r="F11" s="546" t="n">
        <v>0.05</v>
      </c>
      <c r="G11" s="550" t="n">
        <v>0</v>
      </c>
      <c r="H11" s="550" t="n">
        <v>0</v>
      </c>
      <c r="I11" s="550" t="n">
        <v>0</v>
      </c>
      <c r="J11" s="550" t="n">
        <v>0</v>
      </c>
      <c r="K11" s="550" t="n">
        <v>0</v>
      </c>
      <c r="L11" s="536"/>
      <c r="M11" s="540"/>
      <c r="N11" s="535"/>
      <c r="O11" s="535"/>
      <c r="P11" s="535"/>
      <c r="Q11" s="535"/>
      <c r="R11" s="535"/>
      <c r="S11" s="535"/>
      <c r="T11" s="535"/>
      <c r="U11" s="535"/>
      <c r="V11" s="535"/>
      <c r="W11" s="535"/>
      <c r="X11" s="535"/>
      <c r="Y11" s="535"/>
      <c r="Z11" s="535"/>
      <c r="AA11" s="535"/>
      <c r="AB11" s="535"/>
      <c r="AC11" s="535"/>
      <c r="AD11" s="535"/>
      <c r="AE11" s="535"/>
      <c r="AF11" s="535"/>
      <c r="AG11" s="535"/>
      <c r="AH11" s="535"/>
      <c r="AI11" s="535"/>
      <c r="AJ11" s="535"/>
      <c r="AK11" s="535"/>
      <c r="AL11" s="535"/>
      <c r="AM11" s="535"/>
      <c r="AN11" s="535"/>
      <c r="AO11" s="535"/>
      <c r="AP11" s="535"/>
      <c r="AQ11" s="535"/>
      <c r="AR11" s="535"/>
      <c r="AS11" s="535"/>
      <c r="AT11" s="535"/>
      <c r="AU11" s="535"/>
      <c r="AV11" s="535"/>
      <c r="AW11" s="535"/>
      <c r="AX11" s="535"/>
      <c r="AY11" s="535"/>
      <c r="AZ11" s="535"/>
      <c r="BA11" s="535"/>
      <c r="BB11" s="535"/>
      <c r="BC11" s="535"/>
      <c r="BD11" s="535"/>
      <c r="BE11" s="535"/>
      <c r="BF11" s="535"/>
      <c r="BG11" s="535"/>
      <c r="BH11" s="535"/>
      <c r="BI11" s="535"/>
      <c r="BJ11" s="536"/>
      <c r="BK11" s="536"/>
      <c r="BL11" s="536"/>
      <c r="BM11" s="536"/>
      <c r="BN11" s="536"/>
    </row>
    <row r="12" customFormat="false" ht="12.75" hidden="false" customHeight="true" outlineLevel="0" collapsed="false">
      <c r="A12" s="543"/>
      <c r="B12" s="544"/>
      <c r="C12" s="545" t="n">
        <v>0.05</v>
      </c>
      <c r="D12" s="546" t="n">
        <v>0.05</v>
      </c>
      <c r="E12" s="546" t="n">
        <v>0.05</v>
      </c>
      <c r="F12" s="546" t="n">
        <v>0.05</v>
      </c>
      <c r="G12" s="550" t="n">
        <v>0</v>
      </c>
      <c r="H12" s="550" t="n">
        <v>0</v>
      </c>
      <c r="I12" s="550" t="n">
        <v>0</v>
      </c>
      <c r="J12" s="550" t="n">
        <v>0</v>
      </c>
      <c r="K12" s="550" t="n">
        <v>0</v>
      </c>
      <c r="L12" s="536"/>
      <c r="M12" s="540"/>
      <c r="N12" s="535"/>
      <c r="O12" s="535"/>
      <c r="P12" s="535"/>
      <c r="Q12" s="535"/>
      <c r="R12" s="535"/>
      <c r="S12" s="535"/>
      <c r="T12" s="535"/>
      <c r="U12" s="535"/>
      <c r="V12" s="535"/>
      <c r="W12" s="535"/>
      <c r="X12" s="535"/>
      <c r="Y12" s="535"/>
      <c r="Z12" s="535"/>
      <c r="AA12" s="535"/>
      <c r="AB12" s="535"/>
      <c r="AC12" s="535"/>
      <c r="AD12" s="535"/>
      <c r="AE12" s="535"/>
      <c r="AF12" s="535"/>
      <c r="AG12" s="535"/>
      <c r="AH12" s="535"/>
      <c r="AI12" s="535"/>
      <c r="AJ12" s="535"/>
      <c r="AK12" s="535"/>
      <c r="AL12" s="535"/>
      <c r="AM12" s="535"/>
      <c r="AN12" s="535"/>
      <c r="AO12" s="535"/>
      <c r="AP12" s="535"/>
      <c r="AQ12" s="535"/>
      <c r="AR12" s="535"/>
      <c r="AS12" s="535"/>
      <c r="AT12" s="535"/>
      <c r="AU12" s="535"/>
      <c r="AV12" s="535"/>
      <c r="AW12" s="535"/>
      <c r="AX12" s="535"/>
      <c r="AY12" s="535"/>
      <c r="AZ12" s="535"/>
      <c r="BA12" s="535"/>
      <c r="BB12" s="535"/>
      <c r="BC12" s="535"/>
      <c r="BD12" s="535"/>
      <c r="BE12" s="535"/>
      <c r="BF12" s="535"/>
      <c r="BG12" s="535"/>
      <c r="BH12" s="535"/>
      <c r="BI12" s="535"/>
      <c r="BJ12" s="536"/>
      <c r="BK12" s="536"/>
      <c r="BL12" s="536"/>
      <c r="BM12" s="536"/>
      <c r="BN12" s="536"/>
    </row>
    <row r="13" customFormat="false" ht="10.5" hidden="false" customHeight="true" outlineLevel="0" collapsed="false">
      <c r="A13" s="551"/>
      <c r="B13" s="536"/>
      <c r="C13" s="536"/>
      <c r="D13" s="536"/>
      <c r="E13" s="536"/>
      <c r="F13" s="536"/>
      <c r="G13" s="552"/>
      <c r="H13" s="552"/>
      <c r="I13" s="552"/>
      <c r="J13" s="552"/>
      <c r="K13" s="552"/>
      <c r="L13" s="536"/>
      <c r="M13" s="540"/>
      <c r="N13" s="535"/>
      <c r="O13" s="535"/>
      <c r="P13" s="535"/>
      <c r="Q13" s="535"/>
      <c r="R13" s="535"/>
      <c r="S13" s="535"/>
      <c r="T13" s="535"/>
      <c r="U13" s="535"/>
      <c r="V13" s="535"/>
      <c r="W13" s="535"/>
      <c r="X13" s="535"/>
      <c r="Y13" s="535"/>
      <c r="Z13" s="535"/>
      <c r="AA13" s="535"/>
      <c r="AB13" s="535"/>
      <c r="AC13" s="535"/>
      <c r="AD13" s="535"/>
      <c r="AE13" s="535"/>
      <c r="AF13" s="535"/>
      <c r="AG13" s="535"/>
      <c r="AH13" s="535"/>
      <c r="AI13" s="535"/>
      <c r="AJ13" s="535"/>
      <c r="AK13" s="535"/>
      <c r="AL13" s="535"/>
      <c r="AM13" s="535"/>
      <c r="AN13" s="535"/>
      <c r="AO13" s="535"/>
      <c r="AP13" s="535"/>
      <c r="AQ13" s="535"/>
      <c r="AR13" s="535"/>
      <c r="AS13" s="535"/>
      <c r="AT13" s="535"/>
      <c r="AU13" s="535"/>
      <c r="AV13" s="535"/>
      <c r="AW13" s="535"/>
      <c r="AX13" s="535"/>
      <c r="AY13" s="535"/>
      <c r="AZ13" s="535"/>
      <c r="BA13" s="535"/>
      <c r="BB13" s="535"/>
      <c r="BC13" s="535"/>
      <c r="BD13" s="535"/>
      <c r="BE13" s="535"/>
      <c r="BF13" s="535"/>
      <c r="BG13" s="535"/>
      <c r="BH13" s="535"/>
      <c r="BI13" s="535"/>
      <c r="BJ13" s="536"/>
      <c r="BK13" s="536"/>
      <c r="BL13" s="536"/>
      <c r="BM13" s="536"/>
      <c r="BN13" s="536"/>
    </row>
    <row r="14" customFormat="false" ht="10.5" hidden="false" customHeight="true" outlineLevel="0" collapsed="false">
      <c r="A14" s="553" t="s">
        <v>1721</v>
      </c>
      <c r="B14" s="554" t="n">
        <v>10</v>
      </c>
      <c r="C14" s="536"/>
      <c r="D14" s="555" t="s">
        <v>1722</v>
      </c>
      <c r="E14" s="556" t="s">
        <v>507</v>
      </c>
      <c r="F14" s="536"/>
      <c r="G14" s="557" t="s">
        <v>1723</v>
      </c>
      <c r="H14" s="558" t="s">
        <v>507</v>
      </c>
      <c r="I14" s="536"/>
      <c r="J14" s="536"/>
      <c r="K14" s="536"/>
      <c r="L14" s="536"/>
      <c r="M14" s="540"/>
      <c r="N14" s="535"/>
      <c r="O14" s="535"/>
      <c r="P14" s="535"/>
      <c r="Q14" s="535"/>
      <c r="R14" s="535"/>
      <c r="S14" s="535"/>
      <c r="T14" s="535"/>
      <c r="U14" s="535"/>
      <c r="V14" s="535"/>
      <c r="W14" s="535"/>
      <c r="X14" s="535"/>
      <c r="Y14" s="535"/>
      <c r="Z14" s="535"/>
      <c r="AA14" s="535"/>
      <c r="AB14" s="535"/>
      <c r="AC14" s="535"/>
      <c r="AD14" s="535"/>
      <c r="AE14" s="535"/>
      <c r="AF14" s="535"/>
      <c r="AG14" s="535"/>
      <c r="AH14" s="535"/>
      <c r="AI14" s="535"/>
      <c r="AJ14" s="535"/>
      <c r="AK14" s="535"/>
      <c r="AL14" s="535"/>
      <c r="AM14" s="535"/>
      <c r="AN14" s="535"/>
      <c r="AO14" s="535"/>
      <c r="AP14" s="535"/>
      <c r="AQ14" s="535"/>
      <c r="AR14" s="535"/>
      <c r="AS14" s="535"/>
      <c r="AT14" s="535"/>
      <c r="AU14" s="535"/>
      <c r="AV14" s="535"/>
      <c r="AW14" s="535"/>
      <c r="AX14" s="535"/>
      <c r="AY14" s="535"/>
      <c r="AZ14" s="535"/>
      <c r="BA14" s="535"/>
      <c r="BB14" s="535"/>
      <c r="BC14" s="535"/>
      <c r="BD14" s="535"/>
      <c r="BE14" s="535"/>
      <c r="BF14" s="535"/>
      <c r="BG14" s="535"/>
      <c r="BH14" s="535"/>
      <c r="BI14" s="535"/>
      <c r="BJ14" s="536"/>
      <c r="BK14" s="536"/>
      <c r="BL14" s="536"/>
      <c r="BM14" s="536"/>
      <c r="BN14" s="536"/>
    </row>
    <row r="15" customFormat="false" ht="10.5" hidden="false" customHeight="true" outlineLevel="0" collapsed="false">
      <c r="A15" s="553" t="s">
        <v>1724</v>
      </c>
      <c r="B15" s="559" t="n">
        <v>0.41</v>
      </c>
      <c r="C15" s="536"/>
      <c r="D15" s="536"/>
      <c r="E15" s="536"/>
      <c r="F15" s="536"/>
      <c r="G15" s="536"/>
      <c r="H15" s="536"/>
      <c r="I15" s="536"/>
      <c r="J15" s="536"/>
      <c r="K15" s="536"/>
      <c r="L15" s="536"/>
      <c r="M15" s="540"/>
      <c r="N15" s="535"/>
      <c r="O15" s="535"/>
      <c r="P15" s="535"/>
      <c r="Q15" s="535"/>
      <c r="R15" s="535"/>
      <c r="S15" s="535"/>
      <c r="T15" s="535"/>
      <c r="U15" s="535"/>
      <c r="V15" s="535"/>
      <c r="W15" s="535"/>
      <c r="X15" s="535"/>
      <c r="Y15" s="535"/>
      <c r="Z15" s="535"/>
      <c r="AA15" s="535"/>
      <c r="AB15" s="535"/>
      <c r="AC15" s="535"/>
      <c r="AD15" s="535"/>
      <c r="AE15" s="535"/>
      <c r="AF15" s="535"/>
      <c r="AG15" s="535"/>
      <c r="AH15" s="535"/>
      <c r="AI15" s="535"/>
      <c r="AJ15" s="535"/>
      <c r="AK15" s="535"/>
      <c r="AL15" s="535"/>
      <c r="AM15" s="535"/>
      <c r="AN15" s="535"/>
      <c r="AO15" s="535"/>
      <c r="AP15" s="535"/>
      <c r="AQ15" s="535"/>
      <c r="AR15" s="535"/>
      <c r="AS15" s="535"/>
      <c r="AT15" s="535"/>
      <c r="AU15" s="535"/>
      <c r="AV15" s="535"/>
      <c r="AW15" s="535"/>
      <c r="AX15" s="535"/>
      <c r="AY15" s="535"/>
      <c r="AZ15" s="535"/>
      <c r="BA15" s="535"/>
      <c r="BB15" s="535"/>
      <c r="BC15" s="535"/>
      <c r="BD15" s="535"/>
      <c r="BE15" s="535"/>
      <c r="BF15" s="535"/>
      <c r="BG15" s="535"/>
      <c r="BH15" s="535"/>
      <c r="BI15" s="535"/>
      <c r="BJ15" s="536"/>
      <c r="BK15" s="536"/>
      <c r="BL15" s="536"/>
      <c r="BM15" s="536"/>
      <c r="BN15" s="536"/>
    </row>
    <row r="16" customFormat="false" ht="10.5" hidden="false" customHeight="true" outlineLevel="0" collapsed="false">
      <c r="A16" s="553" t="s">
        <v>1725</v>
      </c>
      <c r="B16" s="560" t="s">
        <v>1726</v>
      </c>
      <c r="C16" s="561" t="n">
        <v>0.15</v>
      </c>
      <c r="D16" s="536"/>
      <c r="E16" s="536"/>
      <c r="F16" s="536"/>
      <c r="G16" s="536"/>
      <c r="H16" s="536"/>
      <c r="I16" s="536"/>
      <c r="J16" s="536"/>
      <c r="K16" s="536"/>
      <c r="L16" s="536"/>
      <c r="M16" s="540"/>
      <c r="N16" s="535"/>
      <c r="O16" s="535"/>
      <c r="P16" s="535"/>
      <c r="Q16" s="535"/>
      <c r="R16" s="535"/>
      <c r="S16" s="535"/>
      <c r="T16" s="535"/>
      <c r="U16" s="535"/>
      <c r="V16" s="535"/>
      <c r="W16" s="535"/>
      <c r="X16" s="535"/>
      <c r="Y16" s="535"/>
      <c r="Z16" s="535"/>
      <c r="AA16" s="535"/>
      <c r="AB16" s="535"/>
      <c r="AC16" s="535"/>
      <c r="AD16" s="535"/>
      <c r="AE16" s="535"/>
      <c r="AF16" s="535"/>
      <c r="AG16" s="535"/>
      <c r="AH16" s="535"/>
      <c r="AI16" s="535"/>
      <c r="AJ16" s="535"/>
      <c r="AK16" s="535"/>
      <c r="AL16" s="535"/>
      <c r="AM16" s="535"/>
      <c r="AN16" s="535"/>
      <c r="AO16" s="535"/>
      <c r="AP16" s="535"/>
      <c r="AQ16" s="535"/>
      <c r="AR16" s="535"/>
      <c r="AS16" s="535"/>
      <c r="AT16" s="535"/>
      <c r="AU16" s="535"/>
      <c r="AV16" s="535"/>
      <c r="AW16" s="535"/>
      <c r="AX16" s="535"/>
      <c r="AY16" s="535"/>
      <c r="AZ16" s="535"/>
      <c r="BA16" s="535"/>
      <c r="BB16" s="535"/>
      <c r="BC16" s="535"/>
      <c r="BD16" s="535"/>
      <c r="BE16" s="535"/>
      <c r="BF16" s="535"/>
      <c r="BG16" s="535"/>
      <c r="BH16" s="535"/>
      <c r="BI16" s="535"/>
      <c r="BJ16" s="536"/>
      <c r="BK16" s="536"/>
      <c r="BL16" s="536"/>
      <c r="BM16" s="536"/>
      <c r="BN16" s="536"/>
    </row>
    <row r="17" customFormat="false" ht="10.5" hidden="false" customHeight="true" outlineLevel="0" collapsed="false">
      <c r="A17" s="562" t="s">
        <v>1727</v>
      </c>
      <c r="B17" s="563" t="s">
        <v>1726</v>
      </c>
      <c r="C17" s="561" t="n">
        <v>0.1</v>
      </c>
      <c r="D17" s="536"/>
      <c r="E17" s="536"/>
      <c r="F17" s="536"/>
      <c r="G17" s="536"/>
      <c r="H17" s="536"/>
      <c r="I17" s="536"/>
      <c r="J17" s="536"/>
      <c r="K17" s="536"/>
      <c r="L17" s="536"/>
      <c r="M17" s="540"/>
      <c r="N17" s="535"/>
      <c r="O17" s="535"/>
      <c r="P17" s="535"/>
      <c r="Q17" s="535"/>
      <c r="R17" s="535"/>
      <c r="S17" s="535"/>
      <c r="T17" s="535"/>
      <c r="U17" s="535"/>
      <c r="V17" s="535"/>
      <c r="W17" s="535"/>
      <c r="X17" s="535"/>
      <c r="Y17" s="535"/>
      <c r="Z17" s="535"/>
      <c r="AA17" s="535"/>
      <c r="AB17" s="535"/>
      <c r="AC17" s="535"/>
      <c r="AD17" s="535"/>
      <c r="AE17" s="535"/>
      <c r="AF17" s="535"/>
      <c r="AG17" s="535"/>
      <c r="AH17" s="535"/>
      <c r="AI17" s="535"/>
      <c r="AJ17" s="535"/>
      <c r="AK17" s="535"/>
      <c r="AL17" s="535"/>
      <c r="AM17" s="535"/>
      <c r="AN17" s="535"/>
      <c r="AO17" s="535"/>
      <c r="AP17" s="535"/>
      <c r="AQ17" s="535"/>
      <c r="AR17" s="535"/>
      <c r="AS17" s="535"/>
      <c r="AT17" s="535"/>
      <c r="AU17" s="535"/>
      <c r="AV17" s="535"/>
      <c r="AW17" s="535"/>
      <c r="AX17" s="535"/>
      <c r="AY17" s="535"/>
      <c r="AZ17" s="535"/>
      <c r="BA17" s="535"/>
      <c r="BB17" s="535"/>
      <c r="BC17" s="535"/>
      <c r="BD17" s="535"/>
      <c r="BE17" s="535"/>
      <c r="BF17" s="535"/>
      <c r="BG17" s="535"/>
      <c r="BH17" s="535"/>
      <c r="BI17" s="535"/>
      <c r="BJ17" s="536"/>
      <c r="BK17" s="536"/>
      <c r="BL17" s="536"/>
      <c r="BM17" s="536"/>
      <c r="BN17" s="536"/>
    </row>
    <row r="18" customFormat="false" ht="10.5" hidden="false" customHeight="true" outlineLevel="0" collapsed="false">
      <c r="A18" s="564" t="s">
        <v>1728</v>
      </c>
      <c r="B18" s="563" t="s">
        <v>1726</v>
      </c>
      <c r="C18" s="565" t="n">
        <v>0.1</v>
      </c>
      <c r="D18" s="536"/>
      <c r="E18" s="536"/>
      <c r="F18" s="536"/>
      <c r="G18" s="536"/>
      <c r="H18" s="536"/>
      <c r="I18" s="536"/>
      <c r="J18" s="536"/>
      <c r="K18" s="536"/>
      <c r="L18" s="536"/>
      <c r="M18" s="540"/>
      <c r="N18" s="535"/>
      <c r="O18" s="535"/>
      <c r="P18" s="535"/>
      <c r="Q18" s="535"/>
      <c r="R18" s="535"/>
      <c r="S18" s="535"/>
      <c r="T18" s="535"/>
      <c r="U18" s="535"/>
      <c r="V18" s="535"/>
      <c r="W18" s="535"/>
      <c r="X18" s="535"/>
      <c r="Y18" s="535"/>
      <c r="Z18" s="535"/>
      <c r="AA18" s="535"/>
      <c r="AB18" s="535"/>
      <c r="AC18" s="535"/>
      <c r="AD18" s="535"/>
      <c r="AE18" s="535"/>
      <c r="AF18" s="535"/>
      <c r="AG18" s="535"/>
      <c r="AH18" s="535"/>
      <c r="AI18" s="535"/>
      <c r="AJ18" s="535"/>
      <c r="AK18" s="535"/>
      <c r="AL18" s="535"/>
      <c r="AM18" s="535"/>
      <c r="AN18" s="535"/>
      <c r="AO18" s="535"/>
      <c r="AP18" s="535"/>
      <c r="AQ18" s="535"/>
      <c r="AR18" s="535"/>
      <c r="AS18" s="535"/>
      <c r="AT18" s="535"/>
      <c r="AU18" s="535"/>
      <c r="AV18" s="535"/>
      <c r="AW18" s="535"/>
      <c r="AX18" s="535"/>
      <c r="AY18" s="535"/>
      <c r="AZ18" s="535"/>
      <c r="BA18" s="535"/>
      <c r="BB18" s="535"/>
      <c r="BC18" s="535"/>
      <c r="BD18" s="535"/>
      <c r="BE18" s="535"/>
      <c r="BF18" s="535"/>
      <c r="BG18" s="535"/>
      <c r="BH18" s="535"/>
      <c r="BI18" s="535"/>
      <c r="BJ18" s="536"/>
      <c r="BK18" s="536"/>
      <c r="BL18" s="536"/>
      <c r="BM18" s="536"/>
      <c r="BN18" s="536"/>
    </row>
    <row r="19" customFormat="false" ht="10.5" hidden="false" customHeight="true" outlineLevel="0" collapsed="false">
      <c r="A19" s="566" t="str">
        <f aca="false">IF('P&amp;L'!E14="y","Total Funding","Total Revenue")</f>
        <v>Total Revenue</v>
      </c>
      <c r="B19" s="567" t="n">
        <f aca="false">Revenue!B118</f>
        <v>0</v>
      </c>
      <c r="C19" s="568" t="n">
        <f aca="false">Revenue!C118</f>
        <v>0</v>
      </c>
      <c r="D19" s="568" t="n">
        <f aca="false">Revenue!D118</f>
        <v>917.14</v>
      </c>
      <c r="E19" s="568" t="n">
        <f aca="false">Revenue!E118</f>
        <v>134197.060869048</v>
      </c>
      <c r="F19" s="568" t="n">
        <f aca="false">Revenue!F118</f>
        <v>268394.121738095</v>
      </c>
      <c r="G19" s="568" t="n">
        <f aca="false">Revenue!G118</f>
        <v>536788.243476191</v>
      </c>
      <c r="H19" s="568" t="n">
        <f aca="false">Revenue!H118</f>
        <v>805182.365214286</v>
      </c>
      <c r="I19" s="568" t="n">
        <f aca="false">Revenue!I118</f>
        <v>1073576.48695238</v>
      </c>
      <c r="J19" s="568" t="n">
        <f aca="false">Revenue!J118</f>
        <v>1341970.60869048</v>
      </c>
      <c r="K19" s="568" t="n">
        <f aca="false">Revenue!K118</f>
        <v>1610364.73042857</v>
      </c>
      <c r="L19" s="568" t="n">
        <f aca="false">Revenue!L118</f>
        <v>1878758.85216667</v>
      </c>
      <c r="M19" s="569" t="n">
        <f aca="false">Revenue!M118</f>
        <v>2147152.97390476</v>
      </c>
      <c r="N19" s="567" t="n">
        <f aca="false">Revenue!N118</f>
        <v>3283123.76912143</v>
      </c>
      <c r="O19" s="568" t="n">
        <f aca="false">Revenue!O118</f>
        <v>3647915.29902381</v>
      </c>
      <c r="P19" s="568" t="n">
        <f aca="false">Revenue!P118</f>
        <v>4012706.82892619</v>
      </c>
      <c r="Q19" s="568" t="n">
        <f aca="false">Revenue!Q118</f>
        <v>4377498.35882857</v>
      </c>
      <c r="R19" s="568" t="n">
        <f aca="false">Revenue!R118</f>
        <v>4742289.88873096</v>
      </c>
      <c r="S19" s="568" t="n">
        <f aca="false">Revenue!S118</f>
        <v>5107081.41863334</v>
      </c>
      <c r="T19" s="568" t="n">
        <f aca="false">Revenue!T118</f>
        <v>5471872.94853572</v>
      </c>
      <c r="U19" s="568" t="n">
        <f aca="false">Revenue!U118</f>
        <v>5836664.4784381</v>
      </c>
      <c r="V19" s="568" t="n">
        <f aca="false">Revenue!V118</f>
        <v>6201456.00834048</v>
      </c>
      <c r="W19" s="568" t="n">
        <f aca="false">Revenue!W118</f>
        <v>6566247.53824285</v>
      </c>
      <c r="X19" s="568" t="n">
        <f aca="false">Revenue!X118</f>
        <v>6931039.06814524</v>
      </c>
      <c r="Y19" s="569" t="n">
        <f aca="false">Revenue!Y118</f>
        <v>7295830.59804762</v>
      </c>
      <c r="Z19" s="567" t="n">
        <f aca="false">Revenue!Z118</f>
        <v>13928403.869</v>
      </c>
      <c r="AA19" s="568" t="n">
        <f aca="false">Revenue!AA118</f>
        <v>13928403.869</v>
      </c>
      <c r="AB19" s="568" t="n">
        <f aca="false">Revenue!AB118</f>
        <v>13928403.869</v>
      </c>
      <c r="AC19" s="568" t="n">
        <f aca="false">Revenue!AC118</f>
        <v>13928403.869</v>
      </c>
      <c r="AD19" s="568" t="n">
        <f aca="false">Revenue!AD118</f>
        <v>13928403.869</v>
      </c>
      <c r="AE19" s="568" t="n">
        <f aca="false">Revenue!AE118</f>
        <v>13928403.869</v>
      </c>
      <c r="AF19" s="568" t="n">
        <f aca="false">Revenue!AF118</f>
        <v>13928403.869</v>
      </c>
      <c r="AG19" s="568" t="n">
        <f aca="false">Revenue!AG118</f>
        <v>13928403.869</v>
      </c>
      <c r="AH19" s="568" t="n">
        <f aca="false">Revenue!AH118</f>
        <v>13928403.869</v>
      </c>
      <c r="AI19" s="568" t="n">
        <f aca="false">Revenue!AI118</f>
        <v>13928403.869</v>
      </c>
      <c r="AJ19" s="568" t="n">
        <f aca="false">Revenue!AJ118</f>
        <v>13928403.869</v>
      </c>
      <c r="AK19" s="569" t="n">
        <f aca="false">Revenue!AK118</f>
        <v>13928403.869</v>
      </c>
      <c r="AL19" s="567" t="n">
        <f aca="false">Revenue!AL118</f>
        <v>15089104.1914167</v>
      </c>
      <c r="AM19" s="568" t="n">
        <f aca="false">Revenue!AM118</f>
        <v>15089104.1914167</v>
      </c>
      <c r="AN19" s="568" t="n">
        <f aca="false">Revenue!AN118</f>
        <v>15089104.1914167</v>
      </c>
      <c r="AO19" s="568" t="n">
        <f aca="false">Revenue!AO118</f>
        <v>15089104.1914167</v>
      </c>
      <c r="AP19" s="568" t="n">
        <f aca="false">Revenue!AP118</f>
        <v>15089104.1914167</v>
      </c>
      <c r="AQ19" s="568" t="n">
        <f aca="false">Revenue!AQ118</f>
        <v>15089104.1914167</v>
      </c>
      <c r="AR19" s="568" t="n">
        <f aca="false">Revenue!AR118</f>
        <v>15089104.1914167</v>
      </c>
      <c r="AS19" s="568" t="n">
        <f aca="false">Revenue!AS118</f>
        <v>15089104.1914167</v>
      </c>
      <c r="AT19" s="568" t="n">
        <f aca="false">Revenue!AT118</f>
        <v>15089104.1914167</v>
      </c>
      <c r="AU19" s="568" t="n">
        <f aca="false">Revenue!AU118</f>
        <v>15089104.1914167</v>
      </c>
      <c r="AV19" s="568" t="n">
        <f aca="false">Revenue!AV118</f>
        <v>15089104.1914167</v>
      </c>
      <c r="AW19" s="569" t="n">
        <f aca="false">Revenue!AW118</f>
        <v>15089104.1914167</v>
      </c>
      <c r="AX19" s="567" t="n">
        <f aca="false">Revenue!AX118</f>
        <v>16249804.5138333</v>
      </c>
      <c r="AY19" s="568" t="n">
        <f aca="false">Revenue!AY118</f>
        <v>16249804.5138333</v>
      </c>
      <c r="AZ19" s="568" t="n">
        <f aca="false">Revenue!AZ118</f>
        <v>16249804.5138333</v>
      </c>
      <c r="BA19" s="568" t="n">
        <f aca="false">Revenue!BA118</f>
        <v>16249804.5138333</v>
      </c>
      <c r="BB19" s="568" t="n">
        <f aca="false">Revenue!BB118</f>
        <v>16249804.5138333</v>
      </c>
      <c r="BC19" s="568" t="n">
        <f aca="false">Revenue!BC118</f>
        <v>16249804.5138333</v>
      </c>
      <c r="BD19" s="568" t="n">
        <f aca="false">Revenue!BD118</f>
        <v>16249804.5138333</v>
      </c>
      <c r="BE19" s="568" t="n">
        <f aca="false">Revenue!BE118</f>
        <v>16249804.5138333</v>
      </c>
      <c r="BF19" s="568" t="n">
        <f aca="false">Revenue!BF118</f>
        <v>16249804.5138333</v>
      </c>
      <c r="BG19" s="568" t="n">
        <f aca="false">Revenue!BG118</f>
        <v>16249804.5138333</v>
      </c>
      <c r="BH19" s="568" t="n">
        <f aca="false">Revenue!BH118</f>
        <v>16249804.5138333</v>
      </c>
      <c r="BI19" s="569" t="n">
        <f aca="false">Revenue!BI118</f>
        <v>16249804.5138333</v>
      </c>
      <c r="BJ19" s="544" t="n">
        <f aca="false">Revenue!BJ118</f>
        <v>9796385.44344048</v>
      </c>
      <c r="BK19" s="544" t="n">
        <f aca="false">Revenue!BK118</f>
        <v>63473726.2030143</v>
      </c>
      <c r="BL19" s="544" t="n">
        <f aca="false">Revenue!BL118</f>
        <v>167140846.428</v>
      </c>
      <c r="BM19" s="544" t="n">
        <f aca="false">Revenue!BM118</f>
        <v>181069250.297</v>
      </c>
      <c r="BN19" s="544" t="n">
        <f aca="false">Revenue!BN118</f>
        <v>194997654.166</v>
      </c>
      <c r="BO19" s="570" t="str">
        <f aca="false">IF('P&amp;L'!BS14="y","Total Funding","Total Revenue")</f>
        <v>Total Revenue</v>
      </c>
    </row>
    <row r="20" customFormat="false" ht="10.5" hidden="false" customHeight="true" outlineLevel="0" collapsed="false">
      <c r="A20" s="551"/>
      <c r="B20" s="571"/>
      <c r="C20" s="536"/>
      <c r="D20" s="536"/>
      <c r="E20" s="536"/>
      <c r="F20" s="536"/>
      <c r="G20" s="536"/>
      <c r="H20" s="536"/>
      <c r="I20" s="536"/>
      <c r="J20" s="536"/>
      <c r="K20" s="536"/>
      <c r="L20" s="536"/>
      <c r="M20" s="572"/>
      <c r="N20" s="573"/>
      <c r="O20" s="535"/>
      <c r="P20" s="535"/>
      <c r="Q20" s="535"/>
      <c r="R20" s="535"/>
      <c r="S20" s="535"/>
      <c r="T20" s="535"/>
      <c r="U20" s="535"/>
      <c r="V20" s="535"/>
      <c r="W20" s="535"/>
      <c r="X20" s="535"/>
      <c r="Y20" s="574"/>
      <c r="Z20" s="573"/>
      <c r="AA20" s="535"/>
      <c r="AB20" s="535"/>
      <c r="AC20" s="535"/>
      <c r="AD20" s="535"/>
      <c r="AE20" s="535"/>
      <c r="AF20" s="535"/>
      <c r="AG20" s="535"/>
      <c r="AH20" s="535"/>
      <c r="AI20" s="535"/>
      <c r="AJ20" s="535"/>
      <c r="AK20" s="574"/>
      <c r="AL20" s="573"/>
      <c r="AM20" s="535"/>
      <c r="AN20" s="535"/>
      <c r="AO20" s="535"/>
      <c r="AP20" s="535"/>
      <c r="AQ20" s="535"/>
      <c r="AR20" s="535"/>
      <c r="AS20" s="535"/>
      <c r="AT20" s="535"/>
      <c r="AU20" s="535"/>
      <c r="AV20" s="535"/>
      <c r="AW20" s="574"/>
      <c r="AX20" s="573"/>
      <c r="AY20" s="535"/>
      <c r="AZ20" s="535"/>
      <c r="BA20" s="535"/>
      <c r="BB20" s="535"/>
      <c r="BC20" s="535"/>
      <c r="BD20" s="535"/>
      <c r="BE20" s="535"/>
      <c r="BF20" s="535"/>
      <c r="BG20" s="535"/>
      <c r="BH20" s="535"/>
      <c r="BI20" s="574"/>
      <c r="BJ20" s="544"/>
      <c r="BK20" s="544"/>
      <c r="BL20" s="544"/>
      <c r="BM20" s="544"/>
      <c r="BN20" s="544"/>
      <c r="BO20" s="575"/>
    </row>
    <row r="21" s="530" customFormat="true" ht="10.5" hidden="false" customHeight="true" outlineLevel="0" collapsed="false">
      <c r="A21" s="551" t="str">
        <f aca="false">IF('P&amp;L'!E14="y","Subtotal Cost of Funding","Subtotal Cost of Revenue")</f>
        <v>Subtotal Cost of Revenue</v>
      </c>
      <c r="B21" s="571" t="n">
        <f aca="false">Revenue!B150</f>
        <v>0</v>
      </c>
      <c r="C21" s="536" t="n">
        <f aca="false">Revenue!C150</f>
        <v>0</v>
      </c>
      <c r="D21" s="536" t="n">
        <f aca="false">Revenue!D150</f>
        <v>604.269831428572</v>
      </c>
      <c r="E21" s="536" t="n">
        <f aca="false">Revenue!E150</f>
        <v>69972.7552530499</v>
      </c>
      <c r="F21" s="536" t="n">
        <f aca="false">Revenue!F150</f>
        <v>139945.5105061</v>
      </c>
      <c r="G21" s="536" t="n">
        <f aca="false">Revenue!G150</f>
        <v>279891.0210122</v>
      </c>
      <c r="H21" s="536" t="n">
        <f aca="false">Revenue!H150</f>
        <v>419836.5315183</v>
      </c>
      <c r="I21" s="536" t="n">
        <f aca="false">Revenue!I150</f>
        <v>559782.042024399</v>
      </c>
      <c r="J21" s="536" t="n">
        <f aca="false">Revenue!J150</f>
        <v>699727.552530499</v>
      </c>
      <c r="K21" s="536" t="n">
        <f aca="false">Revenue!K150</f>
        <v>839673.063036599</v>
      </c>
      <c r="L21" s="536" t="n">
        <f aca="false">Revenue!L150</f>
        <v>979618.573542699</v>
      </c>
      <c r="M21" s="572" t="n">
        <f aca="false">Revenue!M150</f>
        <v>1119564.0840488</v>
      </c>
      <c r="N21" s="573" t="n">
        <f aca="false">Revenue!N150</f>
        <v>1322485.07428264</v>
      </c>
      <c r="O21" s="535" t="n">
        <f aca="false">Revenue!O150</f>
        <v>1469427.86031405</v>
      </c>
      <c r="P21" s="535" t="n">
        <f aca="false">Revenue!P150</f>
        <v>1616370.64634545</v>
      </c>
      <c r="Q21" s="535" t="n">
        <f aca="false">Revenue!Q150</f>
        <v>1763313.43237686</v>
      </c>
      <c r="R21" s="535" t="n">
        <f aca="false">Revenue!R150</f>
        <v>1910256.21840826</v>
      </c>
      <c r="S21" s="535" t="n">
        <f aca="false">Revenue!S150</f>
        <v>2057199.00443967</v>
      </c>
      <c r="T21" s="535" t="n">
        <f aca="false">Revenue!T150</f>
        <v>2204141.79047107</v>
      </c>
      <c r="U21" s="535" t="n">
        <f aca="false">Revenue!U150</f>
        <v>2351084.57650248</v>
      </c>
      <c r="V21" s="535" t="n">
        <f aca="false">Revenue!V150</f>
        <v>2498027.36253388</v>
      </c>
      <c r="W21" s="535" t="n">
        <f aca="false">Revenue!W150</f>
        <v>2644970.14856529</v>
      </c>
      <c r="X21" s="535" t="n">
        <f aca="false">Revenue!X150</f>
        <v>2791912.93459669</v>
      </c>
      <c r="Y21" s="574" t="n">
        <f aca="false">Revenue!Y150</f>
        <v>2938855.7206281</v>
      </c>
      <c r="Z21" s="573" t="n">
        <f aca="false">Revenue!Z150</f>
        <v>5387902.15448484</v>
      </c>
      <c r="AA21" s="535" t="n">
        <f aca="false">Revenue!AA150</f>
        <v>5387902.15448484</v>
      </c>
      <c r="AB21" s="535" t="n">
        <f aca="false">Revenue!AB150</f>
        <v>5387902.15448484</v>
      </c>
      <c r="AC21" s="535" t="n">
        <f aca="false">Revenue!AC150</f>
        <v>5387902.15448484</v>
      </c>
      <c r="AD21" s="535" t="n">
        <f aca="false">Revenue!AD150</f>
        <v>5387902.15448484</v>
      </c>
      <c r="AE21" s="535" t="n">
        <f aca="false">Revenue!AE150</f>
        <v>5387902.15448484</v>
      </c>
      <c r="AF21" s="535" t="n">
        <f aca="false">Revenue!AF150</f>
        <v>5387902.15448484</v>
      </c>
      <c r="AG21" s="535" t="n">
        <f aca="false">Revenue!AG150</f>
        <v>5387902.15448484</v>
      </c>
      <c r="AH21" s="535" t="n">
        <f aca="false">Revenue!AH150</f>
        <v>5387902.15448484</v>
      </c>
      <c r="AI21" s="535" t="n">
        <f aca="false">Revenue!AI150</f>
        <v>5387902.15448484</v>
      </c>
      <c r="AJ21" s="535" t="n">
        <f aca="false">Revenue!AJ150</f>
        <v>5387902.15448484</v>
      </c>
      <c r="AK21" s="574" t="n">
        <f aca="false">Revenue!AK150</f>
        <v>5387902.15448484</v>
      </c>
      <c r="AL21" s="573" t="n">
        <f aca="false">Revenue!AL150</f>
        <v>5632806.79787052</v>
      </c>
      <c r="AM21" s="535" t="n">
        <f aca="false">Revenue!AM150</f>
        <v>5632806.79787052</v>
      </c>
      <c r="AN21" s="535" t="n">
        <f aca="false">Revenue!AN150</f>
        <v>5632806.79787052</v>
      </c>
      <c r="AO21" s="535" t="n">
        <f aca="false">Revenue!AO150</f>
        <v>5632806.79787052</v>
      </c>
      <c r="AP21" s="535" t="n">
        <f aca="false">Revenue!AP150</f>
        <v>5632806.79787052</v>
      </c>
      <c r="AQ21" s="535" t="n">
        <f aca="false">Revenue!AQ150</f>
        <v>5632806.79787052</v>
      </c>
      <c r="AR21" s="535" t="n">
        <f aca="false">Revenue!AR150</f>
        <v>5632806.79787052</v>
      </c>
      <c r="AS21" s="535" t="n">
        <f aca="false">Revenue!AS150</f>
        <v>5632806.79787052</v>
      </c>
      <c r="AT21" s="535" t="n">
        <f aca="false">Revenue!AT150</f>
        <v>5632806.79787052</v>
      </c>
      <c r="AU21" s="535" t="n">
        <f aca="false">Revenue!AU150</f>
        <v>5632806.79787052</v>
      </c>
      <c r="AV21" s="535" t="n">
        <f aca="false">Revenue!AV150</f>
        <v>5632806.79787052</v>
      </c>
      <c r="AW21" s="574" t="n">
        <f aca="false">Revenue!AW150</f>
        <v>5632806.79787052</v>
      </c>
      <c r="AX21" s="573" t="n">
        <f aca="false">Revenue!AX150</f>
        <v>5877711.44125619</v>
      </c>
      <c r="AY21" s="535" t="n">
        <f aca="false">Revenue!AY150</f>
        <v>5877711.44125619</v>
      </c>
      <c r="AZ21" s="535" t="n">
        <f aca="false">Revenue!AZ150</f>
        <v>5877711.44125619</v>
      </c>
      <c r="BA21" s="535" t="n">
        <f aca="false">Revenue!BA150</f>
        <v>5877711.44125619</v>
      </c>
      <c r="BB21" s="535" t="n">
        <f aca="false">Revenue!BB150</f>
        <v>5877711.44125619</v>
      </c>
      <c r="BC21" s="535" t="n">
        <f aca="false">Revenue!BC150</f>
        <v>5877711.44125619</v>
      </c>
      <c r="BD21" s="535" t="n">
        <f aca="false">Revenue!BD150</f>
        <v>5877711.44125619</v>
      </c>
      <c r="BE21" s="535" t="n">
        <f aca="false">Revenue!BE150</f>
        <v>5877711.44125619</v>
      </c>
      <c r="BF21" s="535" t="n">
        <f aca="false">Revenue!BF150</f>
        <v>5877711.44125619</v>
      </c>
      <c r="BG21" s="535" t="n">
        <f aca="false">Revenue!BG150</f>
        <v>5877711.44125619</v>
      </c>
      <c r="BH21" s="535" t="n">
        <f aca="false">Revenue!BH150</f>
        <v>5877711.44125619</v>
      </c>
      <c r="BI21" s="574" t="n">
        <f aca="false">Revenue!BI150</f>
        <v>5877711.44125619</v>
      </c>
      <c r="BJ21" s="544" t="n">
        <f aca="false">Revenue!BJ150</f>
        <v>5108011.13347264</v>
      </c>
      <c r="BK21" s="544" t="n">
        <f aca="false">Revenue!BK150</f>
        <v>25568044.7694644</v>
      </c>
      <c r="BL21" s="544" t="n">
        <f aca="false">Revenue!BL150</f>
        <v>64654825.8538181</v>
      </c>
      <c r="BM21" s="544" t="n">
        <f aca="false">Revenue!BM150</f>
        <v>67593681.5744462</v>
      </c>
      <c r="BN21" s="544" t="n">
        <f aca="false">Revenue!BN150</f>
        <v>70532537.2950743</v>
      </c>
      <c r="BO21" s="575" t="str">
        <f aca="false">IF('P&amp;L'!BS14="y","Subtotal Cost of Funding","Subtotal Cost of Revenue")</f>
        <v>Subtotal Cost of Revenue</v>
      </c>
      <c r="BS21" s="529"/>
    </row>
    <row r="22" s="530" customFormat="true" ht="10.5" hidden="false" customHeight="true" outlineLevel="0" collapsed="false">
      <c r="A22" s="551" t="str">
        <f aca="false">A17</f>
        <v>Other Direct Cost</v>
      </c>
      <c r="B22" s="571" t="n">
        <f aca="false">IF($B$17="Y",B19*$C$17,0)</f>
        <v>0</v>
      </c>
      <c r="C22" s="536" t="n">
        <f aca="false">IF($B$17="Y",C19*$C$17,0)</f>
        <v>0</v>
      </c>
      <c r="D22" s="536" t="n">
        <f aca="false">IF($B$17="Y",D19*$C$17,0)</f>
        <v>91.714</v>
      </c>
      <c r="E22" s="536" t="n">
        <f aca="false">IF($B$17="Y",E19*$C$17,0)</f>
        <v>13419.7060869048</v>
      </c>
      <c r="F22" s="536" t="n">
        <f aca="false">IF($B$17="Y",F19*$C$17,0)</f>
        <v>26839.4121738095</v>
      </c>
      <c r="G22" s="536" t="n">
        <f aca="false">IF($B$17="Y",G19*$C$17,0)</f>
        <v>53678.8243476191</v>
      </c>
      <c r="H22" s="536" t="n">
        <f aca="false">IF($B$17="Y",H19*$C$17,0)</f>
        <v>80518.2365214286</v>
      </c>
      <c r="I22" s="536" t="n">
        <f aca="false">IF($B$17="Y",I19*$C$17,0)</f>
        <v>107357.648695238</v>
      </c>
      <c r="J22" s="536" t="n">
        <f aca="false">IF($B$17="Y",J19*$C$17,0)</f>
        <v>134197.060869048</v>
      </c>
      <c r="K22" s="536" t="n">
        <f aca="false">IF($B$17="Y",K19*$C$17,0)</f>
        <v>161036.473042857</v>
      </c>
      <c r="L22" s="536" t="n">
        <f aca="false">IF($B$17="Y",L19*$C$17,0)</f>
        <v>187875.885216667</v>
      </c>
      <c r="M22" s="572" t="n">
        <f aca="false">IF($B$17="Y",M19*$C$17,0)</f>
        <v>214715.297390476</v>
      </c>
      <c r="N22" s="573" t="n">
        <f aca="false">IF($B$17="Y",N19*$C$17,0)</f>
        <v>328312.376912143</v>
      </c>
      <c r="O22" s="535" t="n">
        <f aca="false">IF($B$17="Y",O19*$C$17,0)</f>
        <v>364791.529902381</v>
      </c>
      <c r="P22" s="535" t="n">
        <f aca="false">IF($B$17="Y",P19*$C$17,0)</f>
        <v>401270.682892619</v>
      </c>
      <c r="Q22" s="535" t="n">
        <f aca="false">IF($B$17="Y",Q19*$C$17,0)</f>
        <v>437749.835882857</v>
      </c>
      <c r="R22" s="535" t="n">
        <f aca="false">IF($B$17="Y",R19*$C$17,0)</f>
        <v>474228.988873096</v>
      </c>
      <c r="S22" s="535" t="n">
        <f aca="false">IF($B$17="Y",S19*$C$17,0)</f>
        <v>510708.141863334</v>
      </c>
      <c r="T22" s="535" t="n">
        <f aca="false">IF($B$17="Y",T19*$C$17,0)</f>
        <v>547187.294853572</v>
      </c>
      <c r="U22" s="535" t="n">
        <f aca="false">IF($B$17="Y",U19*$C$17,0)</f>
        <v>583666.44784381</v>
      </c>
      <c r="V22" s="535" t="n">
        <f aca="false">IF($B$17="Y",V19*$C$17,0)</f>
        <v>620145.600834048</v>
      </c>
      <c r="W22" s="535" t="n">
        <f aca="false">IF($B$17="Y",W19*$C$17,0)</f>
        <v>656624.753824285</v>
      </c>
      <c r="X22" s="535" t="n">
        <f aca="false">IF($B$17="Y",X19*$C$17,0)</f>
        <v>693103.906814524</v>
      </c>
      <c r="Y22" s="574" t="n">
        <f aca="false">IF($B$17="Y",Y19*$C$17,0)</f>
        <v>729583.059804762</v>
      </c>
      <c r="Z22" s="573" t="n">
        <f aca="false">IF($B$17="Y",Z19*$C$17,0)</f>
        <v>1392840.3869</v>
      </c>
      <c r="AA22" s="535" t="n">
        <f aca="false">IF($B$17="Y",AA19*$C$17,0)</f>
        <v>1392840.3869</v>
      </c>
      <c r="AB22" s="535" t="n">
        <f aca="false">IF($B$17="Y",AB19*$C$17,0)</f>
        <v>1392840.3869</v>
      </c>
      <c r="AC22" s="535" t="n">
        <f aca="false">IF($B$17="Y",AC19*$C$17,0)</f>
        <v>1392840.3869</v>
      </c>
      <c r="AD22" s="535" t="n">
        <f aca="false">IF($B$17="Y",AD19*$C$17,0)</f>
        <v>1392840.3869</v>
      </c>
      <c r="AE22" s="535" t="n">
        <f aca="false">IF($B$17="Y",AE19*$C$17,0)</f>
        <v>1392840.3869</v>
      </c>
      <c r="AF22" s="535" t="n">
        <f aca="false">IF($B$17="Y",AF19*$C$17,0)</f>
        <v>1392840.3869</v>
      </c>
      <c r="AG22" s="535" t="n">
        <f aca="false">IF($B$17="Y",AG19*$C$17,0)</f>
        <v>1392840.3869</v>
      </c>
      <c r="AH22" s="535" t="n">
        <f aca="false">IF($B$17="Y",AH19*$C$17,0)</f>
        <v>1392840.3869</v>
      </c>
      <c r="AI22" s="535" t="n">
        <f aca="false">IF($B$17="Y",AI19*$C$17,0)</f>
        <v>1392840.3869</v>
      </c>
      <c r="AJ22" s="535" t="n">
        <f aca="false">IF($B$17="Y",AJ19*$C$17,0)</f>
        <v>1392840.3869</v>
      </c>
      <c r="AK22" s="574" t="n">
        <f aca="false">IF($B$17="Y",AK19*$C$17,0)</f>
        <v>1392840.3869</v>
      </c>
      <c r="AL22" s="573" t="n">
        <f aca="false">IF($B$17="Y",AL19*$C$17,0)</f>
        <v>1508910.41914167</v>
      </c>
      <c r="AM22" s="535" t="n">
        <f aca="false">IF($B$17="Y",AM19*$C$17,0)</f>
        <v>1508910.41914167</v>
      </c>
      <c r="AN22" s="535" t="n">
        <f aca="false">IF($B$17="Y",AN19*$C$17,0)</f>
        <v>1508910.41914167</v>
      </c>
      <c r="AO22" s="535" t="n">
        <f aca="false">IF($B$17="Y",AO19*$C$17,0)</f>
        <v>1508910.41914167</v>
      </c>
      <c r="AP22" s="535" t="n">
        <f aca="false">IF($B$17="Y",AP19*$C$17,0)</f>
        <v>1508910.41914167</v>
      </c>
      <c r="AQ22" s="535" t="n">
        <f aca="false">IF($B$17="Y",AQ19*$C$17,0)</f>
        <v>1508910.41914167</v>
      </c>
      <c r="AR22" s="535" t="n">
        <f aca="false">IF($B$17="Y",AR19*$C$17,0)</f>
        <v>1508910.41914167</v>
      </c>
      <c r="AS22" s="535" t="n">
        <f aca="false">IF($B$17="Y",AS19*$C$17,0)</f>
        <v>1508910.41914167</v>
      </c>
      <c r="AT22" s="535" t="n">
        <f aca="false">IF($B$17="Y",AT19*$C$17,0)</f>
        <v>1508910.41914167</v>
      </c>
      <c r="AU22" s="535" t="n">
        <f aca="false">IF($B$17="Y",AU19*$C$17,0)</f>
        <v>1508910.41914167</v>
      </c>
      <c r="AV22" s="535" t="n">
        <f aca="false">IF($B$17="Y",AV19*$C$17,0)</f>
        <v>1508910.41914167</v>
      </c>
      <c r="AW22" s="574" t="n">
        <f aca="false">IF($B$17="Y",AW19*$C$17,0)</f>
        <v>1508910.41914167</v>
      </c>
      <c r="AX22" s="573" t="n">
        <f aca="false">IF($B$17="Y",AX19*$C$17,0)</f>
        <v>1624980.45138333</v>
      </c>
      <c r="AY22" s="535" t="n">
        <f aca="false">IF($B$17="Y",AY19*$C$17,0)</f>
        <v>1624980.45138333</v>
      </c>
      <c r="AZ22" s="535" t="n">
        <f aca="false">IF($B$17="Y",AZ19*$C$17,0)</f>
        <v>1624980.45138333</v>
      </c>
      <c r="BA22" s="535" t="n">
        <f aca="false">IF($B$17="Y",BA19*$C$17,0)</f>
        <v>1624980.45138333</v>
      </c>
      <c r="BB22" s="535" t="n">
        <f aca="false">IF($B$17="Y",BB19*$C$17,0)</f>
        <v>1624980.45138333</v>
      </c>
      <c r="BC22" s="535" t="n">
        <f aca="false">IF($B$17="Y",BC19*$C$17,0)</f>
        <v>1624980.45138333</v>
      </c>
      <c r="BD22" s="535" t="n">
        <f aca="false">IF($B$17="Y",BD19*$C$17,0)</f>
        <v>1624980.45138333</v>
      </c>
      <c r="BE22" s="535" t="n">
        <f aca="false">IF($B$17="Y",BE19*$C$17,0)</f>
        <v>1624980.45138333</v>
      </c>
      <c r="BF22" s="535" t="n">
        <f aca="false">IF($B$17="Y",BF19*$C$17,0)</f>
        <v>1624980.45138333</v>
      </c>
      <c r="BG22" s="535" t="n">
        <f aca="false">IF($B$17="Y",BG19*$C$17,0)</f>
        <v>1624980.45138333</v>
      </c>
      <c r="BH22" s="535" t="n">
        <f aca="false">IF($B$17="Y",BH19*$C$17,0)</f>
        <v>1624980.45138333</v>
      </c>
      <c r="BI22" s="574" t="n">
        <f aca="false">IF($B$17="Y",BI19*$C$17,0)</f>
        <v>1624980.45138333</v>
      </c>
      <c r="BJ22" s="544" t="n">
        <f aca="false">IF($B$17="Y",BJ19*$C$17,0)</f>
        <v>979638.544344048</v>
      </c>
      <c r="BK22" s="544" t="n">
        <f aca="false">IF($B$17="Y",BK19*$C$17,0)</f>
        <v>6347372.62030143</v>
      </c>
      <c r="BL22" s="544" t="n">
        <f aca="false">IF($B$17="Y",BL19*$C$17,0)</f>
        <v>16714084.6428</v>
      </c>
      <c r="BM22" s="544" t="n">
        <f aca="false">IF($B$17="Y",BM19*$C$17,0)</f>
        <v>18106925.0297</v>
      </c>
      <c r="BN22" s="544" t="n">
        <f aca="false">IF($B$17="Y",BN19*$C$17,0)</f>
        <v>19499765.4166</v>
      </c>
      <c r="BO22" s="575" t="s">
        <v>1727</v>
      </c>
      <c r="BS22" s="529"/>
    </row>
    <row r="23" s="530" customFormat="true" ht="10.5" hidden="false" customHeight="true" outlineLevel="0" collapsed="false">
      <c r="A23" s="566" t="str">
        <f aca="false">IF('P&amp;L'!E14="y","Total Direct Cost of Funding","Total Direct Cost of Revenue")</f>
        <v>Total Direct Cost of Revenue</v>
      </c>
      <c r="B23" s="571" t="n">
        <f aca="false">SUM(B21:B22)</f>
        <v>0</v>
      </c>
      <c r="C23" s="536" t="n">
        <f aca="false">SUM(C21:C22)</f>
        <v>0</v>
      </c>
      <c r="D23" s="536" t="n">
        <f aca="false">SUM(D21:D22)</f>
        <v>695.983831428571</v>
      </c>
      <c r="E23" s="536" t="n">
        <f aca="false">SUM(E21:E22)</f>
        <v>83392.4613399547</v>
      </c>
      <c r="F23" s="536" t="n">
        <f aca="false">SUM(F21:F22)</f>
        <v>166784.922679909</v>
      </c>
      <c r="G23" s="536" t="n">
        <f aca="false">SUM(G21:G22)</f>
        <v>333569.845359819</v>
      </c>
      <c r="H23" s="536" t="n">
        <f aca="false">SUM(H21:H22)</f>
        <v>500354.768039728</v>
      </c>
      <c r="I23" s="536" t="n">
        <f aca="false">SUM(I21:I22)</f>
        <v>667139.690719637</v>
      </c>
      <c r="J23" s="536" t="n">
        <f aca="false">SUM(J21:J22)</f>
        <v>833924.613399547</v>
      </c>
      <c r="K23" s="536" t="n">
        <f aca="false">SUM(K21:K22)</f>
        <v>1000709.53607946</v>
      </c>
      <c r="L23" s="536" t="n">
        <f aca="false">SUM(L21:L22)</f>
        <v>1167494.45875937</v>
      </c>
      <c r="M23" s="572" t="n">
        <f aca="false">SUM(M21:M22)</f>
        <v>1334279.38143928</v>
      </c>
      <c r="N23" s="573" t="n">
        <f aca="false">SUM(N21:N22)</f>
        <v>1650797.45119479</v>
      </c>
      <c r="O23" s="535" t="n">
        <f aca="false">SUM(O21:O22)</f>
        <v>1834219.39021643</v>
      </c>
      <c r="P23" s="535" t="n">
        <f aca="false">SUM(P21:P22)</f>
        <v>2017641.32923807</v>
      </c>
      <c r="Q23" s="535" t="n">
        <f aca="false">SUM(Q21:Q22)</f>
        <v>2201063.26825972</v>
      </c>
      <c r="R23" s="535" t="n">
        <f aca="false">SUM(R21:R22)</f>
        <v>2384485.20728136</v>
      </c>
      <c r="S23" s="535" t="n">
        <f aca="false">SUM(S21:S22)</f>
        <v>2567907.146303</v>
      </c>
      <c r="T23" s="535" t="n">
        <f aca="false">SUM(T21:T22)</f>
        <v>2751329.08532465</v>
      </c>
      <c r="U23" s="535" t="n">
        <f aca="false">SUM(U21:U22)</f>
        <v>2934751.02434629</v>
      </c>
      <c r="V23" s="535" t="n">
        <f aca="false">SUM(V21:V22)</f>
        <v>3118172.96336793</v>
      </c>
      <c r="W23" s="535" t="n">
        <f aca="false">SUM(W21:W22)</f>
        <v>3301594.90238957</v>
      </c>
      <c r="X23" s="535" t="n">
        <f aca="false">SUM(X21:X22)</f>
        <v>3485016.84141122</v>
      </c>
      <c r="Y23" s="574" t="n">
        <f aca="false">SUM(Y21:Y22)</f>
        <v>3668438.78043286</v>
      </c>
      <c r="Z23" s="573" t="n">
        <f aca="false">SUM(Z21:Z22)</f>
        <v>6780742.54138484</v>
      </c>
      <c r="AA23" s="535" t="n">
        <f aca="false">SUM(AA21:AA22)</f>
        <v>6780742.54138484</v>
      </c>
      <c r="AB23" s="535" t="n">
        <f aca="false">SUM(AB21:AB22)</f>
        <v>6780742.54138484</v>
      </c>
      <c r="AC23" s="535" t="n">
        <f aca="false">SUM(AC21:AC22)</f>
        <v>6780742.54138484</v>
      </c>
      <c r="AD23" s="535" t="n">
        <f aca="false">SUM(AD21:AD22)</f>
        <v>6780742.54138484</v>
      </c>
      <c r="AE23" s="535" t="n">
        <f aca="false">SUM(AE21:AE22)</f>
        <v>6780742.54138484</v>
      </c>
      <c r="AF23" s="535" t="n">
        <f aca="false">SUM(AF21:AF22)</f>
        <v>6780742.54138484</v>
      </c>
      <c r="AG23" s="535" t="n">
        <f aca="false">SUM(AG21:AG22)</f>
        <v>6780742.54138484</v>
      </c>
      <c r="AH23" s="535" t="n">
        <f aca="false">SUM(AH21:AH22)</f>
        <v>6780742.54138484</v>
      </c>
      <c r="AI23" s="535" t="n">
        <f aca="false">SUM(AI21:AI22)</f>
        <v>6780742.54138484</v>
      </c>
      <c r="AJ23" s="535" t="n">
        <f aca="false">SUM(AJ21:AJ22)</f>
        <v>6780742.54138484</v>
      </c>
      <c r="AK23" s="574" t="n">
        <f aca="false">SUM(AK21:AK22)</f>
        <v>6780742.54138484</v>
      </c>
      <c r="AL23" s="573" t="n">
        <f aca="false">SUM(AL21:AL22)</f>
        <v>7141717.21701218</v>
      </c>
      <c r="AM23" s="535" t="n">
        <f aca="false">SUM(AM21:AM22)</f>
        <v>7141717.21701218</v>
      </c>
      <c r="AN23" s="535" t="n">
        <f aca="false">SUM(AN21:AN22)</f>
        <v>7141717.21701218</v>
      </c>
      <c r="AO23" s="535" t="n">
        <f aca="false">SUM(AO21:AO22)</f>
        <v>7141717.21701218</v>
      </c>
      <c r="AP23" s="535" t="n">
        <f aca="false">SUM(AP21:AP22)</f>
        <v>7141717.21701218</v>
      </c>
      <c r="AQ23" s="535" t="n">
        <f aca="false">SUM(AQ21:AQ22)</f>
        <v>7141717.21701218</v>
      </c>
      <c r="AR23" s="535" t="n">
        <f aca="false">SUM(AR21:AR22)</f>
        <v>7141717.21701218</v>
      </c>
      <c r="AS23" s="535" t="n">
        <f aca="false">SUM(AS21:AS22)</f>
        <v>7141717.21701218</v>
      </c>
      <c r="AT23" s="535" t="n">
        <f aca="false">SUM(AT21:AT22)</f>
        <v>7141717.21701218</v>
      </c>
      <c r="AU23" s="535" t="n">
        <f aca="false">SUM(AU21:AU22)</f>
        <v>7141717.21701218</v>
      </c>
      <c r="AV23" s="535" t="n">
        <f aca="false">SUM(AV21:AV22)</f>
        <v>7141717.21701218</v>
      </c>
      <c r="AW23" s="574" t="n">
        <f aca="false">SUM(AW21:AW22)</f>
        <v>7141717.21701218</v>
      </c>
      <c r="AX23" s="573" t="n">
        <f aca="false">SUM(AX21:AX22)</f>
        <v>7502691.89263952</v>
      </c>
      <c r="AY23" s="535" t="n">
        <f aca="false">SUM(AY21:AY22)</f>
        <v>7502691.89263952</v>
      </c>
      <c r="AZ23" s="535" t="n">
        <f aca="false">SUM(AZ21:AZ22)</f>
        <v>7502691.89263952</v>
      </c>
      <c r="BA23" s="535" t="n">
        <f aca="false">SUM(BA21:BA22)</f>
        <v>7502691.89263952</v>
      </c>
      <c r="BB23" s="535" t="n">
        <f aca="false">SUM(BB21:BB22)</f>
        <v>7502691.89263952</v>
      </c>
      <c r="BC23" s="535" t="n">
        <f aca="false">SUM(BC21:BC22)</f>
        <v>7502691.89263952</v>
      </c>
      <c r="BD23" s="535" t="n">
        <f aca="false">SUM(BD21:BD22)</f>
        <v>7502691.89263952</v>
      </c>
      <c r="BE23" s="535" t="n">
        <f aca="false">SUM(BE21:BE22)</f>
        <v>7502691.89263952</v>
      </c>
      <c r="BF23" s="535" t="n">
        <f aca="false">SUM(BF21:BF22)</f>
        <v>7502691.89263952</v>
      </c>
      <c r="BG23" s="535" t="n">
        <f aca="false">SUM(BG21:BG22)</f>
        <v>7502691.89263952</v>
      </c>
      <c r="BH23" s="535" t="n">
        <f aca="false">SUM(BH21:BH22)</f>
        <v>7502691.89263952</v>
      </c>
      <c r="BI23" s="574" t="n">
        <f aca="false">SUM(BI21:BI22)</f>
        <v>7502691.89263952</v>
      </c>
      <c r="BJ23" s="544" t="n">
        <f aca="false">SUM(BJ21:BJ22)</f>
        <v>6087649.67781669</v>
      </c>
      <c r="BK23" s="544" t="n">
        <f aca="false">SUM(BK21:BK22)</f>
        <v>31915417.3897659</v>
      </c>
      <c r="BL23" s="544" t="n">
        <f aca="false">SUM(BL21:BL22)</f>
        <v>81368910.4966181</v>
      </c>
      <c r="BM23" s="544" t="n">
        <f aca="false">SUM(BM21:BM22)</f>
        <v>85700606.6041462</v>
      </c>
      <c r="BN23" s="544" t="n">
        <f aca="false">SUM(BN21:BN22)</f>
        <v>90032302.7116743</v>
      </c>
      <c r="BO23" s="576" t="str">
        <f aca="false">IF('P&amp;L'!BS14="y","Total Direct Cost of Funding","Total Direct Cost of Revenue")</f>
        <v>Total Direct Cost of Revenue</v>
      </c>
      <c r="BS23" s="529"/>
    </row>
    <row r="24" s="530" customFormat="true" ht="10.5" hidden="false" customHeight="true" outlineLevel="0" collapsed="false">
      <c r="A24" s="551"/>
      <c r="B24" s="571"/>
      <c r="C24" s="536"/>
      <c r="D24" s="536"/>
      <c r="E24" s="536"/>
      <c r="F24" s="536"/>
      <c r="G24" s="536"/>
      <c r="H24" s="536"/>
      <c r="I24" s="536"/>
      <c r="J24" s="536"/>
      <c r="K24" s="536"/>
      <c r="L24" s="536"/>
      <c r="M24" s="572"/>
      <c r="N24" s="573"/>
      <c r="O24" s="535"/>
      <c r="P24" s="535"/>
      <c r="Q24" s="535"/>
      <c r="R24" s="535"/>
      <c r="S24" s="535"/>
      <c r="T24" s="535"/>
      <c r="U24" s="535"/>
      <c r="V24" s="535"/>
      <c r="W24" s="535"/>
      <c r="X24" s="535"/>
      <c r="Y24" s="574"/>
      <c r="Z24" s="573"/>
      <c r="AA24" s="535"/>
      <c r="AB24" s="535"/>
      <c r="AC24" s="535"/>
      <c r="AD24" s="535"/>
      <c r="AE24" s="535"/>
      <c r="AF24" s="535"/>
      <c r="AG24" s="535"/>
      <c r="AH24" s="535"/>
      <c r="AI24" s="535"/>
      <c r="AJ24" s="535"/>
      <c r="AK24" s="574"/>
      <c r="AL24" s="573"/>
      <c r="AM24" s="535"/>
      <c r="AN24" s="535"/>
      <c r="AO24" s="535"/>
      <c r="AP24" s="535"/>
      <c r="AQ24" s="535"/>
      <c r="AR24" s="535"/>
      <c r="AS24" s="535"/>
      <c r="AT24" s="535"/>
      <c r="AU24" s="535"/>
      <c r="AV24" s="535"/>
      <c r="AW24" s="574"/>
      <c r="AX24" s="573"/>
      <c r="AY24" s="535"/>
      <c r="AZ24" s="535"/>
      <c r="BA24" s="535"/>
      <c r="BB24" s="535"/>
      <c r="BC24" s="535"/>
      <c r="BD24" s="535"/>
      <c r="BE24" s="535"/>
      <c r="BF24" s="535"/>
      <c r="BG24" s="535"/>
      <c r="BH24" s="535"/>
      <c r="BI24" s="574"/>
      <c r="BJ24" s="544"/>
      <c r="BK24" s="544"/>
      <c r="BL24" s="544"/>
      <c r="BM24" s="544"/>
      <c r="BN24" s="544"/>
      <c r="BO24" s="575"/>
      <c r="BS24" s="529"/>
    </row>
    <row r="25" s="530" customFormat="true" ht="10.5" hidden="false" customHeight="true" outlineLevel="0" collapsed="false">
      <c r="A25" s="566" t="str">
        <f aca="false">IF('P&amp;L'!E14="y","Gross Surplus","Gross Margin")</f>
        <v>Gross Margin</v>
      </c>
      <c r="B25" s="571" t="n">
        <f aca="false">B19-B23</f>
        <v>0</v>
      </c>
      <c r="C25" s="536" t="n">
        <f aca="false">C19-C23</f>
        <v>0</v>
      </c>
      <c r="D25" s="536" t="n">
        <f aca="false">D19-D23</f>
        <v>221.156168571428</v>
      </c>
      <c r="E25" s="536" t="n">
        <f aca="false">E19-E23</f>
        <v>50804.599529093</v>
      </c>
      <c r="F25" s="536" t="n">
        <f aca="false">F19-F23</f>
        <v>101609.199058186</v>
      </c>
      <c r="G25" s="536" t="n">
        <f aca="false">G19-G23</f>
        <v>203218.398116372</v>
      </c>
      <c r="H25" s="536" t="n">
        <f aca="false">H19-H23</f>
        <v>304827.597174558</v>
      </c>
      <c r="I25" s="536" t="n">
        <f aca="false">I19-I23</f>
        <v>406436.796232744</v>
      </c>
      <c r="J25" s="536" t="n">
        <f aca="false">J19-J23</f>
        <v>508045.99529093</v>
      </c>
      <c r="K25" s="536" t="n">
        <f aca="false">K19-K23</f>
        <v>609655.194349116</v>
      </c>
      <c r="L25" s="536" t="n">
        <f aca="false">L19-L23</f>
        <v>711264.393407302</v>
      </c>
      <c r="M25" s="572" t="n">
        <f aca="false">M19-M23</f>
        <v>812873.592465487</v>
      </c>
      <c r="N25" s="573" t="n">
        <f aca="false">N19-N23</f>
        <v>1632326.31792664</v>
      </c>
      <c r="O25" s="535" t="n">
        <f aca="false">O19-O23</f>
        <v>1813695.90880738</v>
      </c>
      <c r="P25" s="535" t="n">
        <f aca="false">P19-P23</f>
        <v>1995065.49968812</v>
      </c>
      <c r="Q25" s="535" t="n">
        <f aca="false">Q19-Q23</f>
        <v>2176435.09056886</v>
      </c>
      <c r="R25" s="535" t="n">
        <f aca="false">R19-R23</f>
        <v>2357804.6814496</v>
      </c>
      <c r="S25" s="535" t="n">
        <f aca="false">S19-S23</f>
        <v>2539174.27233033</v>
      </c>
      <c r="T25" s="535" t="n">
        <f aca="false">T19-T23</f>
        <v>2720543.86321107</v>
      </c>
      <c r="U25" s="535" t="n">
        <f aca="false">U19-U23</f>
        <v>2901913.45409181</v>
      </c>
      <c r="V25" s="535" t="n">
        <f aca="false">V19-V23</f>
        <v>3083283.04497255</v>
      </c>
      <c r="W25" s="535" t="n">
        <f aca="false">W19-W23</f>
        <v>3264652.63585328</v>
      </c>
      <c r="X25" s="535" t="n">
        <f aca="false">X19-X23</f>
        <v>3446022.22673402</v>
      </c>
      <c r="Y25" s="574" t="n">
        <f aca="false">Y19-Y23</f>
        <v>3627391.81761476</v>
      </c>
      <c r="Z25" s="573" t="n">
        <f aca="false">Z19-Z23</f>
        <v>7147661.32761515</v>
      </c>
      <c r="AA25" s="535" t="n">
        <f aca="false">AA19-AA23</f>
        <v>7147661.32761515</v>
      </c>
      <c r="AB25" s="535" t="n">
        <f aca="false">AB19-AB23</f>
        <v>7147661.32761515</v>
      </c>
      <c r="AC25" s="535" t="n">
        <f aca="false">AC19-AC23</f>
        <v>7147661.32761515</v>
      </c>
      <c r="AD25" s="535" t="n">
        <f aca="false">AD19-AD23</f>
        <v>7147661.32761515</v>
      </c>
      <c r="AE25" s="535" t="n">
        <f aca="false">AE19-AE23</f>
        <v>7147661.32761515</v>
      </c>
      <c r="AF25" s="535" t="n">
        <f aca="false">AF19-AF23</f>
        <v>7147661.32761515</v>
      </c>
      <c r="AG25" s="535" t="n">
        <f aca="false">AG19-AG23</f>
        <v>7147661.32761515</v>
      </c>
      <c r="AH25" s="535" t="n">
        <f aca="false">AH19-AH23</f>
        <v>7147661.32761515</v>
      </c>
      <c r="AI25" s="535" t="n">
        <f aca="false">AI19-AI23</f>
        <v>7147661.32761515</v>
      </c>
      <c r="AJ25" s="535" t="n">
        <f aca="false">AJ19-AJ23</f>
        <v>7147661.32761515</v>
      </c>
      <c r="AK25" s="574" t="n">
        <f aca="false">AK19-AK23</f>
        <v>7147661.32761515</v>
      </c>
      <c r="AL25" s="573" t="n">
        <f aca="false">AL19-AL23</f>
        <v>7947386.97440448</v>
      </c>
      <c r="AM25" s="535" t="n">
        <f aca="false">AM19-AM23</f>
        <v>7947386.97440448</v>
      </c>
      <c r="AN25" s="535" t="n">
        <f aca="false">AN19-AN23</f>
        <v>7947386.97440448</v>
      </c>
      <c r="AO25" s="535" t="n">
        <f aca="false">AO19-AO23</f>
        <v>7947386.97440448</v>
      </c>
      <c r="AP25" s="535" t="n">
        <f aca="false">AP19-AP23</f>
        <v>7947386.97440448</v>
      </c>
      <c r="AQ25" s="535" t="n">
        <f aca="false">AQ19-AQ23</f>
        <v>7947386.97440448</v>
      </c>
      <c r="AR25" s="535" t="n">
        <f aca="false">AR19-AR23</f>
        <v>7947386.97440448</v>
      </c>
      <c r="AS25" s="535" t="n">
        <f aca="false">AS19-AS23</f>
        <v>7947386.97440448</v>
      </c>
      <c r="AT25" s="535" t="n">
        <f aca="false">AT19-AT23</f>
        <v>7947386.97440448</v>
      </c>
      <c r="AU25" s="535" t="n">
        <f aca="false">AU19-AU23</f>
        <v>7947386.97440448</v>
      </c>
      <c r="AV25" s="535" t="n">
        <f aca="false">AV19-AV23</f>
        <v>7947386.97440448</v>
      </c>
      <c r="AW25" s="574" t="n">
        <f aca="false">AW19-AW23</f>
        <v>7947386.97440448</v>
      </c>
      <c r="AX25" s="573" t="n">
        <f aca="false">AX19-AX23</f>
        <v>8747112.6211938</v>
      </c>
      <c r="AY25" s="535" t="n">
        <f aca="false">AY19-AY23</f>
        <v>8747112.6211938</v>
      </c>
      <c r="AZ25" s="535" t="n">
        <f aca="false">AZ19-AZ23</f>
        <v>8747112.6211938</v>
      </c>
      <c r="BA25" s="535" t="n">
        <f aca="false">BA19-BA23</f>
        <v>8747112.6211938</v>
      </c>
      <c r="BB25" s="535" t="n">
        <f aca="false">BB19-BB23</f>
        <v>8747112.6211938</v>
      </c>
      <c r="BC25" s="535" t="n">
        <f aca="false">BC19-BC23</f>
        <v>8747112.6211938</v>
      </c>
      <c r="BD25" s="535" t="n">
        <f aca="false">BD19-BD23</f>
        <v>8747112.6211938</v>
      </c>
      <c r="BE25" s="535" t="n">
        <f aca="false">BE19-BE23</f>
        <v>8747112.6211938</v>
      </c>
      <c r="BF25" s="535" t="n">
        <f aca="false">BF19-BF23</f>
        <v>8747112.6211938</v>
      </c>
      <c r="BG25" s="535" t="n">
        <f aca="false">BG19-BG23</f>
        <v>8747112.6211938</v>
      </c>
      <c r="BH25" s="535" t="n">
        <f aca="false">BH19-BH23</f>
        <v>8747112.6211938</v>
      </c>
      <c r="BI25" s="574" t="n">
        <f aca="false">BI19-BI23</f>
        <v>8747112.6211938</v>
      </c>
      <c r="BJ25" s="544" t="n">
        <f aca="false">BJ19-BJ23</f>
        <v>3708735.76562379</v>
      </c>
      <c r="BK25" s="544" t="n">
        <f aca="false">BK19-BK23</f>
        <v>31558308.8132484</v>
      </c>
      <c r="BL25" s="544" t="n">
        <f aca="false">BL19-BL23</f>
        <v>85771935.9313818</v>
      </c>
      <c r="BM25" s="544" t="n">
        <f aca="false">BM19-BM23</f>
        <v>95368643.6928538</v>
      </c>
      <c r="BN25" s="544" t="n">
        <f aca="false">BN19-BN23</f>
        <v>104965351.454326</v>
      </c>
      <c r="BO25" s="576" t="str">
        <f aca="false">IF('P&amp;L'!BS14="y","Gross Surplus","Gross Margin")</f>
        <v>Gross Margin</v>
      </c>
      <c r="BS25" s="529"/>
    </row>
    <row r="26" s="530" customFormat="true" ht="10.5" hidden="false" customHeight="true" outlineLevel="0" collapsed="false">
      <c r="A26" s="551" t="str">
        <f aca="false">IF('P&amp;L'!E14="y","Gross Surplus/Funding","Gross Margin/Revenue")</f>
        <v>Gross Margin/Revenue</v>
      </c>
      <c r="B26" s="577" t="n">
        <f aca="false">IFERROR(B25/B19,0)</f>
        <v>0</v>
      </c>
      <c r="C26" s="578" t="n">
        <f aca="false">IFERROR(C25/C19,0)</f>
        <v>0</v>
      </c>
      <c r="D26" s="578" t="n">
        <f aca="false">IFERROR(D25/D19,0)</f>
        <v>0.241136760550656</v>
      </c>
      <c r="E26" s="578" t="n">
        <f aca="false">IFERROR(E25/E19,0)</f>
        <v>0.378582058355728</v>
      </c>
      <c r="F26" s="578" t="n">
        <f aca="false">IFERROR(F25/F19,0)</f>
        <v>0.378582058355728</v>
      </c>
      <c r="G26" s="578" t="n">
        <f aca="false">IFERROR(G25/G19,0)</f>
        <v>0.378582058355728</v>
      </c>
      <c r="H26" s="579" t="n">
        <f aca="false">IFERROR(H25/H19,0)</f>
        <v>0.378582058355728</v>
      </c>
      <c r="I26" s="579" t="n">
        <f aca="false">IFERROR(I25/I19,0)</f>
        <v>0.378582058355728</v>
      </c>
      <c r="J26" s="579" t="n">
        <f aca="false">IFERROR(J25/J19,0)</f>
        <v>0.378582058355728</v>
      </c>
      <c r="K26" s="579" t="n">
        <f aca="false">IFERROR(K25/K19,0)</f>
        <v>0.378582058355728</v>
      </c>
      <c r="L26" s="579" t="n">
        <f aca="false">IFERROR(L25/L19,0)</f>
        <v>0.378582058355728</v>
      </c>
      <c r="M26" s="580" t="n">
        <f aca="false">IFERROR(M25/M19,0)</f>
        <v>0.378582058355728</v>
      </c>
      <c r="N26" s="581" t="n">
        <f aca="false">N25/N19</f>
        <v>0.497186957518649</v>
      </c>
      <c r="O26" s="582" t="n">
        <f aca="false">O25/O19</f>
        <v>0.497186957518649</v>
      </c>
      <c r="P26" s="582" t="n">
        <f aca="false">P25/P19</f>
        <v>0.497186957518649</v>
      </c>
      <c r="Q26" s="582" t="n">
        <f aca="false">Q25/Q19</f>
        <v>0.497186957518649</v>
      </c>
      <c r="R26" s="582" t="n">
        <f aca="false">R25/R19</f>
        <v>0.497186957518649</v>
      </c>
      <c r="S26" s="582" t="n">
        <f aca="false">S25/S19</f>
        <v>0.497186957518649</v>
      </c>
      <c r="T26" s="582" t="n">
        <f aca="false">T25/T19</f>
        <v>0.497186957518649</v>
      </c>
      <c r="U26" s="582" t="n">
        <f aca="false">U25/U19</f>
        <v>0.497186957518649</v>
      </c>
      <c r="V26" s="582" t="n">
        <f aca="false">V25/V19</f>
        <v>0.497186957518649</v>
      </c>
      <c r="W26" s="582" t="n">
        <f aca="false">W25/W19</f>
        <v>0.497186957518649</v>
      </c>
      <c r="X26" s="582" t="n">
        <f aca="false">X25/X19</f>
        <v>0.497186957518649</v>
      </c>
      <c r="Y26" s="583" t="n">
        <f aca="false">Y25/Y19</f>
        <v>0.497186957518649</v>
      </c>
      <c r="Z26" s="581" t="n">
        <f aca="false">Z25/Z19</f>
        <v>0.51317160206156</v>
      </c>
      <c r="AA26" s="582" t="n">
        <f aca="false">AA25/AA19</f>
        <v>0.51317160206156</v>
      </c>
      <c r="AB26" s="582" t="n">
        <f aca="false">AB25/AB19</f>
        <v>0.51317160206156</v>
      </c>
      <c r="AC26" s="582" t="n">
        <f aca="false">AC25/AC19</f>
        <v>0.51317160206156</v>
      </c>
      <c r="AD26" s="582" t="n">
        <f aca="false">AD25/AD19</f>
        <v>0.51317160206156</v>
      </c>
      <c r="AE26" s="582" t="n">
        <f aca="false">AE25/AE19</f>
        <v>0.51317160206156</v>
      </c>
      <c r="AF26" s="582" t="n">
        <f aca="false">AF25/AF19</f>
        <v>0.51317160206156</v>
      </c>
      <c r="AG26" s="582" t="n">
        <f aca="false">AG25/AG19</f>
        <v>0.51317160206156</v>
      </c>
      <c r="AH26" s="582" t="n">
        <f aca="false">AH25/AH19</f>
        <v>0.51317160206156</v>
      </c>
      <c r="AI26" s="582" t="n">
        <f aca="false">AI25/AI19</f>
        <v>0.51317160206156</v>
      </c>
      <c r="AJ26" s="582" t="n">
        <f aca="false">AJ25/AJ19</f>
        <v>0.51317160206156</v>
      </c>
      <c r="AK26" s="583" t="n">
        <f aca="false">AK25/AK19</f>
        <v>0.51317160206156</v>
      </c>
      <c r="AL26" s="581" t="n">
        <f aca="false">AL25/AL19</f>
        <v>0.526697070520946</v>
      </c>
      <c r="AM26" s="582" t="n">
        <f aca="false">AM25/AM19</f>
        <v>0.526697070520946</v>
      </c>
      <c r="AN26" s="582" t="n">
        <f aca="false">AN25/AN19</f>
        <v>0.526697070520946</v>
      </c>
      <c r="AO26" s="582" t="n">
        <f aca="false">AO25/AO19</f>
        <v>0.526697070520946</v>
      </c>
      <c r="AP26" s="582" t="n">
        <f aca="false">AP25/AP19</f>
        <v>0.526697070520946</v>
      </c>
      <c r="AQ26" s="582" t="n">
        <f aca="false">AQ25/AQ19</f>
        <v>0.526697070520946</v>
      </c>
      <c r="AR26" s="582" t="n">
        <f aca="false">AR25/AR19</f>
        <v>0.526697070520946</v>
      </c>
      <c r="AS26" s="582" t="n">
        <f aca="false">AS25/AS19</f>
        <v>0.526697070520946</v>
      </c>
      <c r="AT26" s="582" t="n">
        <f aca="false">AT25/AT19</f>
        <v>0.526697070520946</v>
      </c>
      <c r="AU26" s="582" t="n">
        <f aca="false">AU25/AU19</f>
        <v>0.526697070520946</v>
      </c>
      <c r="AV26" s="582" t="n">
        <f aca="false">AV25/AV19</f>
        <v>0.526697070520946</v>
      </c>
      <c r="AW26" s="583" t="n">
        <f aca="false">AW25/AW19</f>
        <v>0.526697070520946</v>
      </c>
      <c r="AX26" s="581" t="n">
        <f aca="false">AX25/AX19</f>
        <v>0.538290329200419</v>
      </c>
      <c r="AY26" s="582" t="n">
        <f aca="false">AY25/AY19</f>
        <v>0.538290329200419</v>
      </c>
      <c r="AZ26" s="582" t="n">
        <f aca="false">AZ25/AZ19</f>
        <v>0.538290329200419</v>
      </c>
      <c r="BA26" s="582" t="n">
        <f aca="false">BA25/BA19</f>
        <v>0.538290329200419</v>
      </c>
      <c r="BB26" s="582" t="n">
        <f aca="false">BB25/BB19</f>
        <v>0.538290329200419</v>
      </c>
      <c r="BC26" s="582" t="n">
        <f aca="false">BC25/BC19</f>
        <v>0.538290329200419</v>
      </c>
      <c r="BD26" s="582" t="n">
        <f aca="false">BD25/BD19</f>
        <v>0.538290329200419</v>
      </c>
      <c r="BE26" s="582" t="n">
        <f aca="false">BE25/BE19</f>
        <v>0.538290329200419</v>
      </c>
      <c r="BF26" s="582" t="n">
        <f aca="false">BF25/BF19</f>
        <v>0.538290329200419</v>
      </c>
      <c r="BG26" s="582" t="n">
        <f aca="false">BG25/BG19</f>
        <v>0.538290329200419</v>
      </c>
      <c r="BH26" s="582" t="n">
        <f aca="false">BH25/BH19</f>
        <v>0.538290329200419</v>
      </c>
      <c r="BI26" s="583" t="n">
        <f aca="false">BI25/BI19</f>
        <v>0.538290329200419</v>
      </c>
      <c r="BJ26" s="546" t="n">
        <f aca="false">BJ25/BJ19</f>
        <v>0.378582058355728</v>
      </c>
      <c r="BK26" s="546" t="n">
        <f aca="false">BK25/BK19</f>
        <v>0.497186957518649</v>
      </c>
      <c r="BL26" s="546" t="n">
        <f aca="false">BL25/BL19</f>
        <v>0.51317160206156</v>
      </c>
      <c r="BM26" s="546" t="n">
        <f aca="false">BM25/BM19</f>
        <v>0.526697070520946</v>
      </c>
      <c r="BN26" s="546" t="n">
        <f aca="false">BN25/BN19</f>
        <v>0.53829032920042</v>
      </c>
      <c r="BO26" s="584" t="str">
        <f aca="false">IF('P&amp;L'!BS14="y","Gross Surplus/Funding","Gross Margin/Revenue")</f>
        <v>Gross Margin/Revenue</v>
      </c>
      <c r="BS26" s="529"/>
    </row>
    <row r="27" s="530" customFormat="true" ht="10.5" hidden="false" customHeight="true" outlineLevel="0" collapsed="false">
      <c r="A27" s="585" t="s">
        <v>1718</v>
      </c>
      <c r="B27" s="586" t="s">
        <v>1476</v>
      </c>
      <c r="C27" s="587" t="s">
        <v>1477</v>
      </c>
      <c r="D27" s="587" t="s">
        <v>1478</v>
      </c>
      <c r="E27" s="587" t="s">
        <v>1479</v>
      </c>
      <c r="F27" s="587" t="s">
        <v>1480</v>
      </c>
      <c r="G27" s="587" t="s">
        <v>1481</v>
      </c>
      <c r="H27" s="587" t="s">
        <v>1482</v>
      </c>
      <c r="I27" s="587" t="s">
        <v>1483</v>
      </c>
      <c r="J27" s="587" t="s">
        <v>1484</v>
      </c>
      <c r="K27" s="587" t="s">
        <v>1485</v>
      </c>
      <c r="L27" s="587" t="s">
        <v>1486</v>
      </c>
      <c r="M27" s="588" t="s">
        <v>1487</v>
      </c>
      <c r="N27" s="589" t="str">
        <f aca="false">Revenue!N56</f>
        <v>Month 13</v>
      </c>
      <c r="O27" s="589" t="str">
        <f aca="false">Revenue!O56</f>
        <v>Month 14</v>
      </c>
      <c r="P27" s="589" t="str">
        <f aca="false">Revenue!P56</f>
        <v>Month 15</v>
      </c>
      <c r="Q27" s="589" t="str">
        <f aca="false">Revenue!Q56</f>
        <v>Month 16</v>
      </c>
      <c r="R27" s="589" t="str">
        <f aca="false">Revenue!R56</f>
        <v>Month 17</v>
      </c>
      <c r="S27" s="589" t="str">
        <f aca="false">Revenue!S56</f>
        <v>Month 18</v>
      </c>
      <c r="T27" s="589" t="str">
        <f aca="false">Revenue!T56</f>
        <v>Month 19</v>
      </c>
      <c r="U27" s="589" t="str">
        <f aca="false">Revenue!U56</f>
        <v>Month 20</v>
      </c>
      <c r="V27" s="589" t="str">
        <f aca="false">Revenue!V56</f>
        <v>Month 21</v>
      </c>
      <c r="W27" s="589" t="str">
        <f aca="false">Revenue!W56</f>
        <v>Month 22</v>
      </c>
      <c r="X27" s="589" t="str">
        <f aca="false">Revenue!X56</f>
        <v>Month 23</v>
      </c>
      <c r="Y27" s="590" t="str">
        <f aca="false">Revenue!Y56</f>
        <v>Month 24</v>
      </c>
      <c r="Z27" s="591" t="str">
        <f aca="false">Revenue!Z56</f>
        <v>Month 25</v>
      </c>
      <c r="AA27" s="589" t="str">
        <f aca="false">Revenue!AA56</f>
        <v>Month 26</v>
      </c>
      <c r="AB27" s="589" t="str">
        <f aca="false">Revenue!AB56</f>
        <v>Month 27</v>
      </c>
      <c r="AC27" s="589" t="str">
        <f aca="false">Revenue!AC56</f>
        <v>Month 28</v>
      </c>
      <c r="AD27" s="589" t="str">
        <f aca="false">Revenue!AD56</f>
        <v>Month 29</v>
      </c>
      <c r="AE27" s="589" t="str">
        <f aca="false">Revenue!AE56</f>
        <v>Month 30</v>
      </c>
      <c r="AF27" s="589" t="str">
        <f aca="false">Revenue!AF56</f>
        <v>Month 31</v>
      </c>
      <c r="AG27" s="589" t="str">
        <f aca="false">Revenue!AG56</f>
        <v>Month 32</v>
      </c>
      <c r="AH27" s="589" t="str">
        <f aca="false">Revenue!AH56</f>
        <v>Month 33</v>
      </c>
      <c r="AI27" s="589" t="str">
        <f aca="false">Revenue!AI56</f>
        <v>Month 34</v>
      </c>
      <c r="AJ27" s="589" t="str">
        <f aca="false">Revenue!AJ56</f>
        <v>Month 35</v>
      </c>
      <c r="AK27" s="590" t="str">
        <f aca="false">Revenue!AK56</f>
        <v>Month 36</v>
      </c>
      <c r="AL27" s="591" t="str">
        <f aca="false">Revenue!AL56</f>
        <v>Month 37</v>
      </c>
      <c r="AM27" s="589" t="str">
        <f aca="false">Revenue!AM56</f>
        <v>Month 38</v>
      </c>
      <c r="AN27" s="589" t="str">
        <f aca="false">Revenue!AN56</f>
        <v>Month 39</v>
      </c>
      <c r="AO27" s="589" t="str">
        <f aca="false">Revenue!AO56</f>
        <v>Month 40</v>
      </c>
      <c r="AP27" s="589" t="str">
        <f aca="false">Revenue!AP56</f>
        <v>Month 41</v>
      </c>
      <c r="AQ27" s="589" t="str">
        <f aca="false">Revenue!AQ56</f>
        <v>Month 42</v>
      </c>
      <c r="AR27" s="589" t="str">
        <f aca="false">Revenue!AR56</f>
        <v>Month 43</v>
      </c>
      <c r="AS27" s="589" t="str">
        <f aca="false">Revenue!AS56</f>
        <v>Month 44</v>
      </c>
      <c r="AT27" s="589" t="str">
        <f aca="false">Revenue!AT56</f>
        <v>Month 45</v>
      </c>
      <c r="AU27" s="589" t="str">
        <f aca="false">Revenue!AU56</f>
        <v>Month 46</v>
      </c>
      <c r="AV27" s="589" t="str">
        <f aca="false">Revenue!AV56</f>
        <v>Month 47</v>
      </c>
      <c r="AW27" s="590" t="str">
        <f aca="false">Revenue!AW56</f>
        <v>Month 48</v>
      </c>
      <c r="AX27" s="591" t="str">
        <f aca="false">Revenue!AX56</f>
        <v>Month 49</v>
      </c>
      <c r="AY27" s="589" t="str">
        <f aca="false">Revenue!AY56</f>
        <v>Month 50</v>
      </c>
      <c r="AZ27" s="589" t="str">
        <f aca="false">Revenue!AZ56</f>
        <v>Month 51</v>
      </c>
      <c r="BA27" s="589" t="str">
        <f aca="false">Revenue!BA56</f>
        <v>Month 52</v>
      </c>
      <c r="BB27" s="589" t="str">
        <f aca="false">Revenue!BB56</f>
        <v>Month 53</v>
      </c>
      <c r="BC27" s="589" t="str">
        <f aca="false">Revenue!BC56</f>
        <v>Month 54</v>
      </c>
      <c r="BD27" s="589" t="str">
        <f aca="false">Revenue!BD56</f>
        <v>Month 55</v>
      </c>
      <c r="BE27" s="589" t="str">
        <f aca="false">Revenue!BE56</f>
        <v>Month 56</v>
      </c>
      <c r="BF27" s="589" t="str">
        <f aca="false">Revenue!BF56</f>
        <v>Month 57</v>
      </c>
      <c r="BG27" s="589" t="str">
        <f aca="false">Revenue!BG56</f>
        <v>Month 58</v>
      </c>
      <c r="BH27" s="589" t="str">
        <f aca="false">Revenue!BH56</f>
        <v>Month 59</v>
      </c>
      <c r="BI27" s="590" t="str">
        <f aca="false">Revenue!BI56</f>
        <v>Month 60</v>
      </c>
      <c r="BJ27" s="592" t="s">
        <v>1488</v>
      </c>
      <c r="BK27" s="592" t="s">
        <v>1672</v>
      </c>
      <c r="BL27" s="592" t="s">
        <v>1673</v>
      </c>
      <c r="BM27" s="592" t="s">
        <v>1674</v>
      </c>
      <c r="BN27" s="592" t="s">
        <v>1675</v>
      </c>
      <c r="BO27" s="585" t="s">
        <v>1718</v>
      </c>
      <c r="BS27" s="529"/>
    </row>
    <row r="28" s="530" customFormat="true" ht="10.5" hidden="false" customHeight="true" outlineLevel="0" collapsed="false">
      <c r="A28" s="593" t="str">
        <f aca="false">IF(A3="","",A3)</f>
        <v>Business Expense </v>
      </c>
      <c r="B28" s="536" t="n">
        <f aca="false">$B$3</f>
        <v>20000</v>
      </c>
      <c r="C28" s="536" t="n">
        <f aca="false">$B$3</f>
        <v>20000</v>
      </c>
      <c r="D28" s="536" t="n">
        <f aca="false">$B$3</f>
        <v>20000</v>
      </c>
      <c r="E28" s="536" t="n">
        <f aca="false">$B$3</f>
        <v>20000</v>
      </c>
      <c r="F28" s="536" t="n">
        <f aca="false">$B$3</f>
        <v>20000</v>
      </c>
      <c r="G28" s="536" t="n">
        <f aca="false">$B$3</f>
        <v>20000</v>
      </c>
      <c r="H28" s="536" t="n">
        <f aca="false">$B$3</f>
        <v>20000</v>
      </c>
      <c r="I28" s="536" t="n">
        <f aca="false">$B$3</f>
        <v>20000</v>
      </c>
      <c r="J28" s="536" t="n">
        <f aca="false">$B$3</f>
        <v>20000</v>
      </c>
      <c r="K28" s="536" t="n">
        <f aca="false">$B$3</f>
        <v>20000</v>
      </c>
      <c r="L28" s="536" t="n">
        <f aca="false">$B$3</f>
        <v>20000</v>
      </c>
      <c r="M28" s="540" t="n">
        <f aca="false">$B$3</f>
        <v>20000</v>
      </c>
      <c r="N28" s="594" t="n">
        <f aca="false">M28*(1+$C$3)</f>
        <v>21000</v>
      </c>
      <c r="O28" s="594" t="n">
        <f aca="false">N28</f>
        <v>21000</v>
      </c>
      <c r="P28" s="594" t="n">
        <f aca="false">O28</f>
        <v>21000</v>
      </c>
      <c r="Q28" s="594" t="n">
        <f aca="false">P28</f>
        <v>21000</v>
      </c>
      <c r="R28" s="594" t="n">
        <f aca="false">Q28</f>
        <v>21000</v>
      </c>
      <c r="S28" s="594" t="n">
        <f aca="false">R28</f>
        <v>21000</v>
      </c>
      <c r="T28" s="594" t="n">
        <f aca="false">S28</f>
        <v>21000</v>
      </c>
      <c r="U28" s="594" t="n">
        <f aca="false">T28</f>
        <v>21000</v>
      </c>
      <c r="V28" s="594" t="n">
        <f aca="false">U28</f>
        <v>21000</v>
      </c>
      <c r="W28" s="594" t="n">
        <f aca="false">V28</f>
        <v>21000</v>
      </c>
      <c r="X28" s="594" t="n">
        <f aca="false">W28</f>
        <v>21000</v>
      </c>
      <c r="Y28" s="595" t="n">
        <f aca="false">X28</f>
        <v>21000</v>
      </c>
      <c r="Z28" s="596" t="n">
        <f aca="false">Y28*(1+$D$3)</f>
        <v>22050</v>
      </c>
      <c r="AA28" s="597" t="n">
        <f aca="false">Z28</f>
        <v>22050</v>
      </c>
      <c r="AB28" s="597" t="n">
        <f aca="false">AA28</f>
        <v>22050</v>
      </c>
      <c r="AC28" s="597" t="n">
        <f aca="false">AB28</f>
        <v>22050</v>
      </c>
      <c r="AD28" s="597" t="n">
        <f aca="false">AC28</f>
        <v>22050</v>
      </c>
      <c r="AE28" s="597" t="n">
        <f aca="false">AD28</f>
        <v>22050</v>
      </c>
      <c r="AF28" s="597" t="n">
        <f aca="false">AE28</f>
        <v>22050</v>
      </c>
      <c r="AG28" s="597" t="n">
        <f aca="false">AF28</f>
        <v>22050</v>
      </c>
      <c r="AH28" s="597" t="n">
        <f aca="false">AG28</f>
        <v>22050</v>
      </c>
      <c r="AI28" s="597" t="n">
        <f aca="false">AH28</f>
        <v>22050</v>
      </c>
      <c r="AJ28" s="597" t="n">
        <f aca="false">AI28</f>
        <v>22050</v>
      </c>
      <c r="AK28" s="598" t="n">
        <f aca="false">AJ28</f>
        <v>22050</v>
      </c>
      <c r="AL28" s="599" t="n">
        <f aca="false">AK28*(1+$E$3)</f>
        <v>23152.5</v>
      </c>
      <c r="AM28" s="600" t="n">
        <f aca="false">AL28</f>
        <v>23152.5</v>
      </c>
      <c r="AN28" s="600" t="n">
        <f aca="false">AM28</f>
        <v>23152.5</v>
      </c>
      <c r="AO28" s="600" t="n">
        <f aca="false">AN28</f>
        <v>23152.5</v>
      </c>
      <c r="AP28" s="600" t="n">
        <f aca="false">AO28</f>
        <v>23152.5</v>
      </c>
      <c r="AQ28" s="600" t="n">
        <f aca="false">AP28</f>
        <v>23152.5</v>
      </c>
      <c r="AR28" s="600" t="n">
        <f aca="false">AQ28</f>
        <v>23152.5</v>
      </c>
      <c r="AS28" s="600" t="n">
        <f aca="false">AR28</f>
        <v>23152.5</v>
      </c>
      <c r="AT28" s="600" t="n">
        <f aca="false">AS28</f>
        <v>23152.5</v>
      </c>
      <c r="AU28" s="600" t="n">
        <f aca="false">AT28</f>
        <v>23152.5</v>
      </c>
      <c r="AV28" s="600" t="n">
        <f aca="false">AU28</f>
        <v>23152.5</v>
      </c>
      <c r="AW28" s="601" t="n">
        <f aca="false">AV28</f>
        <v>23152.5</v>
      </c>
      <c r="AX28" s="602" t="n">
        <f aca="false">AW28*(1+$F$3)</f>
        <v>24310.125</v>
      </c>
      <c r="AY28" s="603" t="n">
        <f aca="false">AX28</f>
        <v>24310.125</v>
      </c>
      <c r="AZ28" s="603" t="n">
        <f aca="false">AY28</f>
        <v>24310.125</v>
      </c>
      <c r="BA28" s="603" t="n">
        <f aca="false">AZ28</f>
        <v>24310.125</v>
      </c>
      <c r="BB28" s="603" t="n">
        <f aca="false">BA28</f>
        <v>24310.125</v>
      </c>
      <c r="BC28" s="603" t="n">
        <f aca="false">BB28</f>
        <v>24310.125</v>
      </c>
      <c r="BD28" s="603" t="n">
        <f aca="false">BC28</f>
        <v>24310.125</v>
      </c>
      <c r="BE28" s="603" t="n">
        <f aca="false">BD28</f>
        <v>24310.125</v>
      </c>
      <c r="BF28" s="603" t="n">
        <f aca="false">BE28</f>
        <v>24310.125</v>
      </c>
      <c r="BG28" s="603" t="n">
        <f aca="false">BF28</f>
        <v>24310.125</v>
      </c>
      <c r="BH28" s="603" t="n">
        <f aca="false">BG28</f>
        <v>24310.125</v>
      </c>
      <c r="BI28" s="604" t="n">
        <f aca="false">BH28</f>
        <v>24310.125</v>
      </c>
      <c r="BJ28" s="605" t="n">
        <f aca="false">SUM(B28:M28)</f>
        <v>240000</v>
      </c>
      <c r="BK28" s="605" t="n">
        <f aca="false">SUM(N28:Y28)</f>
        <v>252000</v>
      </c>
      <c r="BL28" s="605" t="n">
        <f aca="false">SUM(Z28:AK28)</f>
        <v>264600</v>
      </c>
      <c r="BM28" s="605" t="n">
        <f aca="false">SUM(AL28:AW28)</f>
        <v>277830</v>
      </c>
      <c r="BN28" s="605" t="n">
        <f aca="false">SUM(AX28:BI28)</f>
        <v>291721.5</v>
      </c>
      <c r="BO28" s="593" t="s">
        <v>1719</v>
      </c>
      <c r="BS28" s="529"/>
    </row>
    <row r="29" s="530" customFormat="true" ht="10.5" hidden="false" customHeight="true" outlineLevel="0" collapsed="false">
      <c r="A29" s="593" t="str">
        <f aca="false">IF(A4="","",A4)</f>
        <v>Facility Lease</v>
      </c>
      <c r="B29" s="536" t="n">
        <f aca="false">$B$4</f>
        <v>300000</v>
      </c>
      <c r="C29" s="536" t="n">
        <f aca="false">$B$4</f>
        <v>300000</v>
      </c>
      <c r="D29" s="536" t="n">
        <f aca="false">$B$4</f>
        <v>300000</v>
      </c>
      <c r="E29" s="536" t="n">
        <f aca="false">$B$4</f>
        <v>300000</v>
      </c>
      <c r="F29" s="536" t="n">
        <f aca="false">$B$4</f>
        <v>300000</v>
      </c>
      <c r="G29" s="536" t="n">
        <f aca="false">$B$4</f>
        <v>300000</v>
      </c>
      <c r="H29" s="536" t="n">
        <f aca="false">G29</f>
        <v>300000</v>
      </c>
      <c r="I29" s="536" t="n">
        <f aca="false">H29</f>
        <v>300000</v>
      </c>
      <c r="J29" s="536" t="n">
        <f aca="false">I29</f>
        <v>300000</v>
      </c>
      <c r="K29" s="536" t="n">
        <f aca="false">J29</f>
        <v>300000</v>
      </c>
      <c r="L29" s="536" t="n">
        <f aca="false">K29</f>
        <v>300000</v>
      </c>
      <c r="M29" s="540" t="n">
        <f aca="false">L29</f>
        <v>300000</v>
      </c>
      <c r="N29" s="594" t="n">
        <f aca="false">M29*(1+$C$4)</f>
        <v>315000</v>
      </c>
      <c r="O29" s="594" t="n">
        <f aca="false">N29</f>
        <v>315000</v>
      </c>
      <c r="P29" s="594" t="n">
        <f aca="false">O29</f>
        <v>315000</v>
      </c>
      <c r="Q29" s="594" t="n">
        <f aca="false">P29</f>
        <v>315000</v>
      </c>
      <c r="R29" s="594" t="n">
        <f aca="false">Q29</f>
        <v>315000</v>
      </c>
      <c r="S29" s="594" t="n">
        <f aca="false">R29</f>
        <v>315000</v>
      </c>
      <c r="T29" s="594" t="n">
        <f aca="false">S29</f>
        <v>315000</v>
      </c>
      <c r="U29" s="594" t="n">
        <f aca="false">T29</f>
        <v>315000</v>
      </c>
      <c r="V29" s="594" t="n">
        <f aca="false">U29</f>
        <v>315000</v>
      </c>
      <c r="W29" s="594" t="n">
        <f aca="false">V29</f>
        <v>315000</v>
      </c>
      <c r="X29" s="594" t="n">
        <f aca="false">W29</f>
        <v>315000</v>
      </c>
      <c r="Y29" s="595" t="n">
        <f aca="false">X29</f>
        <v>315000</v>
      </c>
      <c r="Z29" s="596" t="n">
        <f aca="false">Y29*(1+$D$4)</f>
        <v>330750</v>
      </c>
      <c r="AA29" s="597" t="n">
        <f aca="false">Z29</f>
        <v>330750</v>
      </c>
      <c r="AB29" s="597" t="n">
        <f aca="false">AA29</f>
        <v>330750</v>
      </c>
      <c r="AC29" s="597" t="n">
        <f aca="false">AB29</f>
        <v>330750</v>
      </c>
      <c r="AD29" s="597" t="n">
        <f aca="false">AC29</f>
        <v>330750</v>
      </c>
      <c r="AE29" s="597" t="n">
        <f aca="false">AD29</f>
        <v>330750</v>
      </c>
      <c r="AF29" s="597" t="n">
        <f aca="false">AE29</f>
        <v>330750</v>
      </c>
      <c r="AG29" s="597" t="n">
        <f aca="false">AF29</f>
        <v>330750</v>
      </c>
      <c r="AH29" s="597" t="n">
        <f aca="false">AG29</f>
        <v>330750</v>
      </c>
      <c r="AI29" s="597" t="n">
        <f aca="false">AH29</f>
        <v>330750</v>
      </c>
      <c r="AJ29" s="597" t="n">
        <f aca="false">AI29</f>
        <v>330750</v>
      </c>
      <c r="AK29" s="598" t="n">
        <f aca="false">AJ29</f>
        <v>330750</v>
      </c>
      <c r="AL29" s="599" t="n">
        <f aca="false">AK29*(1+$E$4)</f>
        <v>347287.5</v>
      </c>
      <c r="AM29" s="600" t="n">
        <f aca="false">AL29</f>
        <v>347287.5</v>
      </c>
      <c r="AN29" s="600" t="n">
        <f aca="false">AM29</f>
        <v>347287.5</v>
      </c>
      <c r="AO29" s="600" t="n">
        <f aca="false">AN29</f>
        <v>347287.5</v>
      </c>
      <c r="AP29" s="600" t="n">
        <f aca="false">AO29</f>
        <v>347287.5</v>
      </c>
      <c r="AQ29" s="600" t="n">
        <f aca="false">AP29</f>
        <v>347287.5</v>
      </c>
      <c r="AR29" s="600" t="n">
        <f aca="false">AQ29</f>
        <v>347287.5</v>
      </c>
      <c r="AS29" s="600" t="n">
        <f aca="false">AR29</f>
        <v>347287.5</v>
      </c>
      <c r="AT29" s="600" t="n">
        <f aca="false">AS29</f>
        <v>347287.5</v>
      </c>
      <c r="AU29" s="600" t="n">
        <f aca="false">AT29</f>
        <v>347287.5</v>
      </c>
      <c r="AV29" s="600" t="n">
        <f aca="false">AU29</f>
        <v>347287.5</v>
      </c>
      <c r="AW29" s="601" t="n">
        <f aca="false">AV29</f>
        <v>347287.5</v>
      </c>
      <c r="AX29" s="602" t="n">
        <f aca="false">AW29*(1+$F$4)</f>
        <v>364651.875</v>
      </c>
      <c r="AY29" s="603" t="n">
        <f aca="false">AX29</f>
        <v>364651.875</v>
      </c>
      <c r="AZ29" s="603" t="n">
        <f aca="false">AY29</f>
        <v>364651.875</v>
      </c>
      <c r="BA29" s="603" t="n">
        <f aca="false">AZ29</f>
        <v>364651.875</v>
      </c>
      <c r="BB29" s="603" t="n">
        <f aca="false">BA29</f>
        <v>364651.875</v>
      </c>
      <c r="BC29" s="603" t="n">
        <f aca="false">BB29</f>
        <v>364651.875</v>
      </c>
      <c r="BD29" s="603" t="n">
        <f aca="false">BC29</f>
        <v>364651.875</v>
      </c>
      <c r="BE29" s="603" t="n">
        <f aca="false">BD29</f>
        <v>364651.875</v>
      </c>
      <c r="BF29" s="603" t="n">
        <f aca="false">BE29</f>
        <v>364651.875</v>
      </c>
      <c r="BG29" s="603" t="n">
        <f aca="false">BF29</f>
        <v>364651.875</v>
      </c>
      <c r="BH29" s="603" t="n">
        <f aca="false">BG29</f>
        <v>364651.875</v>
      </c>
      <c r="BI29" s="604" t="n">
        <f aca="false">BH29</f>
        <v>364651.875</v>
      </c>
      <c r="BJ29" s="605" t="n">
        <f aca="false">SUM(B29:M29)</f>
        <v>3600000</v>
      </c>
      <c r="BK29" s="605" t="n">
        <f aca="false">SUM(N29:Y29)</f>
        <v>3780000</v>
      </c>
      <c r="BL29" s="605" t="n">
        <f aca="false">SUM(Z29:AK29)</f>
        <v>3969000</v>
      </c>
      <c r="BM29" s="605" t="n">
        <f aca="false">SUM(AL29:AW29)</f>
        <v>4167450</v>
      </c>
      <c r="BN29" s="605" t="n">
        <f aca="false">SUM(AX29:BI29)</f>
        <v>4375822.5</v>
      </c>
      <c r="BO29" s="593" t="s">
        <v>1720</v>
      </c>
      <c r="BS29" s="529"/>
    </row>
    <row r="30" s="530" customFormat="true" ht="10.5" hidden="false" customHeight="true" outlineLevel="0" collapsed="false">
      <c r="A30" s="593" t="s">
        <v>1729</v>
      </c>
      <c r="B30" s="536" t="n">
        <f aca="false">IF($B$18="Y",$C$18*B19,0)</f>
        <v>0</v>
      </c>
      <c r="C30" s="536" t="n">
        <f aca="false">IF($B$18="Y",$C$18*C19,0)</f>
        <v>0</v>
      </c>
      <c r="D30" s="536" t="n">
        <f aca="false">IF($B$18="Y",$C$18*D19,0)</f>
        <v>91.714</v>
      </c>
      <c r="E30" s="536" t="n">
        <f aca="false">IF($B$18="Y",$C$18*E19,0)</f>
        <v>13419.7060869048</v>
      </c>
      <c r="F30" s="536" t="n">
        <f aca="false">IF($B$18="Y",$C$18*F19,0)</f>
        <v>26839.4121738095</v>
      </c>
      <c r="G30" s="536" t="n">
        <f aca="false">IF($B$18="Y",$C$18*G19,0)</f>
        <v>53678.8243476191</v>
      </c>
      <c r="H30" s="536" t="n">
        <f aca="false">IF($B$18="Y",$C$18*H19,0)</f>
        <v>80518.2365214286</v>
      </c>
      <c r="I30" s="536" t="n">
        <f aca="false">IF($B$18="Y",$C$18*I19,0)</f>
        <v>107357.648695238</v>
      </c>
      <c r="J30" s="536" t="n">
        <f aca="false">IF($B$18="Y",$C$18*J19,0)</f>
        <v>134197.060869048</v>
      </c>
      <c r="K30" s="536" t="n">
        <f aca="false">IF($B$18="Y",$C$18*K19,0)</f>
        <v>161036.473042857</v>
      </c>
      <c r="L30" s="536" t="n">
        <f aca="false">IF($B$18="Y",$C$18*L19,0)</f>
        <v>187875.885216667</v>
      </c>
      <c r="M30" s="540" t="n">
        <f aca="false">IF($B$18="Y",$C$18*M19,0)</f>
        <v>214715.297390476</v>
      </c>
      <c r="N30" s="594" t="n">
        <f aca="false">IF($B$18="Y",$C$18*N19,0)</f>
        <v>328312.376912143</v>
      </c>
      <c r="O30" s="594" t="n">
        <f aca="false">IF($B$18="Y",$C$18*O19,0)</f>
        <v>364791.529902381</v>
      </c>
      <c r="P30" s="594" t="n">
        <f aca="false">IF($B$18="Y",$C$18*P19,0)</f>
        <v>401270.682892619</v>
      </c>
      <c r="Q30" s="594" t="n">
        <f aca="false">IF($B$18="Y",$C$18*Q19,0)</f>
        <v>437749.835882857</v>
      </c>
      <c r="R30" s="594" t="n">
        <f aca="false">IF($B$18="Y",$C$18*R19,0)</f>
        <v>474228.988873096</v>
      </c>
      <c r="S30" s="594" t="n">
        <f aca="false">IF($B$18="Y",$C$18*S19,0)</f>
        <v>510708.141863334</v>
      </c>
      <c r="T30" s="594" t="n">
        <f aca="false">IF($B$18="Y",$C$18*T19,0)</f>
        <v>547187.294853572</v>
      </c>
      <c r="U30" s="594" t="n">
        <f aca="false">IF($B$18="Y",$C$18*U19,0)</f>
        <v>583666.44784381</v>
      </c>
      <c r="V30" s="594" t="n">
        <f aca="false">IF($B$18="Y",$C$18*V19,0)</f>
        <v>620145.600834048</v>
      </c>
      <c r="W30" s="594" t="n">
        <f aca="false">IF($B$18="Y",$C$18*W19,0)</f>
        <v>656624.753824285</v>
      </c>
      <c r="X30" s="594" t="n">
        <f aca="false">IF($B$18="Y",$C$18*X19,0)</f>
        <v>693103.906814524</v>
      </c>
      <c r="Y30" s="595" t="n">
        <f aca="false">IF($B$18="Y",$C$18*Y19,0)</f>
        <v>729583.059804762</v>
      </c>
      <c r="Z30" s="596" t="n">
        <f aca="false">IF($B$18="Y",$C$18*Z19,0)</f>
        <v>1392840.3869</v>
      </c>
      <c r="AA30" s="597" t="n">
        <f aca="false">IF($B$18="Y",$C$18*AA19,0)</f>
        <v>1392840.3869</v>
      </c>
      <c r="AB30" s="597" t="n">
        <f aca="false">IF($B$18="Y",$C$18*AB19,0)</f>
        <v>1392840.3869</v>
      </c>
      <c r="AC30" s="597" t="n">
        <f aca="false">IF($B$18="Y",$C$18*AC19,0)</f>
        <v>1392840.3869</v>
      </c>
      <c r="AD30" s="597" t="n">
        <f aca="false">IF($B$18="Y",$C$18*AD19,0)</f>
        <v>1392840.3869</v>
      </c>
      <c r="AE30" s="597" t="n">
        <f aca="false">IF($B$18="Y",$C$18*AE19,0)</f>
        <v>1392840.3869</v>
      </c>
      <c r="AF30" s="597" t="n">
        <f aca="false">IF($B$18="Y",$C$18*AF19,0)</f>
        <v>1392840.3869</v>
      </c>
      <c r="AG30" s="597" t="n">
        <f aca="false">IF($B$18="Y",$C$18*AG19,0)</f>
        <v>1392840.3869</v>
      </c>
      <c r="AH30" s="597" t="n">
        <f aca="false">IF($B$18="Y",$C$18*AH19,0)</f>
        <v>1392840.3869</v>
      </c>
      <c r="AI30" s="597" t="n">
        <f aca="false">IF($B$18="Y",$C$18*AI19,0)</f>
        <v>1392840.3869</v>
      </c>
      <c r="AJ30" s="597" t="n">
        <f aca="false">IF($B$18="Y",$C$18*AJ19,0)</f>
        <v>1392840.3869</v>
      </c>
      <c r="AK30" s="598" t="n">
        <f aca="false">IF($B$18="Y",$C$18*AK19,0)</f>
        <v>1392840.3869</v>
      </c>
      <c r="AL30" s="599" t="n">
        <f aca="false">IF($B$18="Y",$C$18*AL19,0)</f>
        <v>1508910.41914167</v>
      </c>
      <c r="AM30" s="600" t="n">
        <f aca="false">IF($B$18="Y",$C$18*AM19,0)</f>
        <v>1508910.41914167</v>
      </c>
      <c r="AN30" s="600" t="n">
        <f aca="false">IF($B$18="Y",$C$18*AN19,0)</f>
        <v>1508910.41914167</v>
      </c>
      <c r="AO30" s="600" t="n">
        <f aca="false">IF($B$18="Y",$C$18*AO19,0)</f>
        <v>1508910.41914167</v>
      </c>
      <c r="AP30" s="600" t="n">
        <f aca="false">IF($B$18="Y",$C$18*AP19,0)</f>
        <v>1508910.41914167</v>
      </c>
      <c r="AQ30" s="600" t="n">
        <f aca="false">IF($B$18="Y",$C$18*AQ19,0)</f>
        <v>1508910.41914167</v>
      </c>
      <c r="AR30" s="600" t="n">
        <f aca="false">IF($B$18="Y",$C$18*AR19,0)</f>
        <v>1508910.41914167</v>
      </c>
      <c r="AS30" s="600" t="n">
        <f aca="false">IF($B$18="Y",$C$18*AS19,0)</f>
        <v>1508910.41914167</v>
      </c>
      <c r="AT30" s="600" t="n">
        <f aca="false">IF($B$18="Y",$C$18*AT19,0)</f>
        <v>1508910.41914167</v>
      </c>
      <c r="AU30" s="600" t="n">
        <f aca="false">IF($B$18="Y",$C$18*AU19,0)</f>
        <v>1508910.41914167</v>
      </c>
      <c r="AV30" s="600" t="n">
        <f aca="false">IF($B$18="Y",$C$18*AV19,0)</f>
        <v>1508910.41914167</v>
      </c>
      <c r="AW30" s="601" t="n">
        <f aca="false">IF($B$18="Y",$C$18*AW19,0)</f>
        <v>1508910.41914167</v>
      </c>
      <c r="AX30" s="602" t="n">
        <f aca="false">IF($B$18="Y",$C$18*AX19,0)</f>
        <v>1624980.45138333</v>
      </c>
      <c r="AY30" s="603" t="n">
        <f aca="false">IF($B$18="Y",$C$18*AY19,0)</f>
        <v>1624980.45138333</v>
      </c>
      <c r="AZ30" s="603" t="n">
        <f aca="false">IF($B$18="Y",$C$18*AZ19,0)</f>
        <v>1624980.45138333</v>
      </c>
      <c r="BA30" s="603" t="n">
        <f aca="false">IF($B$18="Y",$C$18*BA19,0)</f>
        <v>1624980.45138333</v>
      </c>
      <c r="BB30" s="603" t="n">
        <f aca="false">IF($B$18="Y",$C$18*BB19,0)</f>
        <v>1624980.45138333</v>
      </c>
      <c r="BC30" s="603" t="n">
        <f aca="false">IF($B$18="Y",$C$18*BC19,0)</f>
        <v>1624980.45138333</v>
      </c>
      <c r="BD30" s="603" t="n">
        <f aca="false">IF($B$18="Y",$C$18*BD19,0)</f>
        <v>1624980.45138333</v>
      </c>
      <c r="BE30" s="603" t="n">
        <f aca="false">IF($B$18="Y",$C$18*BE19,0)</f>
        <v>1624980.45138333</v>
      </c>
      <c r="BF30" s="603" t="n">
        <f aca="false">IF($B$18="Y",$C$18*BF19,0)</f>
        <v>1624980.45138333</v>
      </c>
      <c r="BG30" s="603" t="n">
        <f aca="false">IF($B$18="Y",$C$18*BG19,0)</f>
        <v>1624980.45138333</v>
      </c>
      <c r="BH30" s="603" t="n">
        <f aca="false">IF($B$18="Y",$C$18*BH19,0)</f>
        <v>1624980.45138333</v>
      </c>
      <c r="BI30" s="604" t="n">
        <f aca="false">IF($B$18="Y",$C$18*BI19,0)</f>
        <v>1624980.45138333</v>
      </c>
      <c r="BJ30" s="605" t="n">
        <f aca="false">SUM(B30:M30)</f>
        <v>979730.258344048</v>
      </c>
      <c r="BK30" s="605" t="n">
        <f aca="false">SUM(N30:Y30)</f>
        <v>6347372.62030143</v>
      </c>
      <c r="BL30" s="605" t="n">
        <f aca="false">SUM(Z30:AK30)</f>
        <v>16714084.6428</v>
      </c>
      <c r="BM30" s="605" t="n">
        <f aca="false">SUM(AL30:AW30)</f>
        <v>18106925.0297</v>
      </c>
      <c r="BN30" s="605" t="n">
        <f aca="false">SUM(AX30:BI30)</f>
        <v>19499765.4166</v>
      </c>
      <c r="BO30" s="593" t="s">
        <v>1729</v>
      </c>
      <c r="BS30" s="529"/>
    </row>
    <row r="31" s="530" customFormat="true" ht="10.5" hidden="false" customHeight="true" outlineLevel="0" collapsed="false">
      <c r="A31" s="593" t="str">
        <f aca="false">IF(A6="","",A6)</f>
        <v/>
      </c>
      <c r="B31" s="606" t="n">
        <f aca="false">IF($B6&gt;0,$B6,($G6*B$19))</f>
        <v>0</v>
      </c>
      <c r="C31" s="536" t="n">
        <f aca="false">IF($B6&gt;0,$B6,($G6*C$19))</f>
        <v>0</v>
      </c>
      <c r="D31" s="536" t="n">
        <f aca="false">IF($B6&gt;0,$B6,($G6*D$19))</f>
        <v>0</v>
      </c>
      <c r="E31" s="536" t="n">
        <f aca="false">IF($B6&gt;0,$B6,($G6*E$19))</f>
        <v>0</v>
      </c>
      <c r="F31" s="536" t="n">
        <f aca="false">IF($B6&gt;0,$B6,($G6*F$19))</f>
        <v>0</v>
      </c>
      <c r="G31" s="536" t="n">
        <f aca="false">IF($B6&gt;0,$B6,($G6*G$19))</f>
        <v>0</v>
      </c>
      <c r="H31" s="536" t="n">
        <f aca="false">IF($B6&gt;0,$B6,($G6*H$19))</f>
        <v>0</v>
      </c>
      <c r="I31" s="536" t="n">
        <f aca="false">IF($B6&gt;0,$B6,($G6*I$19))</f>
        <v>0</v>
      </c>
      <c r="J31" s="536" t="n">
        <f aca="false">IF($B6&gt;0,$B6,($G6*J$19))</f>
        <v>0</v>
      </c>
      <c r="K31" s="536" t="n">
        <f aca="false">IF($B6&gt;0,$B6,($G6*K$19))</f>
        <v>0</v>
      </c>
      <c r="L31" s="536" t="n">
        <f aca="false">IF($B6&gt;0,$B6,($G6*L$19))</f>
        <v>0</v>
      </c>
      <c r="M31" s="540" t="n">
        <f aca="false">IF($B6&gt;0,$B6,($G6*M$19))</f>
        <v>0</v>
      </c>
      <c r="N31" s="594" t="n">
        <f aca="false">IF(ISBLANK($C6),(($H6*N$19)),((1+$C6)*$BJ31/12))</f>
        <v>0</v>
      </c>
      <c r="O31" s="594" t="n">
        <f aca="false">IF(ISBLANK($C6),(($H6*O$19)),((1+$C6)*$BJ31/12))</f>
        <v>0</v>
      </c>
      <c r="P31" s="594" t="n">
        <f aca="false">IF(ISBLANK($C6),(($H6*P$19)),((1+$C6)*$BJ31/12))</f>
        <v>0</v>
      </c>
      <c r="Q31" s="594" t="n">
        <f aca="false">IF(ISBLANK($C6),(($H6*Q$19)),((1+$C6)*$BJ31/12))</f>
        <v>0</v>
      </c>
      <c r="R31" s="594" t="n">
        <f aca="false">IF(ISBLANK($C6),(($H6*R$19)),((1+$C6)*$BJ31/12))</f>
        <v>0</v>
      </c>
      <c r="S31" s="594" t="n">
        <f aca="false">IF(ISBLANK($C6),(($H6*S$19)),((1+$C6)*$BJ31/12))</f>
        <v>0</v>
      </c>
      <c r="T31" s="594" t="n">
        <f aca="false">IF(ISBLANK($C6),(($H6*T$19)),((1+$C6)*$BJ31/12))</f>
        <v>0</v>
      </c>
      <c r="U31" s="594" t="n">
        <f aca="false">IF(ISBLANK($C6),(($H6*U$19)),((1+$C6)*$BJ31/12))</f>
        <v>0</v>
      </c>
      <c r="V31" s="594" t="n">
        <f aca="false">IF(ISBLANK($C6),(($H6*V$19)),((1+$C6)*$BJ31/12))</f>
        <v>0</v>
      </c>
      <c r="W31" s="594" t="n">
        <f aca="false">IF(ISBLANK($C6),(($H6*W$19)),((1+$C6)*$BJ31/12))</f>
        <v>0</v>
      </c>
      <c r="X31" s="594" t="n">
        <f aca="false">IF(ISBLANK($C6),(($H6*X$19)),((1+$C6)*$BJ31/12))</f>
        <v>0</v>
      </c>
      <c r="Y31" s="595" t="n">
        <f aca="false">IF(ISBLANK($C6),(($H6*Y$19)),((1+$C6)*$BJ31/12))</f>
        <v>0</v>
      </c>
      <c r="Z31" s="596" t="n">
        <f aca="false">IF(ISBLANK($D6),($I6*Z$19),((1+$D6)*$BK31/12))</f>
        <v>0</v>
      </c>
      <c r="AA31" s="597" t="n">
        <f aca="false">IF(ISBLANK($D6),($I6*AA$19),((1+$D6)*$BK31/12))</f>
        <v>0</v>
      </c>
      <c r="AB31" s="597" t="n">
        <f aca="false">IF(ISBLANK($D6),($I6*AB$19),((1+$D6)*$BK31/12))</f>
        <v>0</v>
      </c>
      <c r="AC31" s="597" t="n">
        <f aca="false">IF(ISBLANK($D6),($I6*AC$19),((1+$D6)*$BK31/12))</f>
        <v>0</v>
      </c>
      <c r="AD31" s="597" t="n">
        <f aca="false">IF(ISBLANK($D6),($I6*AD$19),((1+$D6)*$BK31/12))</f>
        <v>0</v>
      </c>
      <c r="AE31" s="597" t="n">
        <f aca="false">IF(ISBLANK($D6),($I6*AE$19),((1+$D6)*$BK31/12))</f>
        <v>0</v>
      </c>
      <c r="AF31" s="597" t="n">
        <f aca="false">IF(ISBLANK($D6),($I6*AF$19),((1+$D6)*$BK31/12))</f>
        <v>0</v>
      </c>
      <c r="AG31" s="597" t="n">
        <f aca="false">IF(ISBLANK($D6),($I6*AG$19),((1+$D6)*$BK31/12))</f>
        <v>0</v>
      </c>
      <c r="AH31" s="597" t="n">
        <f aca="false">IF(ISBLANK($D6),($I6*AH$19),((1+$D6)*$BK31/12))</f>
        <v>0</v>
      </c>
      <c r="AI31" s="597" t="n">
        <f aca="false">IF(ISBLANK($D6),($I6*AI$19),((1+$D6)*$BK31/12))</f>
        <v>0</v>
      </c>
      <c r="AJ31" s="597" t="n">
        <f aca="false">IF(ISBLANK($D6),($I6*AJ$19),((1+$D6)*$BK31/12))</f>
        <v>0</v>
      </c>
      <c r="AK31" s="598" t="n">
        <f aca="false">IF(ISBLANK($D6),($I6*AK$19),((1+$D6)*$BK31/12))</f>
        <v>0</v>
      </c>
      <c r="AL31" s="599" t="n">
        <f aca="false">IF(ISBLANK($E6),($J6*AL$19),((1+$E6)*$BL31/12))</f>
        <v>0</v>
      </c>
      <c r="AM31" s="600" t="n">
        <f aca="false">IF(ISBLANK($E6),($J6*AM$19),((1+$E6)*$BL31/12))</f>
        <v>0</v>
      </c>
      <c r="AN31" s="600" t="n">
        <f aca="false">IF(ISBLANK($E6),($J6*AN$19),((1+$E6)*$BL31/12))</f>
        <v>0</v>
      </c>
      <c r="AO31" s="600" t="n">
        <f aca="false">IF(ISBLANK($E6),($J6*AO$19),((1+$E6)*$BL31/12))</f>
        <v>0</v>
      </c>
      <c r="AP31" s="600" t="n">
        <f aca="false">IF(ISBLANK($E6),($J6*AP$19),((1+$E6)*$BL31/12))</f>
        <v>0</v>
      </c>
      <c r="AQ31" s="600" t="n">
        <f aca="false">IF(ISBLANK($E6),($J6*AQ$19),((1+$E6)*$BL31/12))</f>
        <v>0</v>
      </c>
      <c r="AR31" s="600" t="n">
        <f aca="false">IF(ISBLANK($E6),($J6*AR$19),((1+$E6)*$BL31/12))</f>
        <v>0</v>
      </c>
      <c r="AS31" s="600" t="n">
        <f aca="false">IF(ISBLANK($E6),($J6*AS$19),((1+$E6)*$BL31/12))</f>
        <v>0</v>
      </c>
      <c r="AT31" s="600" t="n">
        <f aca="false">IF(ISBLANK($E6),($J6*AT$19),((1+$E6)*$BL31/12))</f>
        <v>0</v>
      </c>
      <c r="AU31" s="600" t="n">
        <f aca="false">IF(ISBLANK($E6),($J6*AU$19),((1+$E6)*$BL31/12))</f>
        <v>0</v>
      </c>
      <c r="AV31" s="600" t="n">
        <f aca="false">IF(ISBLANK($E6),($J6*AV$19),((1+$E6)*$BL31/12))</f>
        <v>0</v>
      </c>
      <c r="AW31" s="601" t="n">
        <f aca="false">IF(ISBLANK($E6),($J6*AW$19),((1+$E6)*$BL31/12))</f>
        <v>0</v>
      </c>
      <c r="AX31" s="602" t="n">
        <f aca="false">IF(ISBLANK($F6),($K6*AX$19),((1+$F6)*$BM31/12))</f>
        <v>0</v>
      </c>
      <c r="AY31" s="603" t="n">
        <f aca="false">IF(ISBLANK($F6),($K6*AY$19),((1+$F6)*$BM31/12))</f>
        <v>0</v>
      </c>
      <c r="AZ31" s="603" t="n">
        <f aca="false">IF(ISBLANK($F6),($K6*AZ$19),((1+$F6)*$BM31/12))</f>
        <v>0</v>
      </c>
      <c r="BA31" s="603" t="n">
        <f aca="false">IF(ISBLANK($F6),($K6*BA$19),((1+$F6)*$BM31/12))</f>
        <v>0</v>
      </c>
      <c r="BB31" s="603" t="n">
        <f aca="false">IF(ISBLANK($F6),($K6*BB$19),((1+$F6)*$BM31/12))</f>
        <v>0</v>
      </c>
      <c r="BC31" s="603" t="n">
        <f aca="false">IF(ISBLANK($F6),($K6*BC$19),((1+$F6)*$BM31/12))</f>
        <v>0</v>
      </c>
      <c r="BD31" s="603" t="n">
        <f aca="false">IF(ISBLANK($F6),($K6*BD$19),((1+$F6)*$BM31/12))</f>
        <v>0</v>
      </c>
      <c r="BE31" s="603" t="n">
        <f aca="false">IF(ISBLANK($F6),($K6*BE$19),((1+$F6)*$BM31/12))</f>
        <v>0</v>
      </c>
      <c r="BF31" s="603" t="n">
        <f aca="false">IF(ISBLANK($F6),($K6*BF$19),((1+$F6)*$BM31/12))</f>
        <v>0</v>
      </c>
      <c r="BG31" s="603" t="n">
        <f aca="false">IF(ISBLANK($F6),($K6*BG$19),((1+$F6)*$BM31/12))</f>
        <v>0</v>
      </c>
      <c r="BH31" s="603" t="n">
        <f aca="false">IF(ISBLANK($F6),($K6*BH$19),((1+$F6)*$BM31/12))</f>
        <v>0</v>
      </c>
      <c r="BI31" s="604" t="n">
        <f aca="false">IF(ISBLANK($F6),($K6*BI$19),((1+$F6)*$BM31/12))</f>
        <v>0</v>
      </c>
      <c r="BJ31" s="605" t="n">
        <f aca="false">SUM(B31:M31)</f>
        <v>0</v>
      </c>
      <c r="BK31" s="605" t="n">
        <f aca="false">SUM(N31:Y31)</f>
        <v>0</v>
      </c>
      <c r="BL31" s="605" t="n">
        <f aca="false">SUM(Z31:AK31)</f>
        <v>0</v>
      </c>
      <c r="BM31" s="605" t="n">
        <f aca="false">SUM(AL31:AW31)</f>
        <v>0</v>
      </c>
      <c r="BN31" s="605" t="n">
        <f aca="false">SUM(AX31:BI31)</f>
        <v>0</v>
      </c>
      <c r="BO31" s="593" t="str">
        <f aca="false">IF(BO6="","",BO6)</f>
        <v/>
      </c>
      <c r="BS31" s="529"/>
    </row>
    <row r="32" s="530" customFormat="true" ht="10.5" hidden="false" customHeight="true" outlineLevel="0" collapsed="false">
      <c r="A32" s="593" t="str">
        <f aca="false">IF(A7="","",A7)</f>
        <v/>
      </c>
      <c r="B32" s="606" t="n">
        <f aca="false">IF($B7&gt;0,$B7,($G7*B$19))</f>
        <v>0</v>
      </c>
      <c r="C32" s="536" t="n">
        <f aca="false">IF($B7&gt;0,$B7,($G7*C$19))</f>
        <v>0</v>
      </c>
      <c r="D32" s="536" t="n">
        <f aca="false">IF($B7&gt;0,$B7,($G7*D$19))</f>
        <v>0</v>
      </c>
      <c r="E32" s="536" t="n">
        <f aca="false">IF($B7&gt;0,$B7,($G7*E$19))</f>
        <v>0</v>
      </c>
      <c r="F32" s="536" t="n">
        <f aca="false">IF($B7&gt;0,$B7,($G7*F$19))</f>
        <v>0</v>
      </c>
      <c r="G32" s="536" t="n">
        <f aca="false">IF($B7&gt;0,$B7,($G7*G$19))</f>
        <v>0</v>
      </c>
      <c r="H32" s="536" t="n">
        <f aca="false">IF($B7&gt;0,$B7,($G7*H$19))</f>
        <v>0</v>
      </c>
      <c r="I32" s="536" t="n">
        <f aca="false">IF($B7&gt;0,$B7,($G7*I$19))</f>
        <v>0</v>
      </c>
      <c r="J32" s="536" t="n">
        <f aca="false">IF($B7&gt;0,$B7,($G7*J$19))</f>
        <v>0</v>
      </c>
      <c r="K32" s="536" t="n">
        <f aca="false">IF($B7&gt;0,$B7,($G7*K$19))</f>
        <v>0</v>
      </c>
      <c r="L32" s="536" t="n">
        <f aca="false">IF($B7&gt;0,$B7,($G7*L$19))</f>
        <v>0</v>
      </c>
      <c r="M32" s="540" t="n">
        <f aca="false">IF($B7&gt;0,$B7,($G7*M$19))</f>
        <v>0</v>
      </c>
      <c r="N32" s="594" t="n">
        <f aca="false">IF(ISBLANK($C7),(($H7*N$19)),((1+$C7)*$BJ32/12))</f>
        <v>0</v>
      </c>
      <c r="O32" s="594" t="n">
        <f aca="false">IF(ISBLANK($C7),(($H7*O$19)),((1+$C7)*$BJ32/12))</f>
        <v>0</v>
      </c>
      <c r="P32" s="594" t="n">
        <f aca="false">IF(ISBLANK($C7),(($H7*P$19)),((1+$C7)*$BJ32/12))</f>
        <v>0</v>
      </c>
      <c r="Q32" s="594" t="n">
        <f aca="false">IF(ISBLANK($C7),(($H7*Q$19)),((1+$C7)*$BJ32/12))</f>
        <v>0</v>
      </c>
      <c r="R32" s="594" t="n">
        <f aca="false">IF(ISBLANK($C7),(($H7*R$19)),((1+$C7)*$BJ32/12))</f>
        <v>0</v>
      </c>
      <c r="S32" s="594" t="n">
        <f aca="false">IF(ISBLANK($C7),(($H7*S$19)),((1+$C7)*$BJ32/12))</f>
        <v>0</v>
      </c>
      <c r="T32" s="594" t="n">
        <f aca="false">IF(ISBLANK($C7),(($H7*T$19)),((1+$C7)*$BJ32/12))</f>
        <v>0</v>
      </c>
      <c r="U32" s="594" t="n">
        <f aca="false">IF(ISBLANK($C7),(($H7*U$19)),((1+$C7)*$BJ32/12))</f>
        <v>0</v>
      </c>
      <c r="V32" s="594" t="n">
        <f aca="false">IF(ISBLANK($C7),(($H7*V$19)),((1+$C7)*$BJ32/12))</f>
        <v>0</v>
      </c>
      <c r="W32" s="594" t="n">
        <f aca="false">IF(ISBLANK($C7),(($H7*W$19)),((1+$C7)*$BJ32/12))</f>
        <v>0</v>
      </c>
      <c r="X32" s="594" t="n">
        <f aca="false">IF(ISBLANK($C7),(($H7*X$19)),((1+$C7)*$BJ32/12))</f>
        <v>0</v>
      </c>
      <c r="Y32" s="595" t="n">
        <f aca="false">IF(ISBLANK($C7),(($H7*Y$19)),((1+$C7)*$BJ32/12))</f>
        <v>0</v>
      </c>
      <c r="Z32" s="596" t="n">
        <f aca="false">IF(ISBLANK($D7),($I7*Z$19),((1+$D7)*$BK32/12))</f>
        <v>0</v>
      </c>
      <c r="AA32" s="597" t="n">
        <f aca="false">IF(ISBLANK($D7),($I7*AA$19),((1+$D7)*$BK32/12))</f>
        <v>0</v>
      </c>
      <c r="AB32" s="597" t="n">
        <f aca="false">IF(ISBLANK($D7),($I7*AB$19),((1+$D7)*$BK32/12))</f>
        <v>0</v>
      </c>
      <c r="AC32" s="597" t="n">
        <f aca="false">IF(ISBLANK($D7),($I7*AC$19),((1+$D7)*$BK32/12))</f>
        <v>0</v>
      </c>
      <c r="AD32" s="597" t="n">
        <f aca="false">IF(ISBLANK($D7),($I7*AD$19),((1+$D7)*$BK32/12))</f>
        <v>0</v>
      </c>
      <c r="AE32" s="597" t="n">
        <f aca="false">IF(ISBLANK($D7),($I7*AE$19),((1+$D7)*$BK32/12))</f>
        <v>0</v>
      </c>
      <c r="AF32" s="597" t="n">
        <f aca="false">IF(ISBLANK($D7),($I7*AF$19),((1+$D7)*$BK32/12))</f>
        <v>0</v>
      </c>
      <c r="AG32" s="597" t="n">
        <f aca="false">IF(ISBLANK($D7),($I7*AG$19),((1+$D7)*$BK32/12))</f>
        <v>0</v>
      </c>
      <c r="AH32" s="597" t="n">
        <f aca="false">IF(ISBLANK($D7),($I7*AH$19),((1+$D7)*$BK32/12))</f>
        <v>0</v>
      </c>
      <c r="AI32" s="597" t="n">
        <f aca="false">IF(ISBLANK($D7),($I7*AI$19),((1+$D7)*$BK32/12))</f>
        <v>0</v>
      </c>
      <c r="AJ32" s="597" t="n">
        <f aca="false">IF(ISBLANK($D7),($I7*AJ$19),((1+$D7)*$BK32/12))</f>
        <v>0</v>
      </c>
      <c r="AK32" s="598" t="n">
        <f aca="false">IF(ISBLANK($D7),($I7*AK$19),((1+$D7)*$BK32/12))</f>
        <v>0</v>
      </c>
      <c r="AL32" s="599" t="n">
        <f aca="false">IF(ISBLANK($E7),($J7*AL$19),((1+$E7)*$BL32/12))</f>
        <v>0</v>
      </c>
      <c r="AM32" s="600" t="n">
        <f aca="false">IF(ISBLANK($E7),($J7*AM$19),((1+$E7)*$BL32/12))</f>
        <v>0</v>
      </c>
      <c r="AN32" s="600" t="n">
        <f aca="false">IF(ISBLANK($E7),($J7*AN$19),((1+$E7)*$BL32/12))</f>
        <v>0</v>
      </c>
      <c r="AO32" s="600" t="n">
        <f aca="false">IF(ISBLANK($E7),($J7*AO$19),((1+$E7)*$BL32/12))</f>
        <v>0</v>
      </c>
      <c r="AP32" s="600" t="n">
        <f aca="false">IF(ISBLANK($E7),($J7*AP$19),((1+$E7)*$BL32/12))</f>
        <v>0</v>
      </c>
      <c r="AQ32" s="600" t="n">
        <f aca="false">IF(ISBLANK($E7),($J7*AQ$19),((1+$E7)*$BL32/12))</f>
        <v>0</v>
      </c>
      <c r="AR32" s="600" t="n">
        <f aca="false">IF(ISBLANK($E7),($J7*AR$19),((1+$E7)*$BL32/12))</f>
        <v>0</v>
      </c>
      <c r="AS32" s="600" t="n">
        <f aca="false">IF(ISBLANK($E7),($J7*AS$19),((1+$E7)*$BL32/12))</f>
        <v>0</v>
      </c>
      <c r="AT32" s="600" t="n">
        <f aca="false">IF(ISBLANK($E7),($J7*AT$19),((1+$E7)*$BL32/12))</f>
        <v>0</v>
      </c>
      <c r="AU32" s="600" t="n">
        <f aca="false">IF(ISBLANK($E7),($J7*AU$19),((1+$E7)*$BL32/12))</f>
        <v>0</v>
      </c>
      <c r="AV32" s="600" t="n">
        <f aca="false">IF(ISBLANK($E7),($J7*AV$19),((1+$E7)*$BL32/12))</f>
        <v>0</v>
      </c>
      <c r="AW32" s="601" t="n">
        <f aca="false">IF(ISBLANK($E7),($J7*AW$19),((1+$E7)*$BL32/12))</f>
        <v>0</v>
      </c>
      <c r="AX32" s="602" t="n">
        <f aca="false">IF(ISBLANK($F7),($K7*AX$19),((1+$F7)*$BM32/12))</f>
        <v>0</v>
      </c>
      <c r="AY32" s="603" t="n">
        <f aca="false">IF(ISBLANK($F7),($K7*AY$19),((1+$F7)*$BM32/12))</f>
        <v>0</v>
      </c>
      <c r="AZ32" s="603" t="n">
        <f aca="false">IF(ISBLANK($F7),($K7*AZ$19),((1+$F7)*$BM32/12))</f>
        <v>0</v>
      </c>
      <c r="BA32" s="603" t="n">
        <f aca="false">IF(ISBLANK($F7),($K7*BA$19),((1+$F7)*$BM32/12))</f>
        <v>0</v>
      </c>
      <c r="BB32" s="603" t="n">
        <f aca="false">IF(ISBLANK($F7),($K7*BB$19),((1+$F7)*$BM32/12))</f>
        <v>0</v>
      </c>
      <c r="BC32" s="603" t="n">
        <f aca="false">IF(ISBLANK($F7),($K7*BC$19),((1+$F7)*$BM32/12))</f>
        <v>0</v>
      </c>
      <c r="BD32" s="603" t="n">
        <f aca="false">IF(ISBLANK($F7),($K7*BD$19),((1+$F7)*$BM32/12))</f>
        <v>0</v>
      </c>
      <c r="BE32" s="603" t="n">
        <f aca="false">IF(ISBLANK($F7),($K7*BE$19),((1+$F7)*$BM32/12))</f>
        <v>0</v>
      </c>
      <c r="BF32" s="603" t="n">
        <f aca="false">IF(ISBLANK($F7),($K7*BF$19),((1+$F7)*$BM32/12))</f>
        <v>0</v>
      </c>
      <c r="BG32" s="603" t="n">
        <f aca="false">IF(ISBLANK($F7),($K7*BG$19),((1+$F7)*$BM32/12))</f>
        <v>0</v>
      </c>
      <c r="BH32" s="603" t="n">
        <f aca="false">IF(ISBLANK($F7),($K7*BH$19),((1+$F7)*$BM32/12))</f>
        <v>0</v>
      </c>
      <c r="BI32" s="604" t="n">
        <f aca="false">IF(ISBLANK($F7),($K7*BI$19),((1+$F7)*$BM32/12))</f>
        <v>0</v>
      </c>
      <c r="BJ32" s="605" t="n">
        <f aca="false">SUM(B32:M32)</f>
        <v>0</v>
      </c>
      <c r="BK32" s="605" t="n">
        <f aca="false">SUM(N32:Y32)</f>
        <v>0</v>
      </c>
      <c r="BL32" s="605" t="n">
        <f aca="false">SUM(Z32:AK32)</f>
        <v>0</v>
      </c>
      <c r="BM32" s="605" t="n">
        <f aca="false">SUM(AL32:AW32)</f>
        <v>0</v>
      </c>
      <c r="BN32" s="605" t="n">
        <f aca="false">SUM(AX32:BI32)</f>
        <v>0</v>
      </c>
      <c r="BO32" s="593" t="str">
        <f aca="false">IF(BO7="","",BO7)</f>
        <v/>
      </c>
      <c r="BS32" s="529"/>
    </row>
    <row r="33" s="530" customFormat="true" ht="10.5" hidden="false" customHeight="true" outlineLevel="0" collapsed="false">
      <c r="A33" s="593" t="str">
        <f aca="false">IF(A8="","",A8)</f>
        <v/>
      </c>
      <c r="B33" s="606" t="n">
        <f aca="false">IF($B8&gt;0,$B8,($G8*B$19))</f>
        <v>0</v>
      </c>
      <c r="C33" s="536" t="n">
        <f aca="false">IF($B8&gt;0,$B8,($G8*C$19))</f>
        <v>0</v>
      </c>
      <c r="D33" s="536" t="n">
        <f aca="false">IF($B8&gt;0,$B8,($G8*D$19))</f>
        <v>0</v>
      </c>
      <c r="E33" s="536" t="n">
        <f aca="false">IF($B8&gt;0,$B8,($G8*E$19))</f>
        <v>0</v>
      </c>
      <c r="F33" s="536" t="n">
        <f aca="false">IF($B8&gt;0,$B8,($G8*F$19))</f>
        <v>0</v>
      </c>
      <c r="G33" s="536" t="n">
        <f aca="false">IF($B8&gt;0,$B8,($G8*G$19))</f>
        <v>0</v>
      </c>
      <c r="H33" s="536" t="n">
        <f aca="false">IF($B8&gt;0,$B8,($G8*H$19))</f>
        <v>0</v>
      </c>
      <c r="I33" s="536" t="n">
        <f aca="false">IF($B8&gt;0,$B8,($G8*I$19))</f>
        <v>0</v>
      </c>
      <c r="J33" s="536" t="n">
        <f aca="false">IF($B8&gt;0,$B8,($G8*J$19))</f>
        <v>0</v>
      </c>
      <c r="K33" s="536" t="n">
        <f aca="false">IF($B8&gt;0,$B8,($G8*K$19))</f>
        <v>0</v>
      </c>
      <c r="L33" s="536" t="n">
        <f aca="false">IF($B8&gt;0,$B8,($G8*L$19))</f>
        <v>0</v>
      </c>
      <c r="M33" s="540" t="n">
        <f aca="false">IF($B8&gt;0,$B8,($G8*M$19))</f>
        <v>0</v>
      </c>
      <c r="N33" s="594" t="n">
        <f aca="false">IF(ISBLANK($C8),(($H8*N$19)),((1+$C8)*$BJ33/12))</f>
        <v>0</v>
      </c>
      <c r="O33" s="594" t="n">
        <f aca="false">IF(ISBLANK($C8),(($H8*O$19)),((1+$C8)*$BJ33/12))</f>
        <v>0</v>
      </c>
      <c r="P33" s="594" t="n">
        <f aca="false">IF(ISBLANK($C8),(($H8*P$19)),((1+$C8)*$BJ33/12))</f>
        <v>0</v>
      </c>
      <c r="Q33" s="594" t="n">
        <f aca="false">IF(ISBLANK($C8),(($H8*Q$19)),((1+$C8)*$BJ33/12))</f>
        <v>0</v>
      </c>
      <c r="R33" s="594" t="n">
        <f aca="false">IF(ISBLANK($C8),(($H8*R$19)),((1+$C8)*$BJ33/12))</f>
        <v>0</v>
      </c>
      <c r="S33" s="594" t="n">
        <f aca="false">IF(ISBLANK($C8),(($H8*S$19)),((1+$C8)*$BJ33/12))</f>
        <v>0</v>
      </c>
      <c r="T33" s="594" t="n">
        <f aca="false">IF(ISBLANK($C8),(($H8*T$19)),((1+$C8)*$BJ33/12))</f>
        <v>0</v>
      </c>
      <c r="U33" s="594" t="n">
        <f aca="false">IF(ISBLANK($C8),(($H8*U$19)),((1+$C8)*$BJ33/12))</f>
        <v>0</v>
      </c>
      <c r="V33" s="594" t="n">
        <f aca="false">IF(ISBLANK($C8),(($H8*V$19)),((1+$C8)*$BJ33/12))</f>
        <v>0</v>
      </c>
      <c r="W33" s="594" t="n">
        <f aca="false">IF(ISBLANK($C8),(($H8*W$19)),((1+$C8)*$BJ33/12))</f>
        <v>0</v>
      </c>
      <c r="X33" s="594" t="n">
        <f aca="false">IF(ISBLANK($C8),(($H8*X$19)),((1+$C8)*$BJ33/12))</f>
        <v>0</v>
      </c>
      <c r="Y33" s="595" t="n">
        <f aca="false">IF(ISBLANK($C8),(($H8*Y$19)),((1+$C8)*$BJ33/12))</f>
        <v>0</v>
      </c>
      <c r="Z33" s="596" t="n">
        <f aca="false">IF(ISBLANK($D8),($I8*Z$19),((1+$D8)*$BK33/12))</f>
        <v>0</v>
      </c>
      <c r="AA33" s="597" t="n">
        <f aca="false">IF(ISBLANK($D8),($I8*AA$19),((1+$D8)*$BK33/12))</f>
        <v>0</v>
      </c>
      <c r="AB33" s="597" t="n">
        <f aca="false">IF(ISBLANK($D8),($I8*AB$19),((1+$D8)*$BK33/12))</f>
        <v>0</v>
      </c>
      <c r="AC33" s="597" t="n">
        <f aca="false">IF(ISBLANK($D8),($I8*AC$19),((1+$D8)*$BK33/12))</f>
        <v>0</v>
      </c>
      <c r="AD33" s="597" t="n">
        <f aca="false">IF(ISBLANK($D8),($I8*AD$19),((1+$D8)*$BK33/12))</f>
        <v>0</v>
      </c>
      <c r="AE33" s="597" t="n">
        <f aca="false">IF(ISBLANK($D8),($I8*AE$19),((1+$D8)*$BK33/12))</f>
        <v>0</v>
      </c>
      <c r="AF33" s="597" t="n">
        <f aca="false">IF(ISBLANK($D8),($I8*AF$19),((1+$D8)*$BK33/12))</f>
        <v>0</v>
      </c>
      <c r="AG33" s="597" t="n">
        <f aca="false">IF(ISBLANK($D8),($I8*AG$19),((1+$D8)*$BK33/12))</f>
        <v>0</v>
      </c>
      <c r="AH33" s="597" t="n">
        <f aca="false">IF(ISBLANK($D8),($I8*AH$19),((1+$D8)*$BK33/12))</f>
        <v>0</v>
      </c>
      <c r="AI33" s="597" t="n">
        <f aca="false">IF(ISBLANK($D8),($I8*AI$19),((1+$D8)*$BK33/12))</f>
        <v>0</v>
      </c>
      <c r="AJ33" s="597" t="n">
        <f aca="false">IF(ISBLANK($D8),($I8*AJ$19),((1+$D8)*$BK33/12))</f>
        <v>0</v>
      </c>
      <c r="AK33" s="598" t="n">
        <f aca="false">IF(ISBLANK($D8),($I8*AK$19),((1+$D8)*$BK33/12))</f>
        <v>0</v>
      </c>
      <c r="AL33" s="599" t="n">
        <f aca="false">IF(ISBLANK($E8),($J8*AL$19),((1+$E8)*$BL33/12))</f>
        <v>0</v>
      </c>
      <c r="AM33" s="600" t="n">
        <f aca="false">IF(ISBLANK($E8),($J8*AM$19),((1+$E8)*$BL33/12))</f>
        <v>0</v>
      </c>
      <c r="AN33" s="600" t="n">
        <f aca="false">IF(ISBLANK($E8),($J8*AN$19),((1+$E8)*$BL33/12))</f>
        <v>0</v>
      </c>
      <c r="AO33" s="600" t="n">
        <f aca="false">IF(ISBLANK($E8),($J8*AO$19),((1+$E8)*$BL33/12))</f>
        <v>0</v>
      </c>
      <c r="AP33" s="600" t="n">
        <f aca="false">IF(ISBLANK($E8),($J8*AP$19),((1+$E8)*$BL33/12))</f>
        <v>0</v>
      </c>
      <c r="AQ33" s="600" t="n">
        <f aca="false">IF(ISBLANK($E8),($J8*AQ$19),((1+$E8)*$BL33/12))</f>
        <v>0</v>
      </c>
      <c r="AR33" s="600" t="n">
        <f aca="false">IF(ISBLANK($E8),($J8*AR$19),((1+$E8)*$BL33/12))</f>
        <v>0</v>
      </c>
      <c r="AS33" s="600" t="n">
        <f aca="false">IF(ISBLANK($E8),($J8*AS$19),((1+$E8)*$BL33/12))</f>
        <v>0</v>
      </c>
      <c r="AT33" s="600" t="n">
        <f aca="false">IF(ISBLANK($E8),($J8*AT$19),((1+$E8)*$BL33/12))</f>
        <v>0</v>
      </c>
      <c r="AU33" s="600" t="n">
        <f aca="false">IF(ISBLANK($E8),($J8*AU$19),((1+$E8)*$BL33/12))</f>
        <v>0</v>
      </c>
      <c r="AV33" s="600" t="n">
        <f aca="false">IF(ISBLANK($E8),($J8*AV$19),((1+$E8)*$BL33/12))</f>
        <v>0</v>
      </c>
      <c r="AW33" s="601" t="n">
        <f aca="false">IF(ISBLANK($E8),($J8*AW$19),((1+$E8)*$BL33/12))</f>
        <v>0</v>
      </c>
      <c r="AX33" s="602" t="n">
        <f aca="false">IF(ISBLANK($F8),($K8*AX$19),((1+$F8)*$BM33/12))</f>
        <v>0</v>
      </c>
      <c r="AY33" s="603" t="n">
        <f aca="false">IF(ISBLANK($F8),($K8*AY$19),((1+$F8)*$BM33/12))</f>
        <v>0</v>
      </c>
      <c r="AZ33" s="603" t="n">
        <f aca="false">IF(ISBLANK($F8),($K8*AZ$19),((1+$F8)*$BM33/12))</f>
        <v>0</v>
      </c>
      <c r="BA33" s="603" t="n">
        <f aca="false">IF(ISBLANK($F8),($K8*BA$19),((1+$F8)*$BM33/12))</f>
        <v>0</v>
      </c>
      <c r="BB33" s="603" t="n">
        <f aca="false">IF(ISBLANK($F8),($K8*BB$19),((1+$F8)*$BM33/12))</f>
        <v>0</v>
      </c>
      <c r="BC33" s="603" t="n">
        <f aca="false">IF(ISBLANK($F8),($K8*BC$19),((1+$F8)*$BM33/12))</f>
        <v>0</v>
      </c>
      <c r="BD33" s="603" t="n">
        <f aca="false">IF(ISBLANK($F8),($K8*BD$19),((1+$F8)*$BM33/12))</f>
        <v>0</v>
      </c>
      <c r="BE33" s="603" t="n">
        <f aca="false">IF(ISBLANK($F8),($K8*BE$19),((1+$F8)*$BM33/12))</f>
        <v>0</v>
      </c>
      <c r="BF33" s="603" t="n">
        <f aca="false">IF(ISBLANK($F8),($K8*BF$19),((1+$F8)*$BM33/12))</f>
        <v>0</v>
      </c>
      <c r="BG33" s="603" t="n">
        <f aca="false">IF(ISBLANK($F8),($K8*BG$19),((1+$F8)*$BM33/12))</f>
        <v>0</v>
      </c>
      <c r="BH33" s="603" t="n">
        <f aca="false">IF(ISBLANK($F8),($K8*BH$19),((1+$F8)*$BM33/12))</f>
        <v>0</v>
      </c>
      <c r="BI33" s="604" t="n">
        <f aca="false">IF(ISBLANK($F8),($K8*BI$19),((1+$F8)*$BM33/12))</f>
        <v>0</v>
      </c>
      <c r="BJ33" s="605" t="n">
        <f aca="false">SUM(B33:M33)</f>
        <v>0</v>
      </c>
      <c r="BK33" s="605" t="n">
        <f aca="false">SUM(N33:Y33)</f>
        <v>0</v>
      </c>
      <c r="BL33" s="605" t="n">
        <f aca="false">SUM(Z33:AK33)</f>
        <v>0</v>
      </c>
      <c r="BM33" s="605" t="n">
        <f aca="false">SUM(AL33:AW33)</f>
        <v>0</v>
      </c>
      <c r="BN33" s="605" t="n">
        <f aca="false">SUM(AX33:BI33)</f>
        <v>0</v>
      </c>
      <c r="BO33" s="593" t="str">
        <f aca="false">IF(BO8="","",BO8)</f>
        <v/>
      </c>
      <c r="BS33" s="529"/>
    </row>
    <row r="34" s="530" customFormat="true" ht="10.5" hidden="false" customHeight="true" outlineLevel="0" collapsed="false">
      <c r="A34" s="593" t="str">
        <f aca="false">IF(A9="","",A9)</f>
        <v/>
      </c>
      <c r="B34" s="606" t="n">
        <f aca="false">IF($B9&gt;0,$B9,($G9*B$19))</f>
        <v>0</v>
      </c>
      <c r="C34" s="536" t="n">
        <f aca="false">IF($B9&gt;0,$B9,($G9*C$19))</f>
        <v>0</v>
      </c>
      <c r="D34" s="536" t="n">
        <f aca="false">IF($B9&gt;0,$B9,($G9*D$19))</f>
        <v>0</v>
      </c>
      <c r="E34" s="536" t="n">
        <f aca="false">IF($B9&gt;0,$B9,($G9*E$19))</f>
        <v>0</v>
      </c>
      <c r="F34" s="536" t="n">
        <f aca="false">IF($B9&gt;0,$B9,($G9*F$19))</f>
        <v>0</v>
      </c>
      <c r="G34" s="536" t="n">
        <f aca="false">IF($B9&gt;0,$B9,($G9*G$19))</f>
        <v>0</v>
      </c>
      <c r="H34" s="536" t="n">
        <f aca="false">IF($B9&gt;0,$B9,($G9*H$19))</f>
        <v>0</v>
      </c>
      <c r="I34" s="536" t="n">
        <f aca="false">IF($B9&gt;0,$B9,($G9*I$19))</f>
        <v>0</v>
      </c>
      <c r="J34" s="536" t="n">
        <f aca="false">IF($B9&gt;0,$B9,($G9*J$19))</f>
        <v>0</v>
      </c>
      <c r="K34" s="536" t="n">
        <f aca="false">IF($B9&gt;0,$B9,($G9*K$19))</f>
        <v>0</v>
      </c>
      <c r="L34" s="536" t="n">
        <f aca="false">IF($B9&gt;0,$B9,($G9*L$19))</f>
        <v>0</v>
      </c>
      <c r="M34" s="540" t="n">
        <f aca="false">IF($B9&gt;0,$B9,($G9*M$19))</f>
        <v>0</v>
      </c>
      <c r="N34" s="594" t="n">
        <f aca="false">IF(ISBLANK($C9),(($H9*N$19)),((1+$C9)*$BJ34/12))</f>
        <v>0</v>
      </c>
      <c r="O34" s="594" t="n">
        <f aca="false">IF(ISBLANK($C9),(($H9*O$19)),((1+$C9)*$BJ34/12))</f>
        <v>0</v>
      </c>
      <c r="P34" s="594" t="n">
        <f aca="false">IF(ISBLANK($C9),(($H9*P$19)),((1+$C9)*$BJ34/12))</f>
        <v>0</v>
      </c>
      <c r="Q34" s="594" t="n">
        <f aca="false">IF(ISBLANK($C9),(($H9*Q$19)),((1+$C9)*$BJ34/12))</f>
        <v>0</v>
      </c>
      <c r="R34" s="594" t="n">
        <f aca="false">IF(ISBLANK($C9),(($H9*R$19)),((1+$C9)*$BJ34/12))</f>
        <v>0</v>
      </c>
      <c r="S34" s="594" t="n">
        <f aca="false">IF(ISBLANK($C9),(($H9*S$19)),((1+$C9)*$BJ34/12))</f>
        <v>0</v>
      </c>
      <c r="T34" s="594" t="n">
        <f aca="false">IF(ISBLANK($C9),(($H9*T$19)),((1+$C9)*$BJ34/12))</f>
        <v>0</v>
      </c>
      <c r="U34" s="594" t="n">
        <f aca="false">IF(ISBLANK($C9),(($H9*U$19)),((1+$C9)*$BJ34/12))</f>
        <v>0</v>
      </c>
      <c r="V34" s="594" t="n">
        <f aca="false">IF(ISBLANK($C9),(($H9*V$19)),((1+$C9)*$BJ34/12))</f>
        <v>0</v>
      </c>
      <c r="W34" s="594" t="n">
        <f aca="false">IF(ISBLANK($C9),(($H9*W$19)),((1+$C9)*$BJ34/12))</f>
        <v>0</v>
      </c>
      <c r="X34" s="594" t="n">
        <f aca="false">IF(ISBLANK($C9),(($H9*X$19)),((1+$C9)*$BJ34/12))</f>
        <v>0</v>
      </c>
      <c r="Y34" s="595" t="n">
        <f aca="false">IF(ISBLANK($C9),(($H9*Y$19)),((1+$C9)*$BJ34/12))</f>
        <v>0</v>
      </c>
      <c r="Z34" s="596" t="n">
        <f aca="false">IF(ISBLANK($D9),($I9*Z$19),((1+$D9)*$BK34/12))</f>
        <v>0</v>
      </c>
      <c r="AA34" s="597" t="n">
        <f aca="false">IF(ISBLANK($D9),($I9*AA$19),((1+$D9)*$BK34/12))</f>
        <v>0</v>
      </c>
      <c r="AB34" s="597" t="n">
        <f aca="false">IF(ISBLANK($D9),($I9*AB$19),((1+$D9)*$BK34/12))</f>
        <v>0</v>
      </c>
      <c r="AC34" s="597" t="n">
        <f aca="false">IF(ISBLANK($D9),($I9*AC$19),((1+$D9)*$BK34/12))</f>
        <v>0</v>
      </c>
      <c r="AD34" s="597" t="n">
        <f aca="false">IF(ISBLANK($D9),($I9*AD$19),((1+$D9)*$BK34/12))</f>
        <v>0</v>
      </c>
      <c r="AE34" s="597" t="n">
        <f aca="false">IF(ISBLANK($D9),($I9*AE$19),((1+$D9)*$BK34/12))</f>
        <v>0</v>
      </c>
      <c r="AF34" s="597" t="n">
        <f aca="false">IF(ISBLANK($D9),($I9*AF$19),((1+$D9)*$BK34/12))</f>
        <v>0</v>
      </c>
      <c r="AG34" s="597" t="n">
        <f aca="false">IF(ISBLANK($D9),($I9*AG$19),((1+$D9)*$BK34/12))</f>
        <v>0</v>
      </c>
      <c r="AH34" s="597" t="n">
        <f aca="false">IF(ISBLANK($D9),($I9*AH$19),((1+$D9)*$BK34/12))</f>
        <v>0</v>
      </c>
      <c r="AI34" s="597" t="n">
        <f aca="false">IF(ISBLANK($D9),($I9*AI$19),((1+$D9)*$BK34/12))</f>
        <v>0</v>
      </c>
      <c r="AJ34" s="597" t="n">
        <f aca="false">IF(ISBLANK($D9),($I9*AJ$19),((1+$D9)*$BK34/12))</f>
        <v>0</v>
      </c>
      <c r="AK34" s="598" t="n">
        <f aca="false">IF(ISBLANK($D9),($I9*AK$19),((1+$D9)*$BK34/12))</f>
        <v>0</v>
      </c>
      <c r="AL34" s="599" t="n">
        <f aca="false">IF(ISBLANK($E9),($J9*AL$19),((1+$E9)*$BL34/12))</f>
        <v>0</v>
      </c>
      <c r="AM34" s="600" t="n">
        <f aca="false">IF(ISBLANK($E9),($J9*AM$19),((1+$E9)*$BL34/12))</f>
        <v>0</v>
      </c>
      <c r="AN34" s="600" t="n">
        <f aca="false">IF(ISBLANK($E9),($J9*AN$19),((1+$E9)*$BL34/12))</f>
        <v>0</v>
      </c>
      <c r="AO34" s="600" t="n">
        <f aca="false">IF(ISBLANK($E9),($J9*AO$19),((1+$E9)*$BL34/12))</f>
        <v>0</v>
      </c>
      <c r="AP34" s="600" t="n">
        <f aca="false">IF(ISBLANK($E9),($J9*AP$19),((1+$E9)*$BL34/12))</f>
        <v>0</v>
      </c>
      <c r="AQ34" s="600" t="n">
        <f aca="false">IF(ISBLANK($E9),($J9*AQ$19),((1+$E9)*$BL34/12))</f>
        <v>0</v>
      </c>
      <c r="AR34" s="600" t="n">
        <f aca="false">IF(ISBLANK($E9),($J9*AR$19),((1+$E9)*$BL34/12))</f>
        <v>0</v>
      </c>
      <c r="AS34" s="600" t="n">
        <f aca="false">IF(ISBLANK($E9),($J9*AS$19),((1+$E9)*$BL34/12))</f>
        <v>0</v>
      </c>
      <c r="AT34" s="600" t="n">
        <f aca="false">IF(ISBLANK($E9),($J9*AT$19),((1+$E9)*$BL34/12))</f>
        <v>0</v>
      </c>
      <c r="AU34" s="600" t="n">
        <f aca="false">IF(ISBLANK($E9),($J9*AU$19),((1+$E9)*$BL34/12))</f>
        <v>0</v>
      </c>
      <c r="AV34" s="600" t="n">
        <f aca="false">IF(ISBLANK($E9),($J9*AV$19),((1+$E9)*$BL34/12))</f>
        <v>0</v>
      </c>
      <c r="AW34" s="601" t="n">
        <f aca="false">IF(ISBLANK($E9),($J9*AW$19),((1+$E9)*$BL34/12))</f>
        <v>0</v>
      </c>
      <c r="AX34" s="602" t="n">
        <f aca="false">IF(ISBLANK($F9),($K9*AX$19),((1+$F9)*$BM34/12))</f>
        <v>0</v>
      </c>
      <c r="AY34" s="603" t="n">
        <f aca="false">IF(ISBLANK($F9),($K9*AY$19),((1+$F9)*$BM34/12))</f>
        <v>0</v>
      </c>
      <c r="AZ34" s="603" t="n">
        <f aca="false">IF(ISBLANK($F9),($K9*AZ$19),((1+$F9)*$BM34/12))</f>
        <v>0</v>
      </c>
      <c r="BA34" s="603" t="n">
        <f aca="false">IF(ISBLANK($F9),($K9*BA$19),((1+$F9)*$BM34/12))</f>
        <v>0</v>
      </c>
      <c r="BB34" s="603" t="n">
        <f aca="false">IF(ISBLANK($F9),($K9*BB$19),((1+$F9)*$BM34/12))</f>
        <v>0</v>
      </c>
      <c r="BC34" s="603" t="n">
        <f aca="false">IF(ISBLANK($F9),($K9*BC$19),((1+$F9)*$BM34/12))</f>
        <v>0</v>
      </c>
      <c r="BD34" s="603" t="n">
        <f aca="false">IF(ISBLANK($F9),($K9*BD$19),((1+$F9)*$BM34/12))</f>
        <v>0</v>
      </c>
      <c r="BE34" s="603" t="n">
        <f aca="false">IF(ISBLANK($F9),($K9*BE$19),((1+$F9)*$BM34/12))</f>
        <v>0</v>
      </c>
      <c r="BF34" s="603" t="n">
        <f aca="false">IF(ISBLANK($F9),($K9*BF$19),((1+$F9)*$BM34/12))</f>
        <v>0</v>
      </c>
      <c r="BG34" s="603" t="n">
        <f aca="false">IF(ISBLANK($F9),($K9*BG$19),((1+$F9)*$BM34/12))</f>
        <v>0</v>
      </c>
      <c r="BH34" s="603" t="n">
        <f aca="false">IF(ISBLANK($F9),($K9*BH$19),((1+$F9)*$BM34/12))</f>
        <v>0</v>
      </c>
      <c r="BI34" s="604" t="n">
        <f aca="false">IF(ISBLANK($F9),($K9*BI$19),((1+$F9)*$BM34/12))</f>
        <v>0</v>
      </c>
      <c r="BJ34" s="605" t="n">
        <f aca="false">SUM(B34:M34)</f>
        <v>0</v>
      </c>
      <c r="BK34" s="605" t="n">
        <f aca="false">SUM(N34:Y34)</f>
        <v>0</v>
      </c>
      <c r="BL34" s="605" t="n">
        <f aca="false">SUM(Z34:AK34)</f>
        <v>0</v>
      </c>
      <c r="BM34" s="605" t="n">
        <f aca="false">SUM(AL34:AW34)</f>
        <v>0</v>
      </c>
      <c r="BN34" s="605" t="n">
        <f aca="false">SUM(AX34:BI34)</f>
        <v>0</v>
      </c>
      <c r="BO34" s="593" t="str">
        <f aca="false">IF(BO9="","",BO9)</f>
        <v/>
      </c>
      <c r="BS34" s="529"/>
    </row>
    <row r="35" s="530" customFormat="true" ht="10.5" hidden="false" customHeight="true" outlineLevel="0" collapsed="false">
      <c r="A35" s="593" t="str">
        <f aca="false">IF(A10="","",A10)</f>
        <v/>
      </c>
      <c r="B35" s="606" t="n">
        <f aca="false">IF($B10&gt;0,$B10,($G10*B$19))</f>
        <v>0</v>
      </c>
      <c r="C35" s="536" t="n">
        <f aca="false">IF($B10&gt;0,$B10,($G10*C$19))</f>
        <v>0</v>
      </c>
      <c r="D35" s="536" t="n">
        <f aca="false">IF($B10&gt;0,$B10,($G10*D$19))</f>
        <v>0</v>
      </c>
      <c r="E35" s="536" t="n">
        <f aca="false">IF($B10&gt;0,$B10,($G10*E$19))</f>
        <v>0</v>
      </c>
      <c r="F35" s="536" t="n">
        <f aca="false">IF($B10&gt;0,$B10,($G10*F$19))</f>
        <v>0</v>
      </c>
      <c r="G35" s="536" t="n">
        <f aca="false">IF($B10&gt;0,$B10,($G10*G$19))</f>
        <v>0</v>
      </c>
      <c r="H35" s="536" t="n">
        <f aca="false">IF($B10&gt;0,$B10,($G10*H$19))</f>
        <v>0</v>
      </c>
      <c r="I35" s="536" t="n">
        <f aca="false">IF($B10&gt;0,$B10,($G10*I$19))</f>
        <v>0</v>
      </c>
      <c r="J35" s="536" t="n">
        <f aca="false">IF($B10&gt;0,$B10,($G10*J$19))</f>
        <v>0</v>
      </c>
      <c r="K35" s="536" t="n">
        <f aca="false">IF($B10&gt;0,$B10,($G10*K$19))</f>
        <v>0</v>
      </c>
      <c r="L35" s="536" t="n">
        <f aca="false">IF($B10&gt;0,$B10,($G10*L$19))</f>
        <v>0</v>
      </c>
      <c r="M35" s="540" t="n">
        <f aca="false">IF($B10&gt;0,$B10,($G10*M$19))</f>
        <v>0</v>
      </c>
      <c r="N35" s="594" t="n">
        <f aca="false">IF(ISBLANK($C10),(($H10*N$19)),((1+$C10)*$BJ35/12))</f>
        <v>0</v>
      </c>
      <c r="O35" s="594" t="n">
        <f aca="false">IF(ISBLANK($C10),(($H10*O$19)),((1+$C10)*$BJ35/12))</f>
        <v>0</v>
      </c>
      <c r="P35" s="594" t="n">
        <f aca="false">IF(ISBLANK($C10),(($H10*P$19)),((1+$C10)*$BJ35/12))</f>
        <v>0</v>
      </c>
      <c r="Q35" s="594" t="n">
        <f aca="false">IF(ISBLANK($C10),(($H10*Q$19)),((1+$C10)*$BJ35/12))</f>
        <v>0</v>
      </c>
      <c r="R35" s="594" t="n">
        <f aca="false">IF(ISBLANK($C10),(($H10*R$19)),((1+$C10)*$BJ35/12))</f>
        <v>0</v>
      </c>
      <c r="S35" s="594" t="n">
        <f aca="false">IF(ISBLANK($C10),(($H10*S$19)),((1+$C10)*$BJ35/12))</f>
        <v>0</v>
      </c>
      <c r="T35" s="594" t="n">
        <f aca="false">IF(ISBLANK($C10),(($H10*T$19)),((1+$C10)*$BJ35/12))</f>
        <v>0</v>
      </c>
      <c r="U35" s="594" t="n">
        <f aca="false">IF(ISBLANK($C10),(($H10*U$19)),((1+$C10)*$BJ35/12))</f>
        <v>0</v>
      </c>
      <c r="V35" s="594" t="n">
        <f aca="false">IF(ISBLANK($C10),(($H10*V$19)),((1+$C10)*$BJ35/12))</f>
        <v>0</v>
      </c>
      <c r="W35" s="594" t="n">
        <f aca="false">IF(ISBLANK($C10),(($H10*W$19)),((1+$C10)*$BJ35/12))</f>
        <v>0</v>
      </c>
      <c r="X35" s="594" t="n">
        <f aca="false">IF(ISBLANK($C10),(($H10*X$19)),((1+$C10)*$BJ35/12))</f>
        <v>0</v>
      </c>
      <c r="Y35" s="595" t="n">
        <f aca="false">IF(ISBLANK($C10),(($H10*Y$19)),((1+$C10)*$BJ35/12))</f>
        <v>0</v>
      </c>
      <c r="Z35" s="596" t="n">
        <f aca="false">IF(ISBLANK($D10),($I10*Z$19),((1+$D10)*$BK35/12))</f>
        <v>0</v>
      </c>
      <c r="AA35" s="597" t="n">
        <f aca="false">IF(ISBLANK($D10),($I10*AA$19),((1+$D10)*$BK35/12))</f>
        <v>0</v>
      </c>
      <c r="AB35" s="597" t="n">
        <f aca="false">IF(ISBLANK($D10),($I10*AB$19),((1+$D10)*$BK35/12))</f>
        <v>0</v>
      </c>
      <c r="AC35" s="597" t="n">
        <f aca="false">IF(ISBLANK($D10),($I10*AC$19),((1+$D10)*$BK35/12))</f>
        <v>0</v>
      </c>
      <c r="AD35" s="597" t="n">
        <f aca="false">IF(ISBLANK($D10),($I10*AD$19),((1+$D10)*$BK35/12))</f>
        <v>0</v>
      </c>
      <c r="AE35" s="597" t="n">
        <f aca="false">IF(ISBLANK($D10),($I10*AE$19),((1+$D10)*$BK35/12))</f>
        <v>0</v>
      </c>
      <c r="AF35" s="597" t="n">
        <f aca="false">IF(ISBLANK($D10),($I10*AF$19),((1+$D10)*$BK35/12))</f>
        <v>0</v>
      </c>
      <c r="AG35" s="597" t="n">
        <f aca="false">IF(ISBLANK($D10),($I10*AG$19),((1+$D10)*$BK35/12))</f>
        <v>0</v>
      </c>
      <c r="AH35" s="597" t="n">
        <f aca="false">IF(ISBLANK($D10),($I10*AH$19),((1+$D10)*$BK35/12))</f>
        <v>0</v>
      </c>
      <c r="AI35" s="597" t="n">
        <f aca="false">IF(ISBLANK($D10),($I10*AI$19),((1+$D10)*$BK35/12))</f>
        <v>0</v>
      </c>
      <c r="AJ35" s="597" t="n">
        <f aca="false">IF(ISBLANK($D10),($I10*AJ$19),((1+$D10)*$BK35/12))</f>
        <v>0</v>
      </c>
      <c r="AK35" s="598" t="n">
        <f aca="false">IF(ISBLANK($D10),($I10*AK$19),((1+$D10)*$BK35/12))</f>
        <v>0</v>
      </c>
      <c r="AL35" s="599" t="n">
        <f aca="false">IF(ISBLANK($E10),($J10*AL$19),((1+$E10)*$BL35/12))</f>
        <v>0</v>
      </c>
      <c r="AM35" s="600" t="n">
        <f aca="false">IF(ISBLANK($E10),($J10*AM$19),((1+$E10)*$BL35/12))</f>
        <v>0</v>
      </c>
      <c r="AN35" s="600" t="n">
        <f aca="false">IF(ISBLANK($E10),($J10*AN$19),((1+$E10)*$BL35/12))</f>
        <v>0</v>
      </c>
      <c r="AO35" s="600" t="n">
        <f aca="false">IF(ISBLANK($E10),($J10*AO$19),((1+$E10)*$BL35/12))</f>
        <v>0</v>
      </c>
      <c r="AP35" s="600" t="n">
        <f aca="false">IF(ISBLANK($E10),($J10*AP$19),((1+$E10)*$BL35/12))</f>
        <v>0</v>
      </c>
      <c r="AQ35" s="600" t="n">
        <f aca="false">IF(ISBLANK($E10),($J10*AQ$19),((1+$E10)*$BL35/12))</f>
        <v>0</v>
      </c>
      <c r="AR35" s="600" t="n">
        <f aca="false">IF(ISBLANK($E10),($J10*AR$19),((1+$E10)*$BL35/12))</f>
        <v>0</v>
      </c>
      <c r="AS35" s="600" t="n">
        <f aca="false">IF(ISBLANK($E10),($J10*AS$19),((1+$E10)*$BL35/12))</f>
        <v>0</v>
      </c>
      <c r="AT35" s="600" t="n">
        <f aca="false">IF(ISBLANK($E10),($J10*AT$19),((1+$E10)*$BL35/12))</f>
        <v>0</v>
      </c>
      <c r="AU35" s="600" t="n">
        <f aca="false">IF(ISBLANK($E10),($J10*AU$19),((1+$E10)*$BL35/12))</f>
        <v>0</v>
      </c>
      <c r="AV35" s="600" t="n">
        <f aca="false">IF(ISBLANK($E10),($J10*AV$19),((1+$E10)*$BL35/12))</f>
        <v>0</v>
      </c>
      <c r="AW35" s="601" t="n">
        <f aca="false">IF(ISBLANK($E10),($J10*AW$19),((1+$E10)*$BL35/12))</f>
        <v>0</v>
      </c>
      <c r="AX35" s="602" t="n">
        <f aca="false">IF(ISBLANK($F10),($K10*AX$19),((1+$F10)*$BM35/12))</f>
        <v>0</v>
      </c>
      <c r="AY35" s="603" t="n">
        <f aca="false">IF(ISBLANK($F10),($K10*AY$19),((1+$F10)*$BM35/12))</f>
        <v>0</v>
      </c>
      <c r="AZ35" s="603" t="n">
        <f aca="false">IF(ISBLANK($F10),($K10*AZ$19),((1+$F10)*$BM35/12))</f>
        <v>0</v>
      </c>
      <c r="BA35" s="603" t="n">
        <f aca="false">IF(ISBLANK($F10),($K10*BA$19),((1+$F10)*$BM35/12))</f>
        <v>0</v>
      </c>
      <c r="BB35" s="603" t="n">
        <f aca="false">IF(ISBLANK($F10),($K10*BB$19),((1+$F10)*$BM35/12))</f>
        <v>0</v>
      </c>
      <c r="BC35" s="603" t="n">
        <f aca="false">IF(ISBLANK($F10),($K10*BC$19),((1+$F10)*$BM35/12))</f>
        <v>0</v>
      </c>
      <c r="BD35" s="603" t="n">
        <f aca="false">IF(ISBLANK($F10),($K10*BD$19),((1+$F10)*$BM35/12))</f>
        <v>0</v>
      </c>
      <c r="BE35" s="603" t="n">
        <f aca="false">IF(ISBLANK($F10),($K10*BE$19),((1+$F10)*$BM35/12))</f>
        <v>0</v>
      </c>
      <c r="BF35" s="603" t="n">
        <f aca="false">IF(ISBLANK($F10),($K10*BF$19),((1+$F10)*$BM35/12))</f>
        <v>0</v>
      </c>
      <c r="BG35" s="603" t="n">
        <f aca="false">IF(ISBLANK($F10),($K10*BG$19),((1+$F10)*$BM35/12))</f>
        <v>0</v>
      </c>
      <c r="BH35" s="603" t="n">
        <f aca="false">IF(ISBLANK($F10),($K10*BH$19),((1+$F10)*$BM35/12))</f>
        <v>0</v>
      </c>
      <c r="BI35" s="604" t="n">
        <f aca="false">IF(ISBLANK($F10),($K10*BI$19),((1+$F10)*$BM35/12))</f>
        <v>0</v>
      </c>
      <c r="BJ35" s="605" t="n">
        <f aca="false">SUM(B35:M35)</f>
        <v>0</v>
      </c>
      <c r="BK35" s="605" t="n">
        <f aca="false">SUM(N35:Y35)</f>
        <v>0</v>
      </c>
      <c r="BL35" s="605" t="n">
        <f aca="false">SUM(Z35:AK35)</f>
        <v>0</v>
      </c>
      <c r="BM35" s="605" t="n">
        <f aca="false">SUM(AL35:AW35)</f>
        <v>0</v>
      </c>
      <c r="BN35" s="605" t="n">
        <f aca="false">SUM(AX35:BI35)</f>
        <v>0</v>
      </c>
      <c r="BO35" s="593" t="str">
        <f aca="false">IF(BO10="","",BO10)</f>
        <v/>
      </c>
      <c r="BS35" s="529"/>
    </row>
    <row r="36" s="530" customFormat="true" ht="10.5" hidden="false" customHeight="true" outlineLevel="0" collapsed="false">
      <c r="A36" s="593" t="str">
        <f aca="false">IF(A11="","",A11)</f>
        <v/>
      </c>
      <c r="B36" s="606" t="n">
        <f aca="false">IF($B11&gt;0,$B11,($G11*B$19))</f>
        <v>0</v>
      </c>
      <c r="C36" s="536" t="n">
        <f aca="false">IF($B11&gt;0,$B11,($G11*C$19))</f>
        <v>0</v>
      </c>
      <c r="D36" s="536" t="n">
        <f aca="false">IF($B11&gt;0,$B11,($G11*D$19))</f>
        <v>0</v>
      </c>
      <c r="E36" s="536" t="n">
        <f aca="false">IF($B11&gt;0,$B11,($G11*E$19))</f>
        <v>0</v>
      </c>
      <c r="F36" s="536" t="n">
        <f aca="false">IF($B11&gt;0,$B11,($G11*F$19))</f>
        <v>0</v>
      </c>
      <c r="G36" s="536" t="n">
        <f aca="false">IF($B11&gt;0,$B11,($G11*G$19))</f>
        <v>0</v>
      </c>
      <c r="H36" s="536" t="n">
        <f aca="false">IF($B11&gt;0,$B11,($G11*H$19))</f>
        <v>0</v>
      </c>
      <c r="I36" s="536" t="n">
        <f aca="false">IF($B11&gt;0,$B11,($G11*I$19))</f>
        <v>0</v>
      </c>
      <c r="J36" s="536" t="n">
        <f aca="false">IF($B11&gt;0,$B11,($G11*J$19))</f>
        <v>0</v>
      </c>
      <c r="K36" s="536" t="n">
        <f aca="false">IF($B11&gt;0,$B11,($G11*K$19))</f>
        <v>0</v>
      </c>
      <c r="L36" s="536" t="n">
        <f aca="false">IF($B11&gt;0,$B11,($G11*L$19))</f>
        <v>0</v>
      </c>
      <c r="M36" s="540" t="n">
        <f aca="false">IF($B11&gt;0,$B11,($G11*M$19))</f>
        <v>0</v>
      </c>
      <c r="N36" s="594" t="n">
        <f aca="false">IF(ISBLANK($C11),(($H11*N$19)),((1+$C11)*$BJ36/12))</f>
        <v>0</v>
      </c>
      <c r="O36" s="594" t="n">
        <f aca="false">IF(ISBLANK($C11),(($H11*O$19)),((1+$C11)*$BJ36/12))</f>
        <v>0</v>
      </c>
      <c r="P36" s="594" t="n">
        <f aca="false">IF(ISBLANK($C11),(($H11*P$19)),((1+$C11)*$BJ36/12))</f>
        <v>0</v>
      </c>
      <c r="Q36" s="594" t="n">
        <f aca="false">IF(ISBLANK($C11),(($H11*Q$19)),((1+$C11)*$BJ36/12))</f>
        <v>0</v>
      </c>
      <c r="R36" s="594" t="n">
        <f aca="false">IF(ISBLANK($C11),(($H11*R$19)),((1+$C11)*$BJ36/12))</f>
        <v>0</v>
      </c>
      <c r="S36" s="594" t="n">
        <f aca="false">IF(ISBLANK($C11),(($H11*S$19)),((1+$C11)*$BJ36/12))</f>
        <v>0</v>
      </c>
      <c r="T36" s="594" t="n">
        <f aca="false">IF(ISBLANK($C11),(($H11*T$19)),((1+$C11)*$BJ36/12))</f>
        <v>0</v>
      </c>
      <c r="U36" s="594" t="n">
        <f aca="false">IF(ISBLANK($C11),(($H11*U$19)),((1+$C11)*$BJ36/12))</f>
        <v>0</v>
      </c>
      <c r="V36" s="594" t="n">
        <f aca="false">IF(ISBLANK($C11),(($H11*V$19)),((1+$C11)*$BJ36/12))</f>
        <v>0</v>
      </c>
      <c r="W36" s="594" t="n">
        <f aca="false">IF(ISBLANK($C11),(($H11*W$19)),((1+$C11)*$BJ36/12))</f>
        <v>0</v>
      </c>
      <c r="X36" s="594" t="n">
        <f aca="false">IF(ISBLANK($C11),(($H11*X$19)),((1+$C11)*$BJ36/12))</f>
        <v>0</v>
      </c>
      <c r="Y36" s="595" t="n">
        <f aca="false">IF(ISBLANK($C11),(($H11*Y$19)),((1+$C11)*$BJ36/12))</f>
        <v>0</v>
      </c>
      <c r="Z36" s="596" t="n">
        <f aca="false">IF(ISBLANK($D11),($I11*Z$19),((1+$D11)*$BK36/12))</f>
        <v>0</v>
      </c>
      <c r="AA36" s="597" t="n">
        <f aca="false">IF(ISBLANK($D11),($I11*AA$19),((1+$D11)*$BK36/12))</f>
        <v>0</v>
      </c>
      <c r="AB36" s="597" t="n">
        <f aca="false">IF(ISBLANK($D11),($I11*AB$19),((1+$D11)*$BK36/12))</f>
        <v>0</v>
      </c>
      <c r="AC36" s="597" t="n">
        <f aca="false">IF(ISBLANK($D11),($I11*AC$19),((1+$D11)*$BK36/12))</f>
        <v>0</v>
      </c>
      <c r="AD36" s="597" t="n">
        <f aca="false">IF(ISBLANK($D11),($I11*AD$19),((1+$D11)*$BK36/12))</f>
        <v>0</v>
      </c>
      <c r="AE36" s="597" t="n">
        <f aca="false">IF(ISBLANK($D11),($I11*AE$19),((1+$D11)*$BK36/12))</f>
        <v>0</v>
      </c>
      <c r="AF36" s="597" t="n">
        <f aca="false">IF(ISBLANK($D11),($I11*AF$19),((1+$D11)*$BK36/12))</f>
        <v>0</v>
      </c>
      <c r="AG36" s="597" t="n">
        <f aca="false">IF(ISBLANK($D11),($I11*AG$19),((1+$D11)*$BK36/12))</f>
        <v>0</v>
      </c>
      <c r="AH36" s="597" t="n">
        <f aca="false">IF(ISBLANK($D11),($I11*AH$19),((1+$D11)*$BK36/12))</f>
        <v>0</v>
      </c>
      <c r="AI36" s="597" t="n">
        <f aca="false">IF(ISBLANK($D11),($I11*AI$19),((1+$D11)*$BK36/12))</f>
        <v>0</v>
      </c>
      <c r="AJ36" s="597" t="n">
        <f aca="false">IF(ISBLANK($D11),($I11*AJ$19),((1+$D11)*$BK36/12))</f>
        <v>0</v>
      </c>
      <c r="AK36" s="598" t="n">
        <f aca="false">IF(ISBLANK($D11),($I11*AK$19),((1+$D11)*$BK36/12))</f>
        <v>0</v>
      </c>
      <c r="AL36" s="599" t="n">
        <f aca="false">IF(ISBLANK($E11),($J11*AL$19),((1+$E11)*$BL36/12))</f>
        <v>0</v>
      </c>
      <c r="AM36" s="600" t="n">
        <f aca="false">IF(ISBLANK($E11),($J11*AM$19),((1+$E11)*$BL36/12))</f>
        <v>0</v>
      </c>
      <c r="AN36" s="600" t="n">
        <f aca="false">IF(ISBLANK($E11),($J11*AN$19),((1+$E11)*$BL36/12))</f>
        <v>0</v>
      </c>
      <c r="AO36" s="600" t="n">
        <f aca="false">IF(ISBLANK($E11),($J11*AO$19),((1+$E11)*$BL36/12))</f>
        <v>0</v>
      </c>
      <c r="AP36" s="600" t="n">
        <f aca="false">IF(ISBLANK($E11),($J11*AP$19),((1+$E11)*$BL36/12))</f>
        <v>0</v>
      </c>
      <c r="AQ36" s="600" t="n">
        <f aca="false">IF(ISBLANK($E11),($J11*AQ$19),((1+$E11)*$BL36/12))</f>
        <v>0</v>
      </c>
      <c r="AR36" s="600" t="n">
        <f aca="false">IF(ISBLANK($E11),($J11*AR$19),((1+$E11)*$BL36/12))</f>
        <v>0</v>
      </c>
      <c r="AS36" s="600" t="n">
        <f aca="false">IF(ISBLANK($E11),($J11*AS$19),((1+$E11)*$BL36/12))</f>
        <v>0</v>
      </c>
      <c r="AT36" s="600" t="n">
        <f aca="false">IF(ISBLANK($E11),($J11*AT$19),((1+$E11)*$BL36/12))</f>
        <v>0</v>
      </c>
      <c r="AU36" s="600" t="n">
        <f aca="false">IF(ISBLANK($E11),($J11*AU$19),((1+$E11)*$BL36/12))</f>
        <v>0</v>
      </c>
      <c r="AV36" s="600" t="n">
        <f aca="false">IF(ISBLANK($E11),($J11*AV$19),((1+$E11)*$BL36/12))</f>
        <v>0</v>
      </c>
      <c r="AW36" s="601" t="n">
        <f aca="false">IF(ISBLANK($E11),($J11*AW$19),((1+$E11)*$BL36/12))</f>
        <v>0</v>
      </c>
      <c r="AX36" s="602" t="n">
        <f aca="false">IF(ISBLANK($F11),($K11*AX$19),((1+$F11)*$BM36/12))</f>
        <v>0</v>
      </c>
      <c r="AY36" s="603" t="n">
        <f aca="false">IF(ISBLANK($F11),($K11*AY$19),((1+$F11)*$BM36/12))</f>
        <v>0</v>
      </c>
      <c r="AZ36" s="603" t="n">
        <f aca="false">IF(ISBLANK($F11),($K11*AZ$19),((1+$F11)*$BM36/12))</f>
        <v>0</v>
      </c>
      <c r="BA36" s="603" t="n">
        <f aca="false">IF(ISBLANK($F11),($K11*BA$19),((1+$F11)*$BM36/12))</f>
        <v>0</v>
      </c>
      <c r="BB36" s="603" t="n">
        <f aca="false">IF(ISBLANK($F11),($K11*BB$19),((1+$F11)*$BM36/12))</f>
        <v>0</v>
      </c>
      <c r="BC36" s="603" t="n">
        <f aca="false">IF(ISBLANK($F11),($K11*BC$19),((1+$F11)*$BM36/12))</f>
        <v>0</v>
      </c>
      <c r="BD36" s="603" t="n">
        <f aca="false">IF(ISBLANK($F11),($K11*BD$19),((1+$F11)*$BM36/12))</f>
        <v>0</v>
      </c>
      <c r="BE36" s="603" t="n">
        <f aca="false">IF(ISBLANK($F11),($K11*BE$19),((1+$F11)*$BM36/12))</f>
        <v>0</v>
      </c>
      <c r="BF36" s="603" t="n">
        <f aca="false">IF(ISBLANK($F11),($K11*BF$19),((1+$F11)*$BM36/12))</f>
        <v>0</v>
      </c>
      <c r="BG36" s="603" t="n">
        <f aca="false">IF(ISBLANK($F11),($K11*BG$19),((1+$F11)*$BM36/12))</f>
        <v>0</v>
      </c>
      <c r="BH36" s="603" t="n">
        <f aca="false">IF(ISBLANK($F11),($K11*BH$19),((1+$F11)*$BM36/12))</f>
        <v>0</v>
      </c>
      <c r="BI36" s="604" t="n">
        <f aca="false">IF(ISBLANK($F11),($K11*BI$19),((1+$F11)*$BM36/12))</f>
        <v>0</v>
      </c>
      <c r="BJ36" s="605" t="n">
        <f aca="false">SUM(B36:M36)</f>
        <v>0</v>
      </c>
      <c r="BK36" s="605" t="n">
        <f aca="false">SUM(N36:Y36)</f>
        <v>0</v>
      </c>
      <c r="BL36" s="605" t="n">
        <f aca="false">SUM(Z36:AK36)</f>
        <v>0</v>
      </c>
      <c r="BM36" s="605" t="n">
        <f aca="false">SUM(AL36:AW36)</f>
        <v>0</v>
      </c>
      <c r="BN36" s="605" t="n">
        <f aca="false">SUM(AX36:BI36)</f>
        <v>0</v>
      </c>
      <c r="BO36" s="593" t="str">
        <f aca="false">IF(BO11="","",BO11)</f>
        <v/>
      </c>
      <c r="BS36" s="529"/>
    </row>
    <row r="37" s="530" customFormat="true" ht="10.5" hidden="false" customHeight="true" outlineLevel="0" collapsed="false">
      <c r="A37" s="593" t="str">
        <f aca="false">IF(A12="","",A12)</f>
        <v/>
      </c>
      <c r="B37" s="606" t="n">
        <f aca="false">IF($B12&gt;0,$B12,($G12*B$19))</f>
        <v>0</v>
      </c>
      <c r="C37" s="536" t="n">
        <f aca="false">IF($B12&gt;0,$B12,($G12*C$19))</f>
        <v>0</v>
      </c>
      <c r="D37" s="536" t="n">
        <f aca="false">IF($B12&gt;0,$B12,($G12*D$19))</f>
        <v>0</v>
      </c>
      <c r="E37" s="536" t="n">
        <f aca="false">IF($B12&gt;0,$B12,($G12*E$19))</f>
        <v>0</v>
      </c>
      <c r="F37" s="536" t="n">
        <f aca="false">IF($B12&gt;0,$B12,($G12*F$19))</f>
        <v>0</v>
      </c>
      <c r="G37" s="536" t="n">
        <f aca="false">IF($B12&gt;0,$B12,($G12*G$19))</f>
        <v>0</v>
      </c>
      <c r="H37" s="536" t="n">
        <f aca="false">IF($B12&gt;0,$B12,($G12*H$19))</f>
        <v>0</v>
      </c>
      <c r="I37" s="536" t="n">
        <f aca="false">IF($B12&gt;0,$B12,($G12*I$19))</f>
        <v>0</v>
      </c>
      <c r="J37" s="536" t="n">
        <f aca="false">IF($B12&gt;0,$B12,($G12*J$19))</f>
        <v>0</v>
      </c>
      <c r="K37" s="536" t="n">
        <f aca="false">IF($B12&gt;0,$B12,($G12*K$19))</f>
        <v>0</v>
      </c>
      <c r="L37" s="536" t="n">
        <f aca="false">IF($B12&gt;0,$B12,($G12*L$19))</f>
        <v>0</v>
      </c>
      <c r="M37" s="540" t="n">
        <f aca="false">IF($B12&gt;0,$B12,($G12*M$19))</f>
        <v>0</v>
      </c>
      <c r="N37" s="594" t="n">
        <f aca="false">IF(ISBLANK($C12),(($H12*N$19)),((1+$C12)*$BJ37/12))</f>
        <v>0</v>
      </c>
      <c r="O37" s="594" t="n">
        <f aca="false">IF(ISBLANK($C12),(($H12*O$19)),((1+$C12)*$BJ37/12))</f>
        <v>0</v>
      </c>
      <c r="P37" s="594" t="n">
        <f aca="false">IF(ISBLANK($C12),(($H12*P$19)),((1+$C12)*$BJ37/12))</f>
        <v>0</v>
      </c>
      <c r="Q37" s="594" t="n">
        <f aca="false">IF(ISBLANK($C12),(($H12*Q$19)),((1+$C12)*$BJ37/12))</f>
        <v>0</v>
      </c>
      <c r="R37" s="594" t="n">
        <f aca="false">IF(ISBLANK($C12),(($H12*R$19)),((1+$C12)*$BJ37/12))</f>
        <v>0</v>
      </c>
      <c r="S37" s="594" t="n">
        <f aca="false">IF(ISBLANK($C12),(($H12*S$19)),((1+$C12)*$BJ37/12))</f>
        <v>0</v>
      </c>
      <c r="T37" s="594" t="n">
        <f aca="false">IF(ISBLANK($C12),(($H12*T$19)),((1+$C12)*$BJ37/12))</f>
        <v>0</v>
      </c>
      <c r="U37" s="594" t="n">
        <f aca="false">IF(ISBLANK($C12),(($H12*U$19)),((1+$C12)*$BJ37/12))</f>
        <v>0</v>
      </c>
      <c r="V37" s="594" t="n">
        <f aca="false">IF(ISBLANK($C12),(($H12*V$19)),((1+$C12)*$BJ37/12))</f>
        <v>0</v>
      </c>
      <c r="W37" s="594" t="n">
        <f aca="false">IF(ISBLANK($C12),(($H12*W$19)),((1+$C12)*$BJ37/12))</f>
        <v>0</v>
      </c>
      <c r="X37" s="594" t="n">
        <f aca="false">IF(ISBLANK($C12),(($H12*X$19)),((1+$C12)*$BJ37/12))</f>
        <v>0</v>
      </c>
      <c r="Y37" s="595" t="n">
        <f aca="false">IF(ISBLANK($C12),(($H12*Y$19)),((1+$C12)*$BJ37/12))</f>
        <v>0</v>
      </c>
      <c r="Z37" s="596" t="n">
        <f aca="false">IF(ISBLANK($D12),($I12*Z$19),((1+$D12)*$BK37/12))</f>
        <v>0</v>
      </c>
      <c r="AA37" s="597" t="n">
        <f aca="false">IF(ISBLANK($D12),($I12*AA$19),((1+$D12)*$BK37/12))</f>
        <v>0</v>
      </c>
      <c r="AB37" s="597" t="n">
        <f aca="false">IF(ISBLANK($D12),($I12*AB$19),((1+$D12)*$BK37/12))</f>
        <v>0</v>
      </c>
      <c r="AC37" s="597" t="n">
        <f aca="false">IF(ISBLANK($D12),($I12*AC$19),((1+$D12)*$BK37/12))</f>
        <v>0</v>
      </c>
      <c r="AD37" s="597" t="n">
        <f aca="false">IF(ISBLANK($D12),($I12*AD$19),((1+$D12)*$BK37/12))</f>
        <v>0</v>
      </c>
      <c r="AE37" s="597" t="n">
        <f aca="false">IF(ISBLANK($D12),($I12*AE$19),((1+$D12)*$BK37/12))</f>
        <v>0</v>
      </c>
      <c r="AF37" s="597" t="n">
        <f aca="false">IF(ISBLANK($D12),($I12*AF$19),((1+$D12)*$BK37/12))</f>
        <v>0</v>
      </c>
      <c r="AG37" s="597" t="n">
        <f aca="false">IF(ISBLANK($D12),($I12*AG$19),((1+$D12)*$BK37/12))</f>
        <v>0</v>
      </c>
      <c r="AH37" s="597" t="n">
        <f aca="false">IF(ISBLANK($D12),($I12*AH$19),((1+$D12)*$BK37/12))</f>
        <v>0</v>
      </c>
      <c r="AI37" s="597" t="n">
        <f aca="false">IF(ISBLANK($D12),($I12*AI$19),((1+$D12)*$BK37/12))</f>
        <v>0</v>
      </c>
      <c r="AJ37" s="597" t="n">
        <f aca="false">IF(ISBLANK($D12),($I12*AJ$19),((1+$D12)*$BK37/12))</f>
        <v>0</v>
      </c>
      <c r="AK37" s="598" t="n">
        <f aca="false">IF(ISBLANK($D12),($I12*AK$19),((1+$D12)*$BK37/12))</f>
        <v>0</v>
      </c>
      <c r="AL37" s="599" t="n">
        <f aca="false">IF(ISBLANK($E12),($J12*AL$19),((1+$E12)*$BL37/12))</f>
        <v>0</v>
      </c>
      <c r="AM37" s="600" t="n">
        <f aca="false">IF(ISBLANK($E12),($J12*AM$19),((1+$E12)*$BL37/12))</f>
        <v>0</v>
      </c>
      <c r="AN37" s="600" t="n">
        <f aca="false">IF(ISBLANK($E12),($J12*AN$19),((1+$E12)*$BL37/12))</f>
        <v>0</v>
      </c>
      <c r="AO37" s="600" t="n">
        <f aca="false">IF(ISBLANK($E12),($J12*AO$19),((1+$E12)*$BL37/12))</f>
        <v>0</v>
      </c>
      <c r="AP37" s="600" t="n">
        <f aca="false">IF(ISBLANK($E12),($J12*AP$19),((1+$E12)*$BL37/12))</f>
        <v>0</v>
      </c>
      <c r="AQ37" s="600" t="n">
        <f aca="false">IF(ISBLANK($E12),($J12*AQ$19),((1+$E12)*$BL37/12))</f>
        <v>0</v>
      </c>
      <c r="AR37" s="600" t="n">
        <f aca="false">IF(ISBLANK($E12),($J12*AR$19),((1+$E12)*$BL37/12))</f>
        <v>0</v>
      </c>
      <c r="AS37" s="600" t="n">
        <f aca="false">IF(ISBLANK($E12),($J12*AS$19),((1+$E12)*$BL37/12))</f>
        <v>0</v>
      </c>
      <c r="AT37" s="600" t="n">
        <f aca="false">IF(ISBLANK($E12),($J12*AT$19),((1+$E12)*$BL37/12))</f>
        <v>0</v>
      </c>
      <c r="AU37" s="600" t="n">
        <f aca="false">IF(ISBLANK($E12),($J12*AU$19),((1+$E12)*$BL37/12))</f>
        <v>0</v>
      </c>
      <c r="AV37" s="600" t="n">
        <f aca="false">IF(ISBLANK($E12),($J12*AV$19),((1+$E12)*$BL37/12))</f>
        <v>0</v>
      </c>
      <c r="AW37" s="601" t="n">
        <f aca="false">IF(ISBLANK($E12),($J12*AW$19),((1+$E12)*$BL37/12))</f>
        <v>0</v>
      </c>
      <c r="AX37" s="602" t="n">
        <f aca="false">IF(ISBLANK($F12),($K12*AX$19),((1+$F12)*$BM37/12))</f>
        <v>0</v>
      </c>
      <c r="AY37" s="603" t="n">
        <f aca="false">IF(ISBLANK($F12),($K12*AY$19),((1+$F12)*$BM37/12))</f>
        <v>0</v>
      </c>
      <c r="AZ37" s="603" t="n">
        <f aca="false">IF(ISBLANK($F12),($K12*AZ$19),((1+$F12)*$BM37/12))</f>
        <v>0</v>
      </c>
      <c r="BA37" s="603" t="n">
        <f aca="false">IF(ISBLANK($F12),($K12*BA$19),((1+$F12)*$BM37/12))</f>
        <v>0</v>
      </c>
      <c r="BB37" s="603" t="n">
        <f aca="false">IF(ISBLANK($F12),($K12*BB$19),((1+$F12)*$BM37/12))</f>
        <v>0</v>
      </c>
      <c r="BC37" s="603" t="n">
        <f aca="false">IF(ISBLANK($F12),($K12*BC$19),((1+$F12)*$BM37/12))</f>
        <v>0</v>
      </c>
      <c r="BD37" s="603" t="n">
        <f aca="false">IF(ISBLANK($F12),($K12*BD$19),((1+$F12)*$BM37/12))</f>
        <v>0</v>
      </c>
      <c r="BE37" s="603" t="n">
        <f aca="false">IF(ISBLANK($F12),($K12*BE$19),((1+$F12)*$BM37/12))</f>
        <v>0</v>
      </c>
      <c r="BF37" s="603" t="n">
        <f aca="false">IF(ISBLANK($F12),($K12*BF$19),((1+$F12)*$BM37/12))</f>
        <v>0</v>
      </c>
      <c r="BG37" s="603" t="n">
        <f aca="false">IF(ISBLANK($F12),($K12*BG$19),((1+$F12)*$BM37/12))</f>
        <v>0</v>
      </c>
      <c r="BH37" s="603" t="n">
        <f aca="false">IF(ISBLANK($F12),($K12*BH$19),((1+$F12)*$BM37/12))</f>
        <v>0</v>
      </c>
      <c r="BI37" s="604" t="n">
        <f aca="false">IF(ISBLANK($F12),($K12*BI$19),((1+$F12)*$BM37/12))</f>
        <v>0</v>
      </c>
      <c r="BJ37" s="605" t="n">
        <f aca="false">SUM(B37:M37)</f>
        <v>0</v>
      </c>
      <c r="BK37" s="605" t="n">
        <f aca="false">SUM(N37:Y37)</f>
        <v>0</v>
      </c>
      <c r="BL37" s="605" t="n">
        <f aca="false">SUM(Z37:AK37)</f>
        <v>0</v>
      </c>
      <c r="BM37" s="605" t="n">
        <f aca="false">SUM(AL37:AW37)</f>
        <v>0</v>
      </c>
      <c r="BN37" s="605" t="n">
        <f aca="false">SUM(AX37:BI37)</f>
        <v>0</v>
      </c>
      <c r="BO37" s="593" t="str">
        <f aca="false">IF(BO12="","",BO12)</f>
        <v/>
      </c>
      <c r="BS37" s="529"/>
    </row>
    <row r="38" s="530" customFormat="true" ht="10.5" hidden="false" customHeight="true" outlineLevel="0" collapsed="false">
      <c r="A38" s="593" t="s">
        <v>1730</v>
      </c>
      <c r="B38" s="606" t="n">
        <f aca="false">('Balance Sheet'!B10)/($B$14*12)</f>
        <v>0</v>
      </c>
      <c r="C38" s="536" t="n">
        <f aca="false">('Balance Sheet'!C10)/($B$14*12)</f>
        <v>0</v>
      </c>
      <c r="D38" s="536" t="n">
        <f aca="false">('Balance Sheet'!D10)/($B$14*12)</f>
        <v>0</v>
      </c>
      <c r="E38" s="536" t="n">
        <f aca="false">('Balance Sheet'!E10)/($B$14*12)</f>
        <v>0</v>
      </c>
      <c r="F38" s="536" t="n">
        <f aca="false">('Balance Sheet'!F10)/($B$14*12)</f>
        <v>0</v>
      </c>
      <c r="G38" s="536" t="n">
        <f aca="false">('Balance Sheet'!G10)/($B$14*12)</f>
        <v>0</v>
      </c>
      <c r="H38" s="536" t="n">
        <f aca="false">('Balance Sheet'!H10)/($B$14*12)</f>
        <v>42788.5</v>
      </c>
      <c r="I38" s="536" t="n">
        <f aca="false">('Balance Sheet'!I10)/($B$14*12)</f>
        <v>72468.455</v>
      </c>
      <c r="J38" s="536" t="n">
        <f aca="false">('Balance Sheet'!J10)/($B$14*12)</f>
        <v>96364.48</v>
      </c>
      <c r="K38" s="536" t="n">
        <f aca="false">('Balance Sheet'!K10)/($B$14*12)</f>
        <v>122049.945</v>
      </c>
      <c r="L38" s="536" t="n">
        <f aca="false">('Balance Sheet'!L10)/($B$14*12)</f>
        <v>142361.49</v>
      </c>
      <c r="M38" s="540" t="n">
        <f aca="false">('Balance Sheet'!M10)/($B$14*12)</f>
        <v>168046.955</v>
      </c>
      <c r="N38" s="594" t="n">
        <f aca="false">('Balance Sheet'!N10)/($B$14*12)</f>
        <v>187748.5</v>
      </c>
      <c r="O38" s="594" t="n">
        <f aca="false">('Balance Sheet'!O10)/($B$14*12)</f>
        <v>191631.96</v>
      </c>
      <c r="P38" s="594" t="n">
        <f aca="false">('Balance Sheet'!P10)/($B$14*12)</f>
        <v>195515.42</v>
      </c>
      <c r="Q38" s="594" t="n">
        <f aca="false">('Balance Sheet'!Q10)/($B$14*12)</f>
        <v>195515.42</v>
      </c>
      <c r="R38" s="594" t="n">
        <f aca="false">('Balance Sheet'!R10)/($B$14*12)</f>
        <v>195515.42</v>
      </c>
      <c r="S38" s="594" t="n">
        <f aca="false">('Balance Sheet'!S10)/($B$14*12)</f>
        <v>195515.42</v>
      </c>
      <c r="T38" s="594" t="n">
        <f aca="false">('Balance Sheet'!T10)/($B$14*12)</f>
        <v>195515.42</v>
      </c>
      <c r="U38" s="594" t="n">
        <f aca="false">('Balance Sheet'!U10)/($B$14*12)</f>
        <v>195515.42</v>
      </c>
      <c r="V38" s="594" t="n">
        <f aca="false">('Balance Sheet'!V10)/($B$14*12)</f>
        <v>195515.42</v>
      </c>
      <c r="W38" s="594" t="n">
        <f aca="false">('Balance Sheet'!W10)/($B$14*12)</f>
        <v>195515.42</v>
      </c>
      <c r="X38" s="594" t="n">
        <f aca="false">('Balance Sheet'!X10)/($B$14*12)</f>
        <v>195515.42</v>
      </c>
      <c r="Y38" s="595" t="n">
        <f aca="false">('Balance Sheet'!Y10)/($B$14*12)</f>
        <v>195515.42</v>
      </c>
      <c r="Z38" s="596" t="n">
        <f aca="false">('Balance Sheet'!Z10)/($B$14*12)</f>
        <v>195515.42</v>
      </c>
      <c r="AA38" s="597" t="n">
        <f aca="false">('Balance Sheet'!AA10)/($B$14*12)</f>
        <v>195515.42</v>
      </c>
      <c r="AB38" s="597" t="n">
        <f aca="false">('Balance Sheet'!AB10)/($B$14*12)</f>
        <v>195515.42</v>
      </c>
      <c r="AC38" s="597" t="n">
        <f aca="false">('Balance Sheet'!AC10)/($B$14*12)</f>
        <v>195515.42</v>
      </c>
      <c r="AD38" s="597" t="n">
        <f aca="false">('Balance Sheet'!AD10)/($B$14*12)</f>
        <v>195515.42</v>
      </c>
      <c r="AE38" s="597" t="n">
        <f aca="false">('Balance Sheet'!AE10)/($B$14*12)</f>
        <v>195515.42</v>
      </c>
      <c r="AF38" s="597" t="n">
        <f aca="false">('Balance Sheet'!AF10)/($B$14*12)</f>
        <v>195515.42</v>
      </c>
      <c r="AG38" s="597" t="n">
        <f aca="false">('Balance Sheet'!AG10)/($B$14*12)</f>
        <v>195515.42</v>
      </c>
      <c r="AH38" s="597" t="n">
        <f aca="false">('Balance Sheet'!AH10)/($B$14*12)</f>
        <v>195515.42</v>
      </c>
      <c r="AI38" s="597" t="n">
        <f aca="false">('Balance Sheet'!AI10)/($B$14*12)</f>
        <v>195515.42</v>
      </c>
      <c r="AJ38" s="597" t="n">
        <f aca="false">('Balance Sheet'!AJ10)/($B$14*12)</f>
        <v>195515.42</v>
      </c>
      <c r="AK38" s="598" t="n">
        <f aca="false">('Balance Sheet'!AK10)/($B$14*12)</f>
        <v>195515.42</v>
      </c>
      <c r="AL38" s="599" t="n">
        <f aca="false">('Balance Sheet'!AL10)/($B$14*12)</f>
        <v>195515.42</v>
      </c>
      <c r="AM38" s="600" t="n">
        <f aca="false">('Balance Sheet'!AM10)/($B$14*12)</f>
        <v>195515.42</v>
      </c>
      <c r="AN38" s="600" t="n">
        <f aca="false">('Balance Sheet'!AN10)/($B$14*12)</f>
        <v>195515.42</v>
      </c>
      <c r="AO38" s="600" t="n">
        <f aca="false">('Balance Sheet'!AO10)/($B$14*12)</f>
        <v>195515.42</v>
      </c>
      <c r="AP38" s="600" t="n">
        <f aca="false">('Balance Sheet'!AP10)/($B$14*12)</f>
        <v>195515.42</v>
      </c>
      <c r="AQ38" s="600" t="n">
        <f aca="false">('Balance Sheet'!AQ10)/($B$14*12)</f>
        <v>195515.42</v>
      </c>
      <c r="AR38" s="600" t="n">
        <f aca="false">('Balance Sheet'!AR10)/($B$14*12)</f>
        <v>195515.42</v>
      </c>
      <c r="AS38" s="600" t="n">
        <f aca="false">('Balance Sheet'!AS10)/($B$14*12)</f>
        <v>195515.42</v>
      </c>
      <c r="AT38" s="600" t="n">
        <f aca="false">('Balance Sheet'!AT10)/($B$14*12)</f>
        <v>195515.42</v>
      </c>
      <c r="AU38" s="600" t="n">
        <f aca="false">('Balance Sheet'!AU10)/($B$14*12)</f>
        <v>195515.42</v>
      </c>
      <c r="AV38" s="600" t="n">
        <f aca="false">('Balance Sheet'!AV10)/($B$14*12)</f>
        <v>195515.42</v>
      </c>
      <c r="AW38" s="601" t="n">
        <f aca="false">('Balance Sheet'!AW10)/($B$14*12)</f>
        <v>195515.42</v>
      </c>
      <c r="AX38" s="602" t="n">
        <f aca="false">('Balance Sheet'!AX10)/($B$14*12)</f>
        <v>195515.42</v>
      </c>
      <c r="AY38" s="603" t="n">
        <f aca="false">('Balance Sheet'!AY10)/($B$14*12)</f>
        <v>195515.42</v>
      </c>
      <c r="AZ38" s="603" t="n">
        <f aca="false">('Balance Sheet'!AZ10)/($B$14*12)</f>
        <v>195515.42</v>
      </c>
      <c r="BA38" s="603" t="n">
        <f aca="false">('Balance Sheet'!BA10)/($B$14*12)</f>
        <v>195515.42</v>
      </c>
      <c r="BB38" s="603" t="n">
        <f aca="false">('Balance Sheet'!BB10)/($B$14*12)</f>
        <v>195515.42</v>
      </c>
      <c r="BC38" s="603" t="n">
        <f aca="false">('Balance Sheet'!BC10)/($B$14*12)</f>
        <v>195515.42</v>
      </c>
      <c r="BD38" s="603" t="n">
        <f aca="false">('Balance Sheet'!BD10)/($B$14*12)</f>
        <v>195515.42</v>
      </c>
      <c r="BE38" s="603" t="n">
        <f aca="false">('Balance Sheet'!BE10)/($B$14*12)</f>
        <v>195515.42</v>
      </c>
      <c r="BF38" s="603" t="n">
        <f aca="false">('Balance Sheet'!BF10)/($B$14*12)</f>
        <v>195515.42</v>
      </c>
      <c r="BG38" s="603" t="n">
        <f aca="false">('Balance Sheet'!BG10)/($B$14*12)</f>
        <v>195515.42</v>
      </c>
      <c r="BH38" s="603" t="n">
        <f aca="false">('Balance Sheet'!BH10)/($B$14*12)</f>
        <v>195515.42</v>
      </c>
      <c r="BI38" s="604" t="n">
        <f aca="false">('Balance Sheet'!BI10)/($B$14*12)</f>
        <v>195515.42</v>
      </c>
      <c r="BJ38" s="605" t="n">
        <f aca="false">SUM(B38:M38)</f>
        <v>644079.825</v>
      </c>
      <c r="BK38" s="605" t="n">
        <f aca="false">SUM(N38:Y38)</f>
        <v>2334534.66</v>
      </c>
      <c r="BL38" s="605" t="n">
        <f aca="false">SUM(Z38:AK38)</f>
        <v>2346185.04</v>
      </c>
      <c r="BM38" s="605" t="n">
        <f aca="false">SUM(AL38:AW38)</f>
        <v>2346185.04</v>
      </c>
      <c r="BN38" s="605" t="n">
        <f aca="false">SUM(AX38:BI38)</f>
        <v>2346185.04</v>
      </c>
      <c r="BO38" s="593" t="s">
        <v>1730</v>
      </c>
      <c r="BS38" s="529"/>
    </row>
    <row r="39" s="530" customFormat="true" ht="10.5" hidden="false" customHeight="true" outlineLevel="0" collapsed="false">
      <c r="A39" s="593" t="str">
        <f aca="false">A15</f>
        <v>Payroll Taxes &amp; Benefits</v>
      </c>
      <c r="B39" s="606" t="n">
        <f aca="false">Personnel!D41*$B$15</f>
        <v>34139.3251333333</v>
      </c>
      <c r="C39" s="536" t="n">
        <f aca="false">Personnel!E41*$B$15</f>
        <v>51195.3251333333</v>
      </c>
      <c r="D39" s="536" t="n">
        <f aca="false">Personnel!F41*$B$15</f>
        <v>59723.3251333333</v>
      </c>
      <c r="E39" s="536" t="n">
        <f aca="false">Personnel!G41*$B$15</f>
        <v>59723.3251333333</v>
      </c>
      <c r="F39" s="536" t="n">
        <f aca="false">Personnel!H41*$B$15</f>
        <v>59723.3251333333</v>
      </c>
      <c r="G39" s="536" t="n">
        <f aca="false">Personnel!I41*$B$15</f>
        <v>81043.3251333333</v>
      </c>
      <c r="H39" s="536" t="n">
        <f aca="false">Personnel!J41*$B$15</f>
        <v>123683.325133333</v>
      </c>
      <c r="I39" s="536" t="n">
        <f aca="false">Personnel!K41*$B$15</f>
        <v>145003.325133333</v>
      </c>
      <c r="J39" s="536" t="n">
        <f aca="false">Personnel!L41*$B$15</f>
        <v>145003.325133333</v>
      </c>
      <c r="K39" s="536" t="n">
        <f aca="false">Personnel!M41*$B$15</f>
        <v>145003.325133333</v>
      </c>
      <c r="L39" s="536" t="n">
        <f aca="false">Personnel!N41*$B$15</f>
        <v>145003.325133333</v>
      </c>
      <c r="M39" s="540" t="n">
        <f aca="false">Personnel!O41*$B$15</f>
        <v>145003.325133333</v>
      </c>
      <c r="N39" s="594" t="n">
        <f aca="false">Personnel!P41*$B$15</f>
        <v>218693.98278</v>
      </c>
      <c r="O39" s="594" t="n">
        <f aca="false">Personnel!Q41*$B$15</f>
        <v>267196.98278</v>
      </c>
      <c r="P39" s="594" t="n">
        <f aca="false">Personnel!R41*$B$15</f>
        <v>360471.98278</v>
      </c>
      <c r="Q39" s="594" t="n">
        <f aca="false">Personnel!S41*$B$15</f>
        <v>453746.98278</v>
      </c>
      <c r="R39" s="594" t="n">
        <f aca="false">Personnel!T41*$B$15</f>
        <v>547021.98278</v>
      </c>
      <c r="S39" s="594" t="n">
        <f aca="false">Personnel!U41*$B$15</f>
        <v>640296.98278</v>
      </c>
      <c r="T39" s="594" t="n">
        <f aca="false">Personnel!V41*$B$15</f>
        <v>733571.98278</v>
      </c>
      <c r="U39" s="594" t="n">
        <f aca="false">Personnel!W41*$B$15</f>
        <v>782074.98278</v>
      </c>
      <c r="V39" s="594" t="n">
        <f aca="false">Personnel!X41*$B$15</f>
        <v>782074.98278</v>
      </c>
      <c r="W39" s="594" t="n">
        <f aca="false">Personnel!Y41*$B$15</f>
        <v>782074.98278</v>
      </c>
      <c r="X39" s="594" t="n">
        <f aca="false">Personnel!Z41*$B$15</f>
        <v>782074.98278</v>
      </c>
      <c r="Y39" s="595" t="n">
        <f aca="false">Personnel!AA41*$B$15</f>
        <v>782074.98278</v>
      </c>
      <c r="Z39" s="596" t="n">
        <f aca="false">Personnel!AB41*$B$15</f>
        <v>840013.0978785</v>
      </c>
      <c r="AA39" s="597" t="n">
        <f aca="false">Personnel!AC41*$B$15</f>
        <v>840013.0978785</v>
      </c>
      <c r="AB39" s="597" t="n">
        <f aca="false">Personnel!AD41*$B$15</f>
        <v>840013.0978785</v>
      </c>
      <c r="AC39" s="597" t="n">
        <f aca="false">Personnel!AE41*$B$15</f>
        <v>840013.0978785</v>
      </c>
      <c r="AD39" s="597" t="n">
        <f aca="false">Personnel!AF41*$B$15</f>
        <v>840013.0978785</v>
      </c>
      <c r="AE39" s="597" t="n">
        <f aca="false">Personnel!AG41*$B$15</f>
        <v>840013.0978785</v>
      </c>
      <c r="AF39" s="597" t="n">
        <f aca="false">Personnel!AH41*$B$15</f>
        <v>840013.0978785</v>
      </c>
      <c r="AG39" s="597" t="n">
        <f aca="false">Personnel!AI41*$B$15</f>
        <v>840013.0978785</v>
      </c>
      <c r="AH39" s="597" t="n">
        <f aca="false">Personnel!AJ41*$B$15</f>
        <v>840013.0978785</v>
      </c>
      <c r="AI39" s="597" t="n">
        <f aca="false">Personnel!AK41*$B$15</f>
        <v>840013.0978785</v>
      </c>
      <c r="AJ39" s="597" t="n">
        <f aca="false">Personnel!AL41*$B$15</f>
        <v>840013.0978785</v>
      </c>
      <c r="AK39" s="598" t="n">
        <f aca="false">Personnel!AM41*$B$15</f>
        <v>840013.0978785</v>
      </c>
      <c r="AL39" s="599" t="n">
        <f aca="false">Personnel!AN41*$B$15</f>
        <v>882013.752772425</v>
      </c>
      <c r="AM39" s="600" t="n">
        <f aca="false">Personnel!AO41*$B$15</f>
        <v>882013.752772425</v>
      </c>
      <c r="AN39" s="600" t="n">
        <f aca="false">Personnel!AP41*$B$15</f>
        <v>882013.752772425</v>
      </c>
      <c r="AO39" s="600" t="n">
        <f aca="false">Personnel!AQ41*$B$15</f>
        <v>882013.752772425</v>
      </c>
      <c r="AP39" s="600" t="n">
        <f aca="false">Personnel!AR41*$B$15</f>
        <v>882013.752772425</v>
      </c>
      <c r="AQ39" s="600" t="n">
        <f aca="false">Personnel!AS41*$B$15</f>
        <v>882013.752772425</v>
      </c>
      <c r="AR39" s="600" t="n">
        <f aca="false">Personnel!AT41*$B$15</f>
        <v>882013.752772425</v>
      </c>
      <c r="AS39" s="600" t="n">
        <f aca="false">Personnel!AU41*$B$15</f>
        <v>882013.752772425</v>
      </c>
      <c r="AT39" s="600" t="n">
        <f aca="false">Personnel!AV41*$B$15</f>
        <v>882013.752772425</v>
      </c>
      <c r="AU39" s="600" t="n">
        <f aca="false">Personnel!AW41*$B$15</f>
        <v>882013.752772425</v>
      </c>
      <c r="AV39" s="600" t="n">
        <f aca="false">Personnel!AX41*$B$15</f>
        <v>882013.752772425</v>
      </c>
      <c r="AW39" s="601" t="n">
        <f aca="false">Personnel!AY41*$B$15</f>
        <v>882013.752772425</v>
      </c>
      <c r="AX39" s="602" t="n">
        <f aca="false">Personnel!AZ41*$B$15</f>
        <v>926114.440411046</v>
      </c>
      <c r="AY39" s="603" t="n">
        <f aca="false">Personnel!BA41*$B$15</f>
        <v>926114.440411046</v>
      </c>
      <c r="AZ39" s="603" t="n">
        <f aca="false">Personnel!BB41*$B$15</f>
        <v>926114.440411046</v>
      </c>
      <c r="BA39" s="603" t="n">
        <f aca="false">Personnel!BC41*$B$15</f>
        <v>926114.440411046</v>
      </c>
      <c r="BB39" s="603" t="n">
        <f aca="false">Personnel!BD41*$B$15</f>
        <v>926114.440411046</v>
      </c>
      <c r="BC39" s="603" t="n">
        <f aca="false">Personnel!BE41*$B$15</f>
        <v>926114.440411046</v>
      </c>
      <c r="BD39" s="603" t="n">
        <f aca="false">Personnel!BF41*$B$15</f>
        <v>926114.440411046</v>
      </c>
      <c r="BE39" s="603" t="n">
        <f aca="false">Personnel!BG41*$B$15</f>
        <v>926114.440411046</v>
      </c>
      <c r="BF39" s="603" t="n">
        <f aca="false">Personnel!BH41*$B$15</f>
        <v>926114.440411046</v>
      </c>
      <c r="BG39" s="603" t="n">
        <f aca="false">Personnel!BI41*$B$15</f>
        <v>926114.440411046</v>
      </c>
      <c r="BH39" s="603" t="n">
        <f aca="false">Personnel!BJ41*$B$15</f>
        <v>926114.440411046</v>
      </c>
      <c r="BI39" s="604" t="n">
        <f aca="false">Personnel!BK41*$B$15</f>
        <v>926114.440411046</v>
      </c>
      <c r="BJ39" s="605" t="n">
        <f aca="false">SUM(B39:M39)</f>
        <v>1194247.9016</v>
      </c>
      <c r="BK39" s="605" t="n">
        <f aca="false">SUM(N39:Y39)</f>
        <v>7131375.79336</v>
      </c>
      <c r="BL39" s="605" t="n">
        <f aca="false">SUM(Z39:AK39)</f>
        <v>10080157.174542</v>
      </c>
      <c r="BM39" s="605" t="n">
        <f aca="false">SUM(AL39:AW39)</f>
        <v>10584165.0332691</v>
      </c>
      <c r="BN39" s="605" t="n">
        <f aca="false">SUM(AX39:BI39)</f>
        <v>11113373.2849326</v>
      </c>
      <c r="BO39" s="593" t="s">
        <v>1724</v>
      </c>
      <c r="BS39" s="529"/>
    </row>
    <row r="40" s="530" customFormat="true" ht="10.5" hidden="false" customHeight="true" outlineLevel="0" collapsed="false">
      <c r="A40" s="593" t="str">
        <f aca="false">Personnel!A14</f>
        <v>Total Personnel</v>
      </c>
      <c r="B40" s="607" t="n">
        <f aca="false">Personnel!D31</f>
        <v>41666.6466666667</v>
      </c>
      <c r="C40" s="608" t="n">
        <f aca="false">Personnel!E31</f>
        <v>41666.6466666667</v>
      </c>
      <c r="D40" s="608" t="n">
        <f aca="false">Personnel!F31</f>
        <v>41666.6466666667</v>
      </c>
      <c r="E40" s="608" t="n">
        <f aca="false">Personnel!G31</f>
        <v>41666.6466666667</v>
      </c>
      <c r="F40" s="608" t="n">
        <f aca="false">Personnel!H31</f>
        <v>41666.6466666667</v>
      </c>
      <c r="G40" s="608" t="n">
        <f aca="false">Personnel!I31</f>
        <v>41666.6466666667</v>
      </c>
      <c r="H40" s="608" t="n">
        <f aca="false">Personnel!J31</f>
        <v>41666.6466666667</v>
      </c>
      <c r="I40" s="608" t="n">
        <f aca="false">Personnel!K31</f>
        <v>41666.6466666667</v>
      </c>
      <c r="J40" s="608" t="n">
        <f aca="false">Personnel!L31</f>
        <v>41666.6466666667</v>
      </c>
      <c r="K40" s="608" t="n">
        <f aca="false">Personnel!M31</f>
        <v>41666.6466666667</v>
      </c>
      <c r="L40" s="608" t="n">
        <f aca="false">Personnel!N31</f>
        <v>41666.6466666667</v>
      </c>
      <c r="M40" s="609" t="n">
        <f aca="false">Personnel!O31</f>
        <v>41666.6466666667</v>
      </c>
      <c r="N40" s="610" t="n">
        <f aca="false">Personnel!P31</f>
        <v>87499.958</v>
      </c>
      <c r="O40" s="610" t="n">
        <f aca="false">Personnel!Q31</f>
        <v>87499.958</v>
      </c>
      <c r="P40" s="610" t="n">
        <f aca="false">Personnel!R31</f>
        <v>87499.958</v>
      </c>
      <c r="Q40" s="610" t="n">
        <f aca="false">Personnel!S31</f>
        <v>87499.958</v>
      </c>
      <c r="R40" s="610" t="n">
        <f aca="false">Personnel!T31</f>
        <v>87499.958</v>
      </c>
      <c r="S40" s="610" t="n">
        <f aca="false">Personnel!U31</f>
        <v>87499.958</v>
      </c>
      <c r="T40" s="610" t="n">
        <f aca="false">Personnel!V31</f>
        <v>87499.958</v>
      </c>
      <c r="U40" s="610" t="n">
        <f aca="false">Personnel!W31</f>
        <v>87499.958</v>
      </c>
      <c r="V40" s="610" t="n">
        <f aca="false">Personnel!X31</f>
        <v>87499.958</v>
      </c>
      <c r="W40" s="610" t="n">
        <f aca="false">Personnel!Y31</f>
        <v>87499.958</v>
      </c>
      <c r="X40" s="610" t="n">
        <f aca="false">Personnel!Z31</f>
        <v>87499.958</v>
      </c>
      <c r="Y40" s="611" t="n">
        <f aca="false">Personnel!AA31</f>
        <v>87499.958</v>
      </c>
      <c r="Z40" s="612" t="n">
        <f aca="false">Personnel!AB31</f>
        <v>137812.43385</v>
      </c>
      <c r="AA40" s="613" t="n">
        <f aca="false">Personnel!AC31</f>
        <v>137812.43385</v>
      </c>
      <c r="AB40" s="613" t="n">
        <f aca="false">Personnel!AD31</f>
        <v>137812.43385</v>
      </c>
      <c r="AC40" s="613" t="n">
        <f aca="false">Personnel!AE31</f>
        <v>137812.43385</v>
      </c>
      <c r="AD40" s="613" t="n">
        <f aca="false">Personnel!AF31</f>
        <v>137812.43385</v>
      </c>
      <c r="AE40" s="613" t="n">
        <f aca="false">Personnel!AG31</f>
        <v>137812.43385</v>
      </c>
      <c r="AF40" s="613" t="n">
        <f aca="false">Personnel!AH31</f>
        <v>137812.43385</v>
      </c>
      <c r="AG40" s="613" t="n">
        <f aca="false">Personnel!AI31</f>
        <v>137812.43385</v>
      </c>
      <c r="AH40" s="613" t="n">
        <f aca="false">Personnel!AJ31</f>
        <v>137812.43385</v>
      </c>
      <c r="AI40" s="613" t="n">
        <f aca="false">Personnel!AK31</f>
        <v>137812.43385</v>
      </c>
      <c r="AJ40" s="613" t="n">
        <f aca="false">Personnel!AL31</f>
        <v>137812.43385</v>
      </c>
      <c r="AK40" s="614" t="n">
        <f aca="false">Personnel!AM31</f>
        <v>137812.43385</v>
      </c>
      <c r="AL40" s="615" t="n">
        <f aca="false">Personnel!AN31</f>
        <v>144703.0555425</v>
      </c>
      <c r="AM40" s="616" t="n">
        <f aca="false">Personnel!AO31</f>
        <v>144703.0555425</v>
      </c>
      <c r="AN40" s="616" t="n">
        <f aca="false">Personnel!AP31</f>
        <v>144703.0555425</v>
      </c>
      <c r="AO40" s="616" t="n">
        <f aca="false">Personnel!AQ31</f>
        <v>144703.0555425</v>
      </c>
      <c r="AP40" s="616" t="n">
        <f aca="false">Personnel!AR31</f>
        <v>144703.0555425</v>
      </c>
      <c r="AQ40" s="616" t="n">
        <f aca="false">Personnel!AS31</f>
        <v>144703.0555425</v>
      </c>
      <c r="AR40" s="616" t="n">
        <f aca="false">Personnel!AT31</f>
        <v>144703.0555425</v>
      </c>
      <c r="AS40" s="616" t="n">
        <f aca="false">Personnel!AU31</f>
        <v>144703.0555425</v>
      </c>
      <c r="AT40" s="616" t="n">
        <f aca="false">Personnel!AV31</f>
        <v>144703.0555425</v>
      </c>
      <c r="AU40" s="616" t="n">
        <f aca="false">Personnel!AW31</f>
        <v>144703.0555425</v>
      </c>
      <c r="AV40" s="616" t="n">
        <f aca="false">Personnel!AX31</f>
        <v>144703.0555425</v>
      </c>
      <c r="AW40" s="617" t="n">
        <f aca="false">Personnel!AY31</f>
        <v>144703.0555425</v>
      </c>
      <c r="AX40" s="618" t="n">
        <f aca="false">Personnel!AZ31</f>
        <v>151938.208319625</v>
      </c>
      <c r="AY40" s="619" t="n">
        <f aca="false">Personnel!BA31</f>
        <v>151938.208319625</v>
      </c>
      <c r="AZ40" s="619" t="n">
        <f aca="false">Personnel!BB31</f>
        <v>151938.208319625</v>
      </c>
      <c r="BA40" s="619" t="n">
        <f aca="false">Personnel!BC31</f>
        <v>151938.208319625</v>
      </c>
      <c r="BB40" s="619" t="n">
        <f aca="false">Personnel!BD31</f>
        <v>151938.208319625</v>
      </c>
      <c r="BC40" s="619" t="n">
        <f aca="false">Personnel!BE31</f>
        <v>151938.208319625</v>
      </c>
      <c r="BD40" s="619" t="n">
        <f aca="false">Personnel!BF31</f>
        <v>151938.208319625</v>
      </c>
      <c r="BE40" s="619" t="n">
        <f aca="false">Personnel!BG31</f>
        <v>151938.208319625</v>
      </c>
      <c r="BF40" s="619" t="n">
        <f aca="false">Personnel!BH31</f>
        <v>151938.208319625</v>
      </c>
      <c r="BG40" s="619" t="n">
        <f aca="false">Personnel!BI31</f>
        <v>151938.208319625</v>
      </c>
      <c r="BH40" s="619" t="n">
        <f aca="false">Personnel!BJ31</f>
        <v>151938.208319625</v>
      </c>
      <c r="BI40" s="620" t="n">
        <f aca="false">Personnel!BK31</f>
        <v>151938.208319625</v>
      </c>
      <c r="BJ40" s="605" t="n">
        <f aca="false">SUM(B40:M40)</f>
        <v>499999.76</v>
      </c>
      <c r="BK40" s="605" t="n">
        <f aca="false">SUM(N40:Y40)</f>
        <v>1049999.496</v>
      </c>
      <c r="BL40" s="605" t="n">
        <f aca="false">SUM(Z40:AK40)</f>
        <v>1653749.2062</v>
      </c>
      <c r="BM40" s="605" t="n">
        <f aca="false">SUM(AL40:AW40)</f>
        <v>1736436.66651</v>
      </c>
      <c r="BN40" s="605" t="n">
        <f aca="false">SUM(AX40:BI40)</f>
        <v>1823258.4998355</v>
      </c>
      <c r="BO40" s="593" t="s">
        <v>1701</v>
      </c>
      <c r="BS40" s="529"/>
    </row>
    <row r="41" s="628" customFormat="true" ht="10.5" hidden="false" customHeight="true" outlineLevel="0" collapsed="false">
      <c r="A41" s="585" t="s">
        <v>1731</v>
      </c>
      <c r="B41" s="621" t="n">
        <f aca="false">SUM(B28:B40)</f>
        <v>395805.9718</v>
      </c>
      <c r="C41" s="622" t="n">
        <f aca="false">SUM(C28:C40)</f>
        <v>412861.9718</v>
      </c>
      <c r="D41" s="622" t="n">
        <f aca="false">SUM(D28:D40)</f>
        <v>421481.6858</v>
      </c>
      <c r="E41" s="622" t="n">
        <f aca="false">SUM(E28:E40)</f>
        <v>434809.677886905</v>
      </c>
      <c r="F41" s="622" t="n">
        <f aca="false">SUM(F28:F40)</f>
        <v>448229.38397381</v>
      </c>
      <c r="G41" s="622" t="n">
        <f aca="false">SUM(G28:G40)</f>
        <v>496388.796147619</v>
      </c>
      <c r="H41" s="622" t="n">
        <f aca="false">SUM(H28:H40)</f>
        <v>608656.708321429</v>
      </c>
      <c r="I41" s="622" t="n">
        <f aca="false">SUM(I28:I40)</f>
        <v>686496.075495238</v>
      </c>
      <c r="J41" s="622" t="n">
        <f aca="false">SUM(J28:J40)</f>
        <v>737231.512669048</v>
      </c>
      <c r="K41" s="622" t="n">
        <f aca="false">SUM(K28:K40)</f>
        <v>789756.389842857</v>
      </c>
      <c r="L41" s="622" t="n">
        <f aca="false">SUM(L28:L40)</f>
        <v>836907.347016667</v>
      </c>
      <c r="M41" s="623" t="n">
        <f aca="false">SUM(M28:M40)</f>
        <v>889432.224190476</v>
      </c>
      <c r="N41" s="624" t="n">
        <f aca="false">SUM(N28:N40)</f>
        <v>1158254.81769214</v>
      </c>
      <c r="O41" s="624" t="n">
        <f aca="false">SUM(O28:O40)</f>
        <v>1247120.43068238</v>
      </c>
      <c r="P41" s="624" t="n">
        <f aca="false">SUM(P28:P40)</f>
        <v>1380758.04367262</v>
      </c>
      <c r="Q41" s="624" t="n">
        <f aca="false">SUM(Q28:Q40)</f>
        <v>1510512.19666286</v>
      </c>
      <c r="R41" s="624" t="n">
        <f aca="false">SUM(R28:R40)</f>
        <v>1640266.3496531</v>
      </c>
      <c r="S41" s="624" t="n">
        <f aca="false">SUM(S28:S40)</f>
        <v>1770020.50264333</v>
      </c>
      <c r="T41" s="624" t="n">
        <f aca="false">SUM(T28:T40)</f>
        <v>1899774.65563357</v>
      </c>
      <c r="U41" s="624" t="n">
        <f aca="false">SUM(U28:U40)</f>
        <v>1984756.80862381</v>
      </c>
      <c r="V41" s="624" t="n">
        <f aca="false">SUM(V28:V40)</f>
        <v>2021235.96161405</v>
      </c>
      <c r="W41" s="624" t="n">
        <f aca="false">SUM(W28:W40)</f>
        <v>2057715.11460429</v>
      </c>
      <c r="X41" s="624" t="n">
        <f aca="false">SUM(X28:X40)</f>
        <v>2094194.26759452</v>
      </c>
      <c r="Y41" s="625" t="n">
        <f aca="false">SUM(Y28:Y40)</f>
        <v>2130673.42058476</v>
      </c>
      <c r="Z41" s="626" t="n">
        <f aca="false">SUM(Z28:Z40)</f>
        <v>2918981.3386285</v>
      </c>
      <c r="AA41" s="624" t="n">
        <f aca="false">SUM(AA28:AA40)</f>
        <v>2918981.3386285</v>
      </c>
      <c r="AB41" s="624" t="n">
        <f aca="false">SUM(AB28:AB40)</f>
        <v>2918981.3386285</v>
      </c>
      <c r="AC41" s="624" t="n">
        <f aca="false">SUM(AC28:AC40)</f>
        <v>2918981.3386285</v>
      </c>
      <c r="AD41" s="624" t="n">
        <f aca="false">SUM(AD28:AD40)</f>
        <v>2918981.3386285</v>
      </c>
      <c r="AE41" s="624" t="n">
        <f aca="false">SUM(AE28:AE40)</f>
        <v>2918981.3386285</v>
      </c>
      <c r="AF41" s="624" t="n">
        <f aca="false">SUM(AF28:AF40)</f>
        <v>2918981.3386285</v>
      </c>
      <c r="AG41" s="624" t="n">
        <f aca="false">SUM(AG28:AG40)</f>
        <v>2918981.3386285</v>
      </c>
      <c r="AH41" s="624" t="n">
        <f aca="false">SUM(AH28:AH40)</f>
        <v>2918981.3386285</v>
      </c>
      <c r="AI41" s="624" t="n">
        <f aca="false">SUM(AI28:AI40)</f>
        <v>2918981.3386285</v>
      </c>
      <c r="AJ41" s="624" t="n">
        <f aca="false">SUM(AJ28:AJ40)</f>
        <v>2918981.3386285</v>
      </c>
      <c r="AK41" s="625" t="n">
        <f aca="false">SUM(AK28:AK40)</f>
        <v>2918981.3386285</v>
      </c>
      <c r="AL41" s="626" t="n">
        <f aca="false">SUM(AL28:AL40)</f>
        <v>3101582.64745659</v>
      </c>
      <c r="AM41" s="624" t="n">
        <f aca="false">SUM(AM28:AM40)</f>
        <v>3101582.64745659</v>
      </c>
      <c r="AN41" s="624" t="n">
        <f aca="false">SUM(AN28:AN40)</f>
        <v>3101582.64745659</v>
      </c>
      <c r="AO41" s="624" t="n">
        <f aca="false">SUM(AO28:AO40)</f>
        <v>3101582.64745659</v>
      </c>
      <c r="AP41" s="624" t="n">
        <f aca="false">SUM(AP28:AP40)</f>
        <v>3101582.64745659</v>
      </c>
      <c r="AQ41" s="624" t="n">
        <f aca="false">SUM(AQ28:AQ40)</f>
        <v>3101582.64745659</v>
      </c>
      <c r="AR41" s="624" t="n">
        <f aca="false">SUM(AR28:AR40)</f>
        <v>3101582.64745659</v>
      </c>
      <c r="AS41" s="624" t="n">
        <f aca="false">SUM(AS28:AS40)</f>
        <v>3101582.64745659</v>
      </c>
      <c r="AT41" s="624" t="n">
        <f aca="false">SUM(AT28:AT40)</f>
        <v>3101582.64745659</v>
      </c>
      <c r="AU41" s="624" t="n">
        <f aca="false">SUM(AU28:AU40)</f>
        <v>3101582.64745659</v>
      </c>
      <c r="AV41" s="624" t="n">
        <f aca="false">SUM(AV28:AV40)</f>
        <v>3101582.64745659</v>
      </c>
      <c r="AW41" s="625" t="n">
        <f aca="false">SUM(AW28:AW40)</f>
        <v>3101582.64745659</v>
      </c>
      <c r="AX41" s="626" t="n">
        <f aca="false">SUM(AX28:AX40)</f>
        <v>3287510.520114</v>
      </c>
      <c r="AY41" s="624" t="n">
        <f aca="false">SUM(AY28:AY40)</f>
        <v>3287510.520114</v>
      </c>
      <c r="AZ41" s="624" t="n">
        <f aca="false">SUM(AZ28:AZ40)</f>
        <v>3287510.520114</v>
      </c>
      <c r="BA41" s="624" t="n">
        <f aca="false">SUM(BA28:BA40)</f>
        <v>3287510.520114</v>
      </c>
      <c r="BB41" s="624" t="n">
        <f aca="false">SUM(BB28:BB40)</f>
        <v>3287510.520114</v>
      </c>
      <c r="BC41" s="624" t="n">
        <f aca="false">SUM(BC28:BC40)</f>
        <v>3287510.520114</v>
      </c>
      <c r="BD41" s="624" t="n">
        <f aca="false">SUM(BD28:BD40)</f>
        <v>3287510.520114</v>
      </c>
      <c r="BE41" s="624" t="n">
        <f aca="false">SUM(BE28:BE40)</f>
        <v>3287510.520114</v>
      </c>
      <c r="BF41" s="624" t="n">
        <f aca="false">SUM(BF28:BF40)</f>
        <v>3287510.520114</v>
      </c>
      <c r="BG41" s="624" t="n">
        <f aca="false">SUM(BG28:BG40)</f>
        <v>3287510.520114</v>
      </c>
      <c r="BH41" s="624" t="n">
        <f aca="false">SUM(BH28:BH40)</f>
        <v>3287510.520114</v>
      </c>
      <c r="BI41" s="625" t="n">
        <f aca="false">SUM(BI28:BI40)</f>
        <v>3287510.520114</v>
      </c>
      <c r="BJ41" s="627" t="n">
        <f aca="false">SUM(BJ28:BJ40)</f>
        <v>7158057.74494405</v>
      </c>
      <c r="BK41" s="627" t="n">
        <f aca="false">SUM(BK28:BK40)</f>
        <v>20895282.5696614</v>
      </c>
      <c r="BL41" s="627" t="n">
        <f aca="false">SUM(BL28:BL40)</f>
        <v>35027776.063542</v>
      </c>
      <c r="BM41" s="627" t="n">
        <f aca="false">SUM(BM28:BM40)</f>
        <v>37218991.7694791</v>
      </c>
      <c r="BN41" s="627" t="n">
        <f aca="false">SUM(BN28:BN40)</f>
        <v>39450126.2413681</v>
      </c>
      <c r="BO41" s="585" t="s">
        <v>1731</v>
      </c>
    </row>
    <row r="42" customFormat="false" ht="10.5" hidden="false" customHeight="true" outlineLevel="0" collapsed="false">
      <c r="A42" s="593" t="str">
        <f aca="false">IF('P&amp;L'!E14="y","Surplus Before Int. &amp; Tax","Profit Before Int. &amp; Tax")</f>
        <v>Profit Before Int. &amp; Tax</v>
      </c>
      <c r="B42" s="629" t="n">
        <f aca="false">B25-B41</f>
        <v>-395805.9718</v>
      </c>
      <c r="C42" s="629" t="n">
        <f aca="false">C25-C41</f>
        <v>-412861.9718</v>
      </c>
      <c r="D42" s="629" t="n">
        <f aca="false">D25-D41</f>
        <v>-421260.529631429</v>
      </c>
      <c r="E42" s="629" t="n">
        <f aca="false">E25-E41</f>
        <v>-384005.078357812</v>
      </c>
      <c r="F42" s="629" t="n">
        <f aca="false">F25-F41</f>
        <v>-346620.184915624</v>
      </c>
      <c r="G42" s="629" t="n">
        <f aca="false">G25-G41</f>
        <v>-293170.398031247</v>
      </c>
      <c r="H42" s="629" t="n">
        <f aca="false">H25-H41</f>
        <v>-303829.111146871</v>
      </c>
      <c r="I42" s="629" t="n">
        <f aca="false">I25-I41</f>
        <v>-280059.279262494</v>
      </c>
      <c r="J42" s="629" t="n">
        <f aca="false">J25-J41</f>
        <v>-229185.517378118</v>
      </c>
      <c r="K42" s="629" t="n">
        <f aca="false">K25-K41</f>
        <v>-180101.195493742</v>
      </c>
      <c r="L42" s="629" t="n">
        <f aca="false">L25-L41</f>
        <v>-125642.953609365</v>
      </c>
      <c r="M42" s="630" t="n">
        <f aca="false">M25-M41</f>
        <v>-76558.6317249893</v>
      </c>
      <c r="N42" s="535" t="n">
        <f aca="false">N25-N41</f>
        <v>474071.500234499</v>
      </c>
      <c r="O42" s="535" t="n">
        <f aca="false">O25-O41</f>
        <v>566575.478124999</v>
      </c>
      <c r="P42" s="535" t="n">
        <f aca="false">P25-P41</f>
        <v>614307.456015501</v>
      </c>
      <c r="Q42" s="535" t="n">
        <f aca="false">Q25-Q41</f>
        <v>665922.893906001</v>
      </c>
      <c r="R42" s="535" t="n">
        <f aca="false">R25-R41</f>
        <v>717538.331796501</v>
      </c>
      <c r="S42" s="535" t="n">
        <f aca="false">S25-S41</f>
        <v>769153.769687001</v>
      </c>
      <c r="T42" s="535" t="n">
        <f aca="false">T25-T41</f>
        <v>820769.207577501</v>
      </c>
      <c r="U42" s="535" t="n">
        <f aca="false">U25-U41</f>
        <v>917156.645468</v>
      </c>
      <c r="V42" s="535" t="n">
        <f aca="false">V25-V41</f>
        <v>1062047.0833585</v>
      </c>
      <c r="W42" s="535" t="n">
        <f aca="false">W25-W41</f>
        <v>1206937.521249</v>
      </c>
      <c r="X42" s="535" t="n">
        <f aca="false">X25-X41</f>
        <v>1351827.9591395</v>
      </c>
      <c r="Y42" s="631" t="n">
        <f aca="false">Y25-Y41</f>
        <v>1496718.39703</v>
      </c>
      <c r="Z42" s="632" t="n">
        <f aca="false">Z25-Z41</f>
        <v>4228679.98898665</v>
      </c>
      <c r="AA42" s="535" t="n">
        <f aca="false">AA25-AA41</f>
        <v>4228679.98898665</v>
      </c>
      <c r="AB42" s="535" t="n">
        <f aca="false">AB25-AB41</f>
        <v>4228679.98898665</v>
      </c>
      <c r="AC42" s="535" t="n">
        <f aca="false">AC25-AC41</f>
        <v>4228679.98898665</v>
      </c>
      <c r="AD42" s="535" t="n">
        <f aca="false">AD25-AD41</f>
        <v>4228679.98898665</v>
      </c>
      <c r="AE42" s="535" t="n">
        <f aca="false">AE25-AE41</f>
        <v>4228679.98898665</v>
      </c>
      <c r="AF42" s="535" t="n">
        <f aca="false">AF25-AF41</f>
        <v>4228679.98898665</v>
      </c>
      <c r="AG42" s="535" t="n">
        <f aca="false">AG25-AG41</f>
        <v>4228679.98898665</v>
      </c>
      <c r="AH42" s="535" t="n">
        <f aca="false">AH25-AH41</f>
        <v>4228679.98898665</v>
      </c>
      <c r="AI42" s="535" t="n">
        <f aca="false">AI25-AI41</f>
        <v>4228679.98898665</v>
      </c>
      <c r="AJ42" s="535" t="n">
        <f aca="false">AJ25-AJ41</f>
        <v>4228679.98898665</v>
      </c>
      <c r="AK42" s="631" t="n">
        <f aca="false">AK25-AK41</f>
        <v>4228679.98898665</v>
      </c>
      <c r="AL42" s="632" t="n">
        <f aca="false">AL25-AL41</f>
        <v>4845804.32694789</v>
      </c>
      <c r="AM42" s="535" t="n">
        <f aca="false">AM25-AM41</f>
        <v>4845804.32694789</v>
      </c>
      <c r="AN42" s="535" t="n">
        <f aca="false">AN25-AN41</f>
        <v>4845804.32694789</v>
      </c>
      <c r="AO42" s="535" t="n">
        <f aca="false">AO25-AO41</f>
        <v>4845804.32694789</v>
      </c>
      <c r="AP42" s="535" t="n">
        <f aca="false">AP25-AP41</f>
        <v>4845804.32694789</v>
      </c>
      <c r="AQ42" s="535" t="n">
        <f aca="false">AQ25-AQ41</f>
        <v>4845804.32694789</v>
      </c>
      <c r="AR42" s="535" t="n">
        <f aca="false">AR25-AR41</f>
        <v>4845804.32694789</v>
      </c>
      <c r="AS42" s="535" t="n">
        <f aca="false">AS25-AS41</f>
        <v>4845804.32694789</v>
      </c>
      <c r="AT42" s="535" t="n">
        <f aca="false">AT25-AT41</f>
        <v>4845804.32694789</v>
      </c>
      <c r="AU42" s="535" t="n">
        <f aca="false">AU25-AU41</f>
        <v>4845804.32694789</v>
      </c>
      <c r="AV42" s="535" t="n">
        <f aca="false">AV25-AV41</f>
        <v>4845804.32694789</v>
      </c>
      <c r="AW42" s="631" t="n">
        <f aca="false">AW25-AW41</f>
        <v>4845804.32694789</v>
      </c>
      <c r="AX42" s="632" t="n">
        <f aca="false">AX25-AX41</f>
        <v>5459602.1010798</v>
      </c>
      <c r="AY42" s="535" t="n">
        <f aca="false">AY25-AY41</f>
        <v>5459602.1010798</v>
      </c>
      <c r="AZ42" s="535" t="n">
        <f aca="false">AZ25-AZ41</f>
        <v>5459602.1010798</v>
      </c>
      <c r="BA42" s="535" t="n">
        <f aca="false">BA25-BA41</f>
        <v>5459602.1010798</v>
      </c>
      <c r="BB42" s="535" t="n">
        <f aca="false">BB25-BB41</f>
        <v>5459602.1010798</v>
      </c>
      <c r="BC42" s="535" t="n">
        <f aca="false">BC25-BC41</f>
        <v>5459602.1010798</v>
      </c>
      <c r="BD42" s="535" t="n">
        <f aca="false">BD25-BD41</f>
        <v>5459602.1010798</v>
      </c>
      <c r="BE42" s="535" t="n">
        <f aca="false">BE25-BE41</f>
        <v>5459602.1010798</v>
      </c>
      <c r="BF42" s="535" t="n">
        <f aca="false">BF25-BF41</f>
        <v>5459602.1010798</v>
      </c>
      <c r="BG42" s="535" t="n">
        <f aca="false">BG25-BG41</f>
        <v>5459602.1010798</v>
      </c>
      <c r="BH42" s="535" t="n">
        <f aca="false">BH25-BH41</f>
        <v>5459602.1010798</v>
      </c>
      <c r="BI42" s="535" t="n">
        <f aca="false">BI25-BI41</f>
        <v>5459602.1010798</v>
      </c>
      <c r="BJ42" s="633" t="n">
        <f aca="false">BJ25-BJ41</f>
        <v>-3449321.97932026</v>
      </c>
      <c r="BK42" s="633" t="n">
        <f aca="false">BK25-BK41</f>
        <v>10663026.243587</v>
      </c>
      <c r="BL42" s="633" t="n">
        <f aca="false">BL25-BL41</f>
        <v>50744159.8678398</v>
      </c>
      <c r="BM42" s="633" t="n">
        <f aca="false">BM25-BM41</f>
        <v>58149651.9233747</v>
      </c>
      <c r="BN42" s="633" t="n">
        <f aca="false">BN25-BN41</f>
        <v>65515225.2129576</v>
      </c>
      <c r="BO42" s="575" t="str">
        <f aca="false">IF('P&amp;L'!BS14="y","Surplus Before Int. &amp; Tax","Profit Before Int. &amp; Tax")</f>
        <v>Profit Before Int. &amp; Tax</v>
      </c>
    </row>
    <row r="43" customFormat="false" ht="10.5" hidden="false" customHeight="true" outlineLevel="0" collapsed="false">
      <c r="A43" s="593" t="s">
        <v>1732</v>
      </c>
      <c r="B43" s="535" t="n">
        <f aca="false">'Cash Flow'!B55</f>
        <v>0</v>
      </c>
      <c r="C43" s="535" t="n">
        <f aca="false">'Cash Flow'!C55</f>
        <v>0</v>
      </c>
      <c r="D43" s="535" t="n">
        <f aca="false">'Cash Flow'!D55</f>
        <v>0</v>
      </c>
      <c r="E43" s="535" t="n">
        <f aca="false">'Cash Flow'!E55</f>
        <v>0</v>
      </c>
      <c r="F43" s="535" t="n">
        <f aca="false">'Cash Flow'!F55</f>
        <v>0</v>
      </c>
      <c r="G43" s="535" t="n">
        <f aca="false">'Cash Flow'!G55</f>
        <v>0</v>
      </c>
      <c r="H43" s="535" t="n">
        <f aca="false">'Cash Flow'!H55</f>
        <v>25673.1</v>
      </c>
      <c r="I43" s="535" t="n">
        <f aca="false">'Cash Flow'!I55</f>
        <v>43324.4144551602</v>
      </c>
      <c r="J43" s="535" t="n">
        <f aca="false">'Cash Flow'!J55</f>
        <v>57395.9224724938</v>
      </c>
      <c r="K43" s="535" t="n">
        <f aca="false">'Cash Flow'!K55</f>
        <v>72452.2751085195</v>
      </c>
      <c r="L43" s="535" t="n">
        <f aca="false">'Cash Flow'!L55</f>
        <v>84188.4607147111</v>
      </c>
      <c r="M43" s="631" t="n">
        <f aca="false">'Cash Flow'!M55</f>
        <v>99072.379373667</v>
      </c>
      <c r="N43" s="535" t="n">
        <f aca="false">'Cash Flow'!N55</f>
        <v>110269.268832903</v>
      </c>
      <c r="O43" s="535" t="n">
        <f aca="false">'Cash Flow'!O55</f>
        <v>111900.05521454</v>
      </c>
      <c r="P43" s="535" t="n">
        <f aca="false">'Cash Flow'!P55</f>
        <v>113513.126907377</v>
      </c>
      <c r="Q43" s="535" t="n">
        <f aca="false">'Cash Flow'!Q55</f>
        <v>112778.31933797</v>
      </c>
      <c r="R43" s="535" t="n">
        <f aca="false">'Cash Flow'!R55</f>
        <v>112039.837730716</v>
      </c>
      <c r="S43" s="535" t="n">
        <f aca="false">'Cash Flow'!S55</f>
        <v>111297.663715426</v>
      </c>
      <c r="T43" s="535" t="n">
        <f aca="false">'Cash Flow'!T55</f>
        <v>110551.778830059</v>
      </c>
      <c r="U43" s="535" t="n">
        <f aca="false">'Cash Flow'!U55</f>
        <v>109802.164520265</v>
      </c>
      <c r="V43" s="535" t="n">
        <f aca="false">'Cash Flow'!V55</f>
        <v>109048.802138923</v>
      </c>
      <c r="W43" s="535" t="n">
        <f aca="false">'Cash Flow'!W55</f>
        <v>108291.672945673</v>
      </c>
      <c r="X43" s="535" t="n">
        <f aca="false">'Cash Flow'!X55</f>
        <v>107530.758106458</v>
      </c>
      <c r="Y43" s="631" t="n">
        <f aca="false">'Cash Flow'!Y55</f>
        <v>106766.038693046</v>
      </c>
      <c r="Z43" s="632" t="n">
        <f aca="false">'Cash Flow'!Z55</f>
        <v>105997.495682567</v>
      </c>
      <c r="AA43" s="535" t="n">
        <f aca="false">'Cash Flow'!AA55</f>
        <v>105225.109957036</v>
      </c>
      <c r="AB43" s="535" t="n">
        <f aca="false">'Cash Flow'!AB55</f>
        <v>104448.862302878</v>
      </c>
      <c r="AC43" s="535" t="n">
        <f aca="false">'Cash Flow'!AC55</f>
        <v>103668.733410448</v>
      </c>
      <c r="AD43" s="535" t="n">
        <f aca="false">'Cash Flow'!AD55</f>
        <v>102884.703873556</v>
      </c>
      <c r="AE43" s="535" t="n">
        <f aca="false">'Cash Flow'!AE55</f>
        <v>102096.75418898</v>
      </c>
      <c r="AF43" s="535" t="n">
        <f aca="false">'Cash Flow'!AF55</f>
        <v>101304.864755981</v>
      </c>
      <c r="AG43" s="535" t="n">
        <f aca="false">'Cash Flow'!AG55</f>
        <v>100509.015875817</v>
      </c>
      <c r="AH43" s="535" t="n">
        <f aca="false">'Cash Flow'!AH55</f>
        <v>99709.1877512522</v>
      </c>
      <c r="AI43" s="535" t="n">
        <f aca="false">'Cash Flow'!AI55</f>
        <v>98905.3604860645</v>
      </c>
      <c r="AJ43" s="535" t="n">
        <f aca="false">'Cash Flow'!AJ55</f>
        <v>98097.5140845509</v>
      </c>
      <c r="AK43" s="631" t="n">
        <f aca="false">'Cash Flow'!AK55</f>
        <v>97285.6284510297</v>
      </c>
      <c r="AL43" s="632" t="n">
        <f aca="false">'Cash Flow'!AL55</f>
        <v>96469.6833893409</v>
      </c>
      <c r="AM43" s="535" t="n">
        <f aca="false">'Cash Flow'!AM55</f>
        <v>95649.6586023436</v>
      </c>
      <c r="AN43" s="535" t="n">
        <f aca="false">'Cash Flow'!AN55</f>
        <v>94825.5336914114</v>
      </c>
      <c r="AO43" s="535" t="n">
        <f aca="false">'Cash Flow'!AO55</f>
        <v>93997.2881559245</v>
      </c>
      <c r="AP43" s="535" t="n">
        <f aca="false">'Cash Flow'!AP55</f>
        <v>93164.9013927602</v>
      </c>
      <c r="AQ43" s="535" t="n">
        <f aca="false">'Cash Flow'!AQ55</f>
        <v>92328.3526957801</v>
      </c>
      <c r="AR43" s="535" t="n">
        <f aca="false">'Cash Flow'!AR55</f>
        <v>91487.621255315</v>
      </c>
      <c r="AS43" s="535" t="n">
        <f aca="false">'Cash Flow'!AS55</f>
        <v>90642.6861576477</v>
      </c>
      <c r="AT43" s="535" t="n">
        <f aca="false">'Cash Flow'!AT55</f>
        <v>89793.5263844919</v>
      </c>
      <c r="AU43" s="535" t="n">
        <f aca="false">'Cash Flow'!AU55</f>
        <v>88940.1208124704</v>
      </c>
      <c r="AV43" s="535" t="n">
        <f aca="false">'Cash Flow'!AV55</f>
        <v>88082.4482125889</v>
      </c>
      <c r="AW43" s="631" t="n">
        <f aca="false">'Cash Flow'!AW55</f>
        <v>87220.4872497079</v>
      </c>
      <c r="AX43" s="632" t="n">
        <f aca="false">'Cash Flow'!AX55</f>
        <v>86354.2164820125</v>
      </c>
      <c r="AY43" s="535" t="n">
        <f aca="false">'Cash Flow'!AY55</f>
        <v>85483.6143604786</v>
      </c>
      <c r="AZ43" s="535" t="n">
        <f aca="false">'Cash Flow'!AZ55</f>
        <v>84608.659228337</v>
      </c>
      <c r="BA43" s="535" t="n">
        <f aca="false">'Cash Flow'!BA55</f>
        <v>83729.3293205348</v>
      </c>
      <c r="BB43" s="535" t="n">
        <f aca="false">'Cash Flow'!BB55</f>
        <v>82845.6027631935</v>
      </c>
      <c r="BC43" s="535" t="n">
        <f aca="false">'Cash Flow'!BC55</f>
        <v>81957.4575730655</v>
      </c>
      <c r="BD43" s="535" t="n">
        <f aca="false">'Cash Flow'!BD55</f>
        <v>81064.8716569869</v>
      </c>
      <c r="BE43" s="535" t="n">
        <f aca="false">'Cash Flow'!BE55</f>
        <v>80167.8228113279</v>
      </c>
      <c r="BF43" s="535" t="n">
        <f aca="false">'Cash Flow'!BF55</f>
        <v>79266.2887214406</v>
      </c>
      <c r="BG43" s="535" t="n">
        <f aca="false">'Cash Flow'!BG55</f>
        <v>78360.2469611038</v>
      </c>
      <c r="BH43" s="535" t="n">
        <f aca="false">'Cash Flow'!BH55</f>
        <v>77449.6749919654</v>
      </c>
      <c r="BI43" s="535" t="n">
        <f aca="false">'Cash Flow'!BI55</f>
        <v>76534.5501629813</v>
      </c>
      <c r="BJ43" s="634" t="n">
        <f aca="false">SUM(B43:M43)</f>
        <v>382106.552124552</v>
      </c>
      <c r="BK43" s="634" t="n">
        <f aca="false">SUM(N43:Y43)</f>
        <v>1323789.48697336</v>
      </c>
      <c r="BL43" s="634" t="n">
        <f aca="false">SUM(Z43:AK43)</f>
        <v>1220133.23082016</v>
      </c>
      <c r="BM43" s="634" t="n">
        <f aca="false">SUM(AL43:AW43)</f>
        <v>1102602.30799978</v>
      </c>
      <c r="BN43" s="634" t="n">
        <f aca="false">SUM(AX43:BI43)</f>
        <v>977822.335033428</v>
      </c>
      <c r="BO43" s="575" t="s">
        <v>1732</v>
      </c>
    </row>
    <row r="44" customFormat="false" ht="10.5" hidden="false" customHeight="true" outlineLevel="0" collapsed="false">
      <c r="A44" s="635" t="s">
        <v>1733</v>
      </c>
      <c r="B44" s="535" t="n">
        <f aca="false">IF(B54&lt;0,0,(IF($B$16="y",$C$16*(B42-B43),0)))</f>
        <v>0</v>
      </c>
      <c r="C44" s="535" t="n">
        <f aca="false">IF(C54&lt;0,0,(IF($B$16="y",$C$16*(C42-C43),0)))</f>
        <v>0</v>
      </c>
      <c r="D44" s="535" t="n">
        <f aca="false">IF(D54&lt;0,0,(IF($B$16="y",$C$16*(D42-D43),0)))</f>
        <v>0</v>
      </c>
      <c r="E44" s="535" t="n">
        <f aca="false">IF(E54&lt;0,0,(IF($B$16="y",$C$16*(E42-E43),0)))</f>
        <v>0</v>
      </c>
      <c r="F44" s="535" t="n">
        <f aca="false">IF(F54&lt;0,0,(IF($B$16="y",$C$16*(F42-F43),0)))</f>
        <v>0</v>
      </c>
      <c r="G44" s="535" t="n">
        <f aca="false">IF(G54&lt;0,0,(IF($B$16="y",$C$16*(G42-G43),0)))</f>
        <v>0</v>
      </c>
      <c r="H44" s="535" t="n">
        <f aca="false">IF(H54&lt;0,0,(IF($B$16="y",$C$16*(H42-H43),0)))</f>
        <v>0</v>
      </c>
      <c r="I44" s="535" t="n">
        <f aca="false">IF(I54&lt;0,0,(IF($B$16="y",$C$16*(I42-I43),0)))</f>
        <v>0</v>
      </c>
      <c r="J44" s="535" t="n">
        <f aca="false">IF(J54&lt;0,0,(IF($B$16="y",$C$16*(J42-J43),0)))</f>
        <v>0</v>
      </c>
      <c r="K44" s="535" t="n">
        <f aca="false">IF(K54&lt;0,0,(IF($B$16="y",$C$16*(K42-K43),0)))</f>
        <v>0</v>
      </c>
      <c r="L44" s="535" t="n">
        <f aca="false">IF(L54&lt;0,0,(IF($B$16="y",$C$16*(L42-L43),0)))</f>
        <v>0</v>
      </c>
      <c r="M44" s="631" t="n">
        <f aca="false">IF(M54&lt;0,0,(IF($B$16="y",$C$16*(M42-M43),0)))</f>
        <v>0</v>
      </c>
      <c r="N44" s="535" t="n">
        <f aca="false">IF(N54&lt;0,0,(IF($B$16="y",$C$16*(N42-N43),0)))</f>
        <v>0</v>
      </c>
      <c r="O44" s="535" t="n">
        <f aca="false">IF(O54&lt;0,0,(IF($B$16="y",$C$16*(O42-O43),0)))</f>
        <v>0</v>
      </c>
      <c r="P44" s="535" t="n">
        <f aca="false">IF(P54&lt;0,0,(IF($B$16="y",$C$16*(P42-P43),0)))</f>
        <v>0</v>
      </c>
      <c r="Q44" s="535" t="n">
        <f aca="false">IF(Q54&lt;0,0,(IF($B$16="y",$C$16*(Q42-Q43),0)))</f>
        <v>0</v>
      </c>
      <c r="R44" s="535" t="n">
        <f aca="false">IF(R54&lt;0,0,(IF($B$16="y",$C$16*(R42-R43),0)))</f>
        <v>0</v>
      </c>
      <c r="S44" s="535" t="n">
        <f aca="false">IF(S54&lt;0,0,(IF($B$16="y",$C$16*(S42-S43),0)))</f>
        <v>0</v>
      </c>
      <c r="T44" s="535" t="n">
        <f aca="false">IF(T54&lt;0,0,(IF($B$16="y",$C$16*(T42-T43),0)))</f>
        <v>106532.614312116</v>
      </c>
      <c r="U44" s="535" t="n">
        <f aca="false">IF(U54&lt;0,0,(IF($B$16="y",$C$16*(U42-U43),0)))</f>
        <v>121103.17214216</v>
      </c>
      <c r="V44" s="535" t="n">
        <f aca="false">IF(V54&lt;0,0,(IF($B$16="y",$C$16*(V42-V43),0)))</f>
        <v>142949.742182936</v>
      </c>
      <c r="W44" s="535" t="n">
        <f aca="false">IF(W54&lt;0,0,(IF($B$16="y",$C$16*(W42-W43),0)))</f>
        <v>164796.877245498</v>
      </c>
      <c r="X44" s="535" t="n">
        <f aca="false">IF(X54&lt;0,0,(IF($B$16="y",$C$16*(X42-X43),0)))</f>
        <v>186644.580154956</v>
      </c>
      <c r="Y44" s="631" t="n">
        <f aca="false">IF(Y54&lt;0,0,(IF($B$16="y",$C$16*(Y42-Y43),0)))</f>
        <v>208492.853750543</v>
      </c>
      <c r="Z44" s="632" t="n">
        <f aca="false">IF(Z54&lt;0,0,(IF($B$16="y",$C$16*(Z42-Z43),0)))</f>
        <v>618402.373995613</v>
      </c>
      <c r="AA44" s="535" t="n">
        <f aca="false">IF(AA54&lt;0,0,(IF($B$16="y",$C$16*(AA42-AA43),0)))</f>
        <v>618518.231854443</v>
      </c>
      <c r="AB44" s="535" t="n">
        <f aca="false">IF(AB54&lt;0,0,(IF($B$16="y",$C$16*(AB42-AB43),0)))</f>
        <v>618634.669002566</v>
      </c>
      <c r="AC44" s="535" t="n">
        <f aca="false">IF(AC54&lt;0,0,(IF($B$16="y",$C$16*(AC42-AC43),0)))</f>
        <v>618751.688336431</v>
      </c>
      <c r="AD44" s="535" t="n">
        <f aca="false">IF(AD54&lt;0,0,(IF($B$16="y",$C$16*(AD42-AD43),0)))</f>
        <v>618869.292766965</v>
      </c>
      <c r="AE44" s="535" t="n">
        <f aca="false">IF(AE54&lt;0,0,(IF($B$16="y",$C$16*(AE42-AE43),0)))</f>
        <v>618987.485219651</v>
      </c>
      <c r="AF44" s="535" t="n">
        <f aca="false">IF(AF54&lt;0,0,(IF($B$16="y",$C$16*(AF42-AF43),0)))</f>
        <v>619106.268634601</v>
      </c>
      <c r="AG44" s="535" t="n">
        <f aca="false">IF(AG54&lt;0,0,(IF($B$16="y",$C$16*(AG42-AG43),0)))</f>
        <v>619225.645966625</v>
      </c>
      <c r="AH44" s="535" t="n">
        <f aca="false">IF(AH54&lt;0,0,(IF($B$16="y",$C$16*(AH42-AH43),0)))</f>
        <v>619345.62018531</v>
      </c>
      <c r="AI44" s="535" t="n">
        <f aca="false">IF(AI54&lt;0,0,(IF($B$16="y",$C$16*(AI42-AI43),0)))</f>
        <v>619466.194275088</v>
      </c>
      <c r="AJ44" s="535" t="n">
        <f aca="false">IF(AJ54&lt;0,0,(IF($B$16="y",$C$16*(AJ42-AJ43),0)))</f>
        <v>619587.371235315</v>
      </c>
      <c r="AK44" s="631" t="n">
        <f aca="false">IF(AK54&lt;0,0,(IF($B$16="y",$C$16*(AK42-AK43),0)))</f>
        <v>619709.154080344</v>
      </c>
      <c r="AL44" s="632" t="n">
        <f aca="false">IF(AL54&lt;0,0,(IF($B$16="y",$C$16*(AL42-AL43),0)))</f>
        <v>712400.196533782</v>
      </c>
      <c r="AM44" s="535" t="n">
        <f aca="false">IF(AM54&lt;0,0,(IF($B$16="y",$C$16*(AM42-AM43),0)))</f>
        <v>712523.200251832</v>
      </c>
      <c r="AN44" s="535" t="n">
        <f aca="false">IF(AN54&lt;0,0,(IF($B$16="y",$C$16*(AN42-AN43),0)))</f>
        <v>712646.818988472</v>
      </c>
      <c r="AO44" s="535" t="n">
        <f aca="false">IF(AO54&lt;0,0,(IF($B$16="y",$C$16*(AO42-AO43),0)))</f>
        <v>712771.055818795</v>
      </c>
      <c r="AP44" s="535" t="n">
        <f aca="false">IF(AP54&lt;0,0,(IF($B$16="y",$C$16*(AP42-AP43),0)))</f>
        <v>712895.91383327</v>
      </c>
      <c r="AQ44" s="535" t="n">
        <f aca="false">IF(AQ54&lt;0,0,(IF($B$16="y",$C$16*(AQ42-AQ43),0)))</f>
        <v>713021.396137817</v>
      </c>
      <c r="AR44" s="535" t="n">
        <f aca="false">IF(AR54&lt;0,0,(IF($B$16="y",$C$16*(AR42-AR43),0)))</f>
        <v>713147.505853886</v>
      </c>
      <c r="AS44" s="535" t="n">
        <f aca="false">IF(AS54&lt;0,0,(IF($B$16="y",$C$16*(AS42-AS43),0)))</f>
        <v>713274.246118536</v>
      </c>
      <c r="AT44" s="535" t="n">
        <f aca="false">IF(AT54&lt;0,0,(IF($B$16="y",$C$16*(AT42-AT43),0)))</f>
        <v>713401.62008451</v>
      </c>
      <c r="AU44" s="535" t="n">
        <f aca="false">IF(AU54&lt;0,0,(IF($B$16="y",$C$16*(AU42-AU43),0)))</f>
        <v>713529.630920313</v>
      </c>
      <c r="AV44" s="535" t="n">
        <f aca="false">IF(AV54&lt;0,0,(IF($B$16="y",$C$16*(AV42-AV43),0)))</f>
        <v>713658.281810295</v>
      </c>
      <c r="AW44" s="631" t="n">
        <f aca="false">IF(AW54&lt;0,0,(IF($B$16="y",$C$16*(AW42-AW43),0)))</f>
        <v>713787.575954727</v>
      </c>
      <c r="AX44" s="632" t="n">
        <f aca="false">IF(AX54&lt;0,0,(IF($B$16="y",$C$16*(AX42-AX43),0)))</f>
        <v>805987.182689668</v>
      </c>
      <c r="AY44" s="535" t="n">
        <f aca="false">IF(AY54&lt;0,0,(IF($B$16="y",$C$16*(AY42-AY43),0)))</f>
        <v>806117.773007898</v>
      </c>
      <c r="AZ44" s="535" t="n">
        <f aca="false">IF(AZ54&lt;0,0,(IF($B$16="y",$C$16*(AZ42-AZ43),0)))</f>
        <v>806249.016277719</v>
      </c>
      <c r="BA44" s="535" t="n">
        <f aca="false">IF(BA54&lt;0,0,(IF($B$16="y",$C$16*(BA42-BA43),0)))</f>
        <v>806380.91576389</v>
      </c>
      <c r="BB44" s="535" t="n">
        <f aca="false">IF(BB54&lt;0,0,(IF($B$16="y",$C$16*(BB42-BB43),0)))</f>
        <v>806513.474747491</v>
      </c>
      <c r="BC44" s="535" t="n">
        <f aca="false">IF(BC54&lt;0,0,(IF($B$16="y",$C$16*(BC42-BC43),0)))</f>
        <v>806646.69652601</v>
      </c>
      <c r="BD44" s="535" t="n">
        <f aca="false">IF(BD54&lt;0,0,(IF($B$16="y",$C$16*(BD42-BD43),0)))</f>
        <v>806780.584413422</v>
      </c>
      <c r="BE44" s="535" t="n">
        <f aca="false">IF(BE54&lt;0,0,(IF($B$16="y",$C$16*(BE42-BE43),0)))</f>
        <v>806915.141740271</v>
      </c>
      <c r="BF44" s="535" t="n">
        <f aca="false">IF(BF54&lt;0,0,(IF($B$16="y",$C$16*(BF42-BF43),0)))</f>
        <v>807050.371853754</v>
      </c>
      <c r="BG44" s="535" t="n">
        <f aca="false">IF(BG54&lt;0,0,(IF($B$16="y",$C$16*(BG42-BG43),0)))</f>
        <v>807186.278117804</v>
      </c>
      <c r="BH44" s="535" t="n">
        <f aca="false">IF(BH54&lt;0,0,(IF($B$16="y",$C$16*(BH42-BH43),0)))</f>
        <v>807322.863913175</v>
      </c>
      <c r="BI44" s="535" t="n">
        <f aca="false">IF(BI54&lt;0,0,(IF($B$16="y",$C$16*(BI42-BI43),0)))</f>
        <v>807460.132637523</v>
      </c>
      <c r="BJ44" s="634" t="n">
        <f aca="false">SUM(B44:M44)</f>
        <v>0</v>
      </c>
      <c r="BK44" s="634" t="n">
        <f aca="false">SUM(N44:Y44)</f>
        <v>930519.83978821</v>
      </c>
      <c r="BL44" s="634" t="n">
        <f aca="false">SUM(Z44:AK44)</f>
        <v>7428603.99555295</v>
      </c>
      <c r="BM44" s="634" t="n">
        <f aca="false">SUM(AL44:AW44)</f>
        <v>8557057.44230624</v>
      </c>
      <c r="BN44" s="634" t="n">
        <f aca="false">SUM(AX44:BI44)</f>
        <v>9680610.43168863</v>
      </c>
      <c r="BO44" s="576" t="s">
        <v>1733</v>
      </c>
    </row>
    <row r="45" customFormat="false" ht="10.5" hidden="false" customHeight="true" outlineLevel="0" collapsed="false">
      <c r="A45" s="593"/>
      <c r="B45" s="535"/>
      <c r="C45" s="535"/>
      <c r="D45" s="535"/>
      <c r="E45" s="535"/>
      <c r="F45" s="535"/>
      <c r="G45" s="535"/>
      <c r="H45" s="535"/>
      <c r="I45" s="535"/>
      <c r="J45" s="535"/>
      <c r="K45" s="535"/>
      <c r="L45" s="535"/>
      <c r="M45" s="631"/>
      <c r="N45" s="535"/>
      <c r="O45" s="535"/>
      <c r="P45" s="535"/>
      <c r="Q45" s="535"/>
      <c r="R45" s="535"/>
      <c r="S45" s="535"/>
      <c r="T45" s="535"/>
      <c r="U45" s="535"/>
      <c r="V45" s="535"/>
      <c r="W45" s="535"/>
      <c r="X45" s="535"/>
      <c r="Y45" s="631"/>
      <c r="Z45" s="632"/>
      <c r="AA45" s="535"/>
      <c r="AB45" s="535"/>
      <c r="AC45" s="535"/>
      <c r="AD45" s="535"/>
      <c r="AE45" s="535"/>
      <c r="AF45" s="535"/>
      <c r="AG45" s="535"/>
      <c r="AH45" s="535"/>
      <c r="AI45" s="535"/>
      <c r="AJ45" s="535"/>
      <c r="AK45" s="631"/>
      <c r="AL45" s="632"/>
      <c r="AM45" s="535"/>
      <c r="AN45" s="535"/>
      <c r="AO45" s="535"/>
      <c r="AP45" s="535"/>
      <c r="AQ45" s="535"/>
      <c r="AR45" s="535"/>
      <c r="AS45" s="535"/>
      <c r="AT45" s="535"/>
      <c r="AU45" s="535"/>
      <c r="AV45" s="535"/>
      <c r="AW45" s="631"/>
      <c r="AX45" s="632"/>
      <c r="AY45" s="535"/>
      <c r="AZ45" s="535"/>
      <c r="BA45" s="535"/>
      <c r="BB45" s="535"/>
      <c r="BC45" s="535"/>
      <c r="BD45" s="535"/>
      <c r="BE45" s="535"/>
      <c r="BF45" s="535"/>
      <c r="BG45" s="535"/>
      <c r="BH45" s="535"/>
      <c r="BI45" s="535"/>
      <c r="BJ45" s="634"/>
      <c r="BK45" s="634"/>
      <c r="BL45" s="634"/>
      <c r="BM45" s="634"/>
      <c r="BN45" s="634"/>
      <c r="BO45" s="575"/>
    </row>
    <row r="46" customFormat="false" ht="10.5" hidden="false" customHeight="true" outlineLevel="0" collapsed="false">
      <c r="A46" s="593" t="str">
        <f aca="false">IF('P&amp;L'!E14="y","Net Surplus","Net Profit")</f>
        <v>Net Profit</v>
      </c>
      <c r="B46" s="535" t="n">
        <f aca="false">B42-B43-B44</f>
        <v>-395805.9718</v>
      </c>
      <c r="C46" s="535" t="n">
        <f aca="false">C42-C43-C44</f>
        <v>-412861.9718</v>
      </c>
      <c r="D46" s="535" t="n">
        <f aca="false">D42-D43-D44</f>
        <v>-421260.529631429</v>
      </c>
      <c r="E46" s="535" t="n">
        <f aca="false">E42-E43-E44</f>
        <v>-384005.078357812</v>
      </c>
      <c r="F46" s="535" t="n">
        <f aca="false">F42-F43-F44</f>
        <v>-346620.184915624</v>
      </c>
      <c r="G46" s="535" t="n">
        <f aca="false">G42-G43-G44</f>
        <v>-293170.398031247</v>
      </c>
      <c r="H46" s="535" t="n">
        <f aca="false">H42-H43-H44</f>
        <v>-329502.211146871</v>
      </c>
      <c r="I46" s="535" t="n">
        <f aca="false">I42-I43-I44</f>
        <v>-323383.693717655</v>
      </c>
      <c r="J46" s="535" t="n">
        <f aca="false">J42-J43-J44</f>
        <v>-286581.439850612</v>
      </c>
      <c r="K46" s="535" t="n">
        <f aca="false">K42-K43-K44</f>
        <v>-252553.470602261</v>
      </c>
      <c r="L46" s="535" t="n">
        <f aca="false">L42-L43-L44</f>
        <v>-209831.414324076</v>
      </c>
      <c r="M46" s="631" t="n">
        <f aca="false">M42-M43-M44</f>
        <v>-175631.011098656</v>
      </c>
      <c r="N46" s="535" t="n">
        <f aca="false">N42-N43-N44</f>
        <v>363802.231401596</v>
      </c>
      <c r="O46" s="535" t="n">
        <f aca="false">O42-O43-O44</f>
        <v>454675.422910459</v>
      </c>
      <c r="P46" s="535" t="n">
        <f aca="false">P42-P43-P44</f>
        <v>500794.329108123</v>
      </c>
      <c r="Q46" s="535" t="n">
        <f aca="false">Q42-Q43-Q44</f>
        <v>553144.574568031</v>
      </c>
      <c r="R46" s="535" t="n">
        <f aca="false">R42-R43-R44</f>
        <v>605498.494065785</v>
      </c>
      <c r="S46" s="535" t="n">
        <f aca="false">S42-S43-S44</f>
        <v>657856.105971575</v>
      </c>
      <c r="T46" s="535" t="n">
        <f aca="false">T42-T43-T44</f>
        <v>603684.814435326</v>
      </c>
      <c r="U46" s="535" t="n">
        <f aca="false">U42-U43-U44</f>
        <v>686251.308805574</v>
      </c>
      <c r="V46" s="535" t="n">
        <f aca="false">V42-V43-V44</f>
        <v>810048.539036639</v>
      </c>
      <c r="W46" s="535" t="n">
        <f aca="false">W42-W43-W44</f>
        <v>933848.971057825</v>
      </c>
      <c r="X46" s="535" t="n">
        <f aca="false">X42-X43-X44</f>
        <v>1057652.62087808</v>
      </c>
      <c r="Y46" s="631" t="n">
        <f aca="false">Y42-Y43-Y44</f>
        <v>1181459.50458641</v>
      </c>
      <c r="Z46" s="632" t="n">
        <f aca="false">Z42-Z43-Z44</f>
        <v>3504280.11930847</v>
      </c>
      <c r="AA46" s="535" t="n">
        <f aca="false">AA42-AA43-AA44</f>
        <v>3504936.64717517</v>
      </c>
      <c r="AB46" s="535" t="n">
        <f aca="false">AB42-AB43-AB44</f>
        <v>3505596.45768121</v>
      </c>
      <c r="AC46" s="535" t="n">
        <f aca="false">AC42-AC43-AC44</f>
        <v>3506259.56723977</v>
      </c>
      <c r="AD46" s="535" t="n">
        <f aca="false">AD42-AD43-AD44</f>
        <v>3506925.99234613</v>
      </c>
      <c r="AE46" s="535" t="n">
        <f aca="false">AE42-AE43-AE44</f>
        <v>3507595.74957802</v>
      </c>
      <c r="AF46" s="535" t="n">
        <f aca="false">AF42-AF43-AF44</f>
        <v>3508268.85559607</v>
      </c>
      <c r="AG46" s="535" t="n">
        <f aca="false">AG42-AG43-AG44</f>
        <v>3508945.32714421</v>
      </c>
      <c r="AH46" s="535" t="n">
        <f aca="false">AH42-AH43-AH44</f>
        <v>3509625.18105009</v>
      </c>
      <c r="AI46" s="535" t="n">
        <f aca="false">AI42-AI43-AI44</f>
        <v>3510308.4342255</v>
      </c>
      <c r="AJ46" s="535" t="n">
        <f aca="false">AJ42-AJ43-AJ44</f>
        <v>3510995.10366679</v>
      </c>
      <c r="AK46" s="631" t="n">
        <f aca="false">AK42-AK43-AK44</f>
        <v>3511685.20645528</v>
      </c>
      <c r="AL46" s="632" t="n">
        <f aca="false">AL42-AL43-AL44</f>
        <v>4036934.44702477</v>
      </c>
      <c r="AM46" s="535" t="n">
        <f aca="false">AM42-AM43-AM44</f>
        <v>4037631.46809371</v>
      </c>
      <c r="AN46" s="535" t="n">
        <f aca="false">AN42-AN43-AN44</f>
        <v>4038331.97426801</v>
      </c>
      <c r="AO46" s="535" t="n">
        <f aca="false">AO42-AO43-AO44</f>
        <v>4039035.98297317</v>
      </c>
      <c r="AP46" s="535" t="n">
        <f aca="false">AP42-AP43-AP44</f>
        <v>4039743.51172186</v>
      </c>
      <c r="AQ46" s="535" t="n">
        <f aca="false">AQ42-AQ43-AQ44</f>
        <v>4040454.57811429</v>
      </c>
      <c r="AR46" s="535" t="n">
        <f aca="false">AR42-AR43-AR44</f>
        <v>4041169.19983869</v>
      </c>
      <c r="AS46" s="535" t="n">
        <f aca="false">AS42-AS43-AS44</f>
        <v>4041887.39467171</v>
      </c>
      <c r="AT46" s="535" t="n">
        <f aca="false">AT42-AT43-AT44</f>
        <v>4042609.18047889</v>
      </c>
      <c r="AU46" s="535" t="n">
        <f aca="false">AU42-AU43-AU44</f>
        <v>4043334.57521511</v>
      </c>
      <c r="AV46" s="535" t="n">
        <f aca="false">AV42-AV43-AV44</f>
        <v>4044063.59692501</v>
      </c>
      <c r="AW46" s="631" t="n">
        <f aca="false">AW42-AW43-AW44</f>
        <v>4044796.26374346</v>
      </c>
      <c r="AX46" s="632" t="n">
        <f aca="false">AX42-AX43-AX44</f>
        <v>4567260.70190812</v>
      </c>
      <c r="AY46" s="535" t="n">
        <f aca="false">AY42-AY43-AY44</f>
        <v>4568000.71371142</v>
      </c>
      <c r="AZ46" s="535" t="n">
        <f aca="false">AZ42-AZ43-AZ44</f>
        <v>4568744.42557374</v>
      </c>
      <c r="BA46" s="535" t="n">
        <f aca="false">BA42-BA43-BA44</f>
        <v>4569491.85599538</v>
      </c>
      <c r="BB46" s="535" t="n">
        <f aca="false">BB42-BB43-BB44</f>
        <v>4570243.02356911</v>
      </c>
      <c r="BC46" s="535" t="n">
        <f aca="false">BC42-BC43-BC44</f>
        <v>4570997.94698072</v>
      </c>
      <c r="BD46" s="535" t="n">
        <f aca="false">BD42-BD43-BD44</f>
        <v>4571756.64500939</v>
      </c>
      <c r="BE46" s="535" t="n">
        <f aca="false">BE42-BE43-BE44</f>
        <v>4572519.1365282</v>
      </c>
      <c r="BF46" s="535" t="n">
        <f aca="false">BF42-BF43-BF44</f>
        <v>4573285.44050461</v>
      </c>
      <c r="BG46" s="535" t="n">
        <f aca="false">BG42-BG43-BG44</f>
        <v>4574055.57600089</v>
      </c>
      <c r="BH46" s="535" t="n">
        <f aca="false">BH42-BH43-BH44</f>
        <v>4574829.56217466</v>
      </c>
      <c r="BI46" s="535" t="n">
        <f aca="false">BI42-BI43-BI44</f>
        <v>4575607.4182793</v>
      </c>
      <c r="BJ46" s="634" t="n">
        <f aca="false">SUM(B46:M46)</f>
        <v>-3831207.37527624</v>
      </c>
      <c r="BK46" s="634" t="n">
        <f aca="false">SUM(N46:Y46)</f>
        <v>8408716.91682543</v>
      </c>
      <c r="BL46" s="634" t="n">
        <f aca="false">SUM(Z46:AK46)</f>
        <v>42095422.6414667</v>
      </c>
      <c r="BM46" s="634" t="n">
        <f aca="false">SUM(AL46:AW46)</f>
        <v>48489992.1730687</v>
      </c>
      <c r="BN46" s="634" t="n">
        <f aca="false">SUM(AX46:BI46)</f>
        <v>54856792.4462355</v>
      </c>
      <c r="BO46" s="575" t="str">
        <f aca="false">IF('P&amp;L'!BS14="y","Net Surplus","Net Profit")</f>
        <v>Net Profit</v>
      </c>
    </row>
    <row r="47" customFormat="false" ht="10.5" hidden="false" customHeight="true" outlineLevel="0" collapsed="false">
      <c r="A47" s="593" t="str">
        <f aca="false">IF('P&amp;L'!E14="y","Net Surplus %","Net Profit %")</f>
        <v>Net Profit %</v>
      </c>
      <c r="B47" s="636" t="n">
        <f aca="false">IFERROR(B46/B19,0)</f>
        <v>0</v>
      </c>
      <c r="C47" s="636" t="n">
        <f aca="false">IFERROR(C46/C19,0)</f>
        <v>0</v>
      </c>
      <c r="D47" s="636" t="n">
        <f aca="false">IFERROR(D46/D19,0)</f>
        <v>-459.319765391793</v>
      </c>
      <c r="E47" s="636" t="n">
        <f aca="false">IFERROR(E46/E19,0)</f>
        <v>-2.86150140599973</v>
      </c>
      <c r="F47" s="636" t="n">
        <f aca="false">IFERROR(F46/F19,0)</f>
        <v>-1.291459673822</v>
      </c>
      <c r="G47" s="636" t="n">
        <f aca="false">IFERROR(G46/G19,0)</f>
        <v>-0.546156518132184</v>
      </c>
      <c r="H47" s="637" t="n">
        <f aca="false">IFERROR(H46/H19,0)</f>
        <v>-0.409226810449555</v>
      </c>
      <c r="I47" s="637" t="n">
        <f aca="false">IFERROR(I46/I19,0)</f>
        <v>-0.301220916858622</v>
      </c>
      <c r="J47" s="637" t="n">
        <f aca="false">IFERROR(J46/J19,0)</f>
        <v>-0.213552694816665</v>
      </c>
      <c r="K47" s="637" t="n">
        <f aca="false">IFERROR(K46/K19,0)</f>
        <v>-0.156829981326683</v>
      </c>
      <c r="L47" s="637" t="n">
        <f aca="false">IFERROR(L46/L19,0)</f>
        <v>-0.111686187975689</v>
      </c>
      <c r="M47" s="638" t="n">
        <f aca="false">IFERROR(M46/M19,0)</f>
        <v>-0.0817971580195601</v>
      </c>
      <c r="N47" s="636" t="n">
        <f aca="false">N46/N19</f>
        <v>0.110809782690267</v>
      </c>
      <c r="O47" s="636" t="n">
        <f aca="false">O46/O19</f>
        <v>0.124639797155414</v>
      </c>
      <c r="P47" s="636" t="n">
        <f aca="false">P46/P19</f>
        <v>0.124802122472061</v>
      </c>
      <c r="Q47" s="636" t="n">
        <f aca="false">Q46/Q19</f>
        <v>0.126360886795638</v>
      </c>
      <c r="R47" s="636" t="n">
        <f aca="false">R46/R19</f>
        <v>0.127680615962475</v>
      </c>
      <c r="S47" s="636" t="n">
        <f aca="false">S46/S19</f>
        <v>0.128812535388875</v>
      </c>
      <c r="T47" s="636" t="n">
        <f aca="false">T46/T19</f>
        <v>0.110325078837379</v>
      </c>
      <c r="U47" s="636" t="n">
        <f aca="false">U46/U19</f>
        <v>0.117575939364124</v>
      </c>
      <c r="V47" s="636" t="n">
        <f aca="false">V46/V19</f>
        <v>0.130622314815615</v>
      </c>
      <c r="W47" s="636" t="n">
        <f aca="false">W46/W19</f>
        <v>0.142219580608093</v>
      </c>
      <c r="X47" s="636" t="n">
        <f aca="false">X46/X19</f>
        <v>0.152596545839571</v>
      </c>
      <c r="Y47" s="639" t="n">
        <f aca="false">Y46/Y19</f>
        <v>0.16193625779943</v>
      </c>
      <c r="Z47" s="640" t="n">
        <f aca="false">Z46/Z19</f>
        <v>0.25159236853462</v>
      </c>
      <c r="AA47" s="636" t="n">
        <f aca="false">AA46/AA19</f>
        <v>0.251639504435681</v>
      </c>
      <c r="AB47" s="636" t="n">
        <f aca="false">AB46/AB19</f>
        <v>0.251686876016246</v>
      </c>
      <c r="AC47" s="636" t="n">
        <f aca="false">AC46/AC19</f>
        <v>0.251734484454715</v>
      </c>
      <c r="AD47" s="636" t="n">
        <f aca="false">AD46/AD19</f>
        <v>0.251782330935376</v>
      </c>
      <c r="AE47" s="636" t="n">
        <f aca="false">AE46/AE19</f>
        <v>0.251830416648441</v>
      </c>
      <c r="AF47" s="636" t="n">
        <f aca="false">AF46/AF19</f>
        <v>0.25187874279007</v>
      </c>
      <c r="AG47" s="636" t="n">
        <f aca="false">AG46/AG19</f>
        <v>0.251927310562408</v>
      </c>
      <c r="AH47" s="636" t="n">
        <f aca="false">AH46/AH19</f>
        <v>0.251976121173608</v>
      </c>
      <c r="AI47" s="636" t="n">
        <f aca="false">AI46/AI19</f>
        <v>0.252025175837863</v>
      </c>
      <c r="AJ47" s="636" t="n">
        <f aca="false">AJ46/AJ19</f>
        <v>0.25207447577544</v>
      </c>
      <c r="AK47" s="639" t="n">
        <f aca="false">AK46/AK19</f>
        <v>0.252124022212705</v>
      </c>
      <c r="AL47" s="640" t="n">
        <f aca="false">AL46/AL19</f>
        <v>0.26753970254385</v>
      </c>
      <c r="AM47" s="636" t="n">
        <f aca="false">AM46/AM19</f>
        <v>0.267585896211817</v>
      </c>
      <c r="AN47" s="636" t="n">
        <f aca="false">AN46/AN19</f>
        <v>0.267632320848125</v>
      </c>
      <c r="AO47" s="636" t="n">
        <f aca="false">AO46/AO19</f>
        <v>0.267678977607614</v>
      </c>
      <c r="AP47" s="636" t="n">
        <f aca="false">AP46/AP19</f>
        <v>0.2677258676509</v>
      </c>
      <c r="AQ47" s="636" t="n">
        <f aca="false">AQ46/AQ19</f>
        <v>0.267772992144403</v>
      </c>
      <c r="AR47" s="636" t="n">
        <f aca="false">AR46/AR19</f>
        <v>0.267820352260374</v>
      </c>
      <c r="AS47" s="636" t="n">
        <f aca="false">AS46/AS19</f>
        <v>0.267867949176924</v>
      </c>
      <c r="AT47" s="636" t="n">
        <f aca="false">AT46/AT19</f>
        <v>0.267915784078057</v>
      </c>
      <c r="AU47" s="636" t="n">
        <f aca="false">AU46/AU19</f>
        <v>0.267963858153696</v>
      </c>
      <c r="AV47" s="636" t="n">
        <f aca="false">AV46/AV19</f>
        <v>0.268012172599712</v>
      </c>
      <c r="AW47" s="639" t="n">
        <f aca="false">AW46/AW19</f>
        <v>0.268060728617959</v>
      </c>
      <c r="AX47" s="640" t="n">
        <f aca="false">AX46/AX19</f>
        <v>0.281065578236344</v>
      </c>
      <c r="AY47" s="636" t="n">
        <f aca="false">AY46/AY19</f>
        <v>0.281111117972079</v>
      </c>
      <c r="AZ47" s="636" t="n">
        <f aca="false">AZ46/AZ19</f>
        <v>0.281156885406493</v>
      </c>
      <c r="BA47" s="636" t="n">
        <f aca="false">BA46/BA19</f>
        <v>0.281202881678078</v>
      </c>
      <c r="BB47" s="636" t="n">
        <f aca="false">BB46/BB19</f>
        <v>0.281249107931022</v>
      </c>
      <c r="BC47" s="636" t="n">
        <f aca="false">BC46/BC19</f>
        <v>0.28129556531523</v>
      </c>
      <c r="BD47" s="636" t="n">
        <f aca="false">BD46/BD19</f>
        <v>0.281342254986359</v>
      </c>
      <c r="BE47" s="636" t="n">
        <f aca="false">BE46/BE19</f>
        <v>0.281389178105844</v>
      </c>
      <c r="BF47" s="636" t="n">
        <f aca="false">BF46/BF19</f>
        <v>0.281436335840927</v>
      </c>
      <c r="BG47" s="636" t="n">
        <f aca="false">BG46/BG19</f>
        <v>0.281483729364685</v>
      </c>
      <c r="BH47" s="636" t="n">
        <f aca="false">BH46/BH19</f>
        <v>0.281531359856061</v>
      </c>
      <c r="BI47" s="636" t="n">
        <f aca="false">BI46/BI19</f>
        <v>0.281579228499895</v>
      </c>
      <c r="BJ47" s="641" t="n">
        <f aca="false">BJ46/BJ19</f>
        <v>-0.391083772417465</v>
      </c>
      <c r="BK47" s="641" t="n">
        <f aca="false">BK46/BK19</f>
        <v>0.132475552009205</v>
      </c>
      <c r="BL47" s="641" t="n">
        <f aca="false">BL46/BL19</f>
        <v>0.251855985781431</v>
      </c>
      <c r="BM47" s="641" t="n">
        <f aca="false">BM46/BM19</f>
        <v>0.267798050157786</v>
      </c>
      <c r="BN47" s="641" t="n">
        <f aca="false">BN46/BN19</f>
        <v>0.281320268599418</v>
      </c>
      <c r="BO47" s="575" t="str">
        <f aca="false">IF('P&amp;L'!BS14="y","Net Surplus %","Net Profit %")</f>
        <v>Net Profit %</v>
      </c>
    </row>
    <row r="48" customFormat="false" ht="10.5" hidden="false" customHeight="true" outlineLevel="0" collapsed="false">
      <c r="A48" s="642"/>
      <c r="M48" s="643"/>
      <c r="Y48" s="643"/>
      <c r="Z48" s="644"/>
      <c r="AK48" s="643"/>
      <c r="AL48" s="644"/>
      <c r="AW48" s="643"/>
      <c r="AX48" s="644"/>
      <c r="BJ48" s="645"/>
      <c r="BK48" s="645"/>
      <c r="BL48" s="645"/>
      <c r="BM48" s="645"/>
      <c r="BN48" s="645"/>
      <c r="BO48" s="646"/>
    </row>
    <row r="49" customFormat="false" ht="10.5" hidden="false" customHeight="true" outlineLevel="0" collapsed="false">
      <c r="A49" s="593" t="s">
        <v>1734</v>
      </c>
      <c r="B49" s="535" t="n">
        <f aca="false">B42+B38</f>
        <v>-395805.9718</v>
      </c>
      <c r="C49" s="535" t="n">
        <f aca="false">C42+C38</f>
        <v>-412861.9718</v>
      </c>
      <c r="D49" s="535" t="n">
        <f aca="false">D42+D38</f>
        <v>-421260.529631429</v>
      </c>
      <c r="E49" s="535" t="n">
        <f aca="false">E42+E38</f>
        <v>-384005.078357812</v>
      </c>
      <c r="F49" s="535" t="n">
        <f aca="false">F42+F38</f>
        <v>-346620.184915624</v>
      </c>
      <c r="G49" s="535" t="n">
        <f aca="false">G42+G38</f>
        <v>-293170.398031247</v>
      </c>
      <c r="H49" s="535" t="n">
        <f aca="false">H42+H38</f>
        <v>-261040.611146871</v>
      </c>
      <c r="I49" s="535" t="n">
        <f aca="false">I42+I38</f>
        <v>-207590.824262494</v>
      </c>
      <c r="J49" s="535" t="n">
        <f aca="false">J42+J38</f>
        <v>-132821.037378118</v>
      </c>
      <c r="K49" s="535" t="n">
        <f aca="false">K42+K38</f>
        <v>-58051.2504937416</v>
      </c>
      <c r="L49" s="535" t="n">
        <f aca="false">L42+L38</f>
        <v>16718.5363906348</v>
      </c>
      <c r="M49" s="631" t="n">
        <f aca="false">M42+M38</f>
        <v>91488.3232750107</v>
      </c>
      <c r="N49" s="535" t="n">
        <f aca="false">N42+N38</f>
        <v>661820.000234499</v>
      </c>
      <c r="O49" s="535" t="n">
        <f aca="false">O42+O38</f>
        <v>758207.438124999</v>
      </c>
      <c r="P49" s="535" t="n">
        <f aca="false">P42+P38</f>
        <v>809822.876015501</v>
      </c>
      <c r="Q49" s="535" t="n">
        <f aca="false">Q42+Q38</f>
        <v>861438.313906001</v>
      </c>
      <c r="R49" s="535" t="n">
        <f aca="false">R42+R38</f>
        <v>913053.751796501</v>
      </c>
      <c r="S49" s="535" t="n">
        <f aca="false">S42+S38</f>
        <v>964669.189687001</v>
      </c>
      <c r="T49" s="535" t="n">
        <f aca="false">T42+T38</f>
        <v>1016284.6275775</v>
      </c>
      <c r="U49" s="535" t="n">
        <f aca="false">U42+U38</f>
        <v>1112672.065468</v>
      </c>
      <c r="V49" s="535" t="n">
        <f aca="false">V42+V38</f>
        <v>1257562.5033585</v>
      </c>
      <c r="W49" s="535" t="n">
        <f aca="false">W42+W38</f>
        <v>1402452.941249</v>
      </c>
      <c r="X49" s="535" t="n">
        <f aca="false">X42+X38</f>
        <v>1547343.3791395</v>
      </c>
      <c r="Y49" s="631" t="n">
        <f aca="false">Y42+Y38</f>
        <v>1692233.81703</v>
      </c>
      <c r="Z49" s="632" t="n">
        <f aca="false">Z42+Z38</f>
        <v>4424195.40898665</v>
      </c>
      <c r="AA49" s="535" t="n">
        <f aca="false">AA42+AA38</f>
        <v>4424195.40898665</v>
      </c>
      <c r="AB49" s="535" t="n">
        <f aca="false">AB42+AB38</f>
        <v>4424195.40898665</v>
      </c>
      <c r="AC49" s="535" t="n">
        <f aca="false">AC42+AC38</f>
        <v>4424195.40898665</v>
      </c>
      <c r="AD49" s="535" t="n">
        <f aca="false">AD42+AD38</f>
        <v>4424195.40898665</v>
      </c>
      <c r="AE49" s="535" t="n">
        <f aca="false">AE42+AE38</f>
        <v>4424195.40898665</v>
      </c>
      <c r="AF49" s="535" t="n">
        <f aca="false">AF42+AF38</f>
        <v>4424195.40898665</v>
      </c>
      <c r="AG49" s="535" t="n">
        <f aca="false">AG42+AG38</f>
        <v>4424195.40898665</v>
      </c>
      <c r="AH49" s="535" t="n">
        <f aca="false">AH42+AH38</f>
        <v>4424195.40898665</v>
      </c>
      <c r="AI49" s="535" t="n">
        <f aca="false">AI42+AI38</f>
        <v>4424195.40898665</v>
      </c>
      <c r="AJ49" s="535" t="n">
        <f aca="false">AJ42+AJ38</f>
        <v>4424195.40898665</v>
      </c>
      <c r="AK49" s="631" t="n">
        <f aca="false">AK42+AK38</f>
        <v>4424195.40898665</v>
      </c>
      <c r="AL49" s="632" t="n">
        <f aca="false">AL42+AL38</f>
        <v>5041319.74694789</v>
      </c>
      <c r="AM49" s="535" t="n">
        <f aca="false">AM42+AM38</f>
        <v>5041319.74694789</v>
      </c>
      <c r="AN49" s="535" t="n">
        <f aca="false">AN42+AN38</f>
        <v>5041319.74694789</v>
      </c>
      <c r="AO49" s="535" t="n">
        <f aca="false">AO42+AO38</f>
        <v>5041319.74694789</v>
      </c>
      <c r="AP49" s="535" t="n">
        <f aca="false">AP42+AP38</f>
        <v>5041319.74694789</v>
      </c>
      <c r="AQ49" s="535" t="n">
        <f aca="false">AQ42+AQ38</f>
        <v>5041319.74694789</v>
      </c>
      <c r="AR49" s="535" t="n">
        <f aca="false">AR42+AR38</f>
        <v>5041319.74694789</v>
      </c>
      <c r="AS49" s="535" t="n">
        <f aca="false">AS42+AS38</f>
        <v>5041319.74694789</v>
      </c>
      <c r="AT49" s="535" t="n">
        <f aca="false">AT42+AT38</f>
        <v>5041319.74694789</v>
      </c>
      <c r="AU49" s="535" t="n">
        <f aca="false">AU42+AU38</f>
        <v>5041319.74694789</v>
      </c>
      <c r="AV49" s="535" t="n">
        <f aca="false">AV42+AV38</f>
        <v>5041319.74694789</v>
      </c>
      <c r="AW49" s="631" t="n">
        <f aca="false">AW42+AW38</f>
        <v>5041319.74694789</v>
      </c>
      <c r="AX49" s="632" t="n">
        <f aca="false">AX42+AX38</f>
        <v>5655117.5210798</v>
      </c>
      <c r="AY49" s="535" t="n">
        <f aca="false">AY42+AY38</f>
        <v>5655117.5210798</v>
      </c>
      <c r="AZ49" s="535" t="n">
        <f aca="false">AZ42+AZ38</f>
        <v>5655117.5210798</v>
      </c>
      <c r="BA49" s="535" t="n">
        <f aca="false">BA42+BA38</f>
        <v>5655117.5210798</v>
      </c>
      <c r="BB49" s="535" t="n">
        <f aca="false">BB42+BB38</f>
        <v>5655117.5210798</v>
      </c>
      <c r="BC49" s="535" t="n">
        <f aca="false">BC42+BC38</f>
        <v>5655117.5210798</v>
      </c>
      <c r="BD49" s="535" t="n">
        <f aca="false">BD42+BD38</f>
        <v>5655117.5210798</v>
      </c>
      <c r="BE49" s="535" t="n">
        <f aca="false">BE42+BE38</f>
        <v>5655117.5210798</v>
      </c>
      <c r="BF49" s="535" t="n">
        <f aca="false">BF42+BF38</f>
        <v>5655117.5210798</v>
      </c>
      <c r="BG49" s="535" t="n">
        <f aca="false">BG42+BG38</f>
        <v>5655117.5210798</v>
      </c>
      <c r="BH49" s="535" t="n">
        <f aca="false">BH42+BH38</f>
        <v>5655117.5210798</v>
      </c>
      <c r="BI49" s="535" t="n">
        <f aca="false">BI42+BI38</f>
        <v>5655117.5210798</v>
      </c>
      <c r="BJ49" s="634" t="n">
        <f aca="false">BJ42+BJ38</f>
        <v>-2805242.15432026</v>
      </c>
      <c r="BK49" s="634" t="n">
        <f aca="false">BK42+BK38</f>
        <v>12997560.903587</v>
      </c>
      <c r="BL49" s="634" t="n">
        <f aca="false">BL42+BL38</f>
        <v>53090344.9078398</v>
      </c>
      <c r="BM49" s="634" t="n">
        <f aca="false">BM42+BM38</f>
        <v>60495836.9633747</v>
      </c>
      <c r="BN49" s="634" t="n">
        <f aca="false">BN42+BN38</f>
        <v>67861410.2529576</v>
      </c>
      <c r="BO49" s="575" t="s">
        <v>1734</v>
      </c>
    </row>
    <row r="50" customFormat="false" ht="10.5" hidden="false" customHeight="true" outlineLevel="0" collapsed="false">
      <c r="A50" s="593" t="s">
        <v>1735</v>
      </c>
      <c r="B50" s="636" t="n">
        <f aca="false">IFERROR(B49/B19,0)</f>
        <v>0</v>
      </c>
      <c r="C50" s="636" t="n">
        <f aca="false">IFERROR(C49/C19,0)</f>
        <v>0</v>
      </c>
      <c r="D50" s="636" t="n">
        <f aca="false">IFERROR(D49/D19,0)</f>
        <v>-459.319765391793</v>
      </c>
      <c r="E50" s="636" t="n">
        <f aca="false">IFERROR(E49/E19,0)</f>
        <v>-2.86150140599973</v>
      </c>
      <c r="F50" s="636" t="n">
        <f aca="false">IFERROR(F49/F19,0)</f>
        <v>-1.291459673822</v>
      </c>
      <c r="G50" s="636" t="n">
        <f aca="false">IFERROR(G49/G19,0)</f>
        <v>-0.546156518132184</v>
      </c>
      <c r="H50" s="637" t="n">
        <f aca="false">IFERROR(H49/H19,0)</f>
        <v>-0.324200606501608</v>
      </c>
      <c r="I50" s="637" t="n">
        <f aca="false">IFERROR(I49/I19,0)</f>
        <v>-0.193363795486797</v>
      </c>
      <c r="J50" s="637" t="n">
        <f aca="false">IFERROR(J49/J19,0)</f>
        <v>-0.0989746247182919</v>
      </c>
      <c r="K50" s="637" t="n">
        <f aca="false">IFERROR(K49/K19,0)</f>
        <v>-0.0360485108726221</v>
      </c>
      <c r="L50" s="637" t="n">
        <f aca="false">IFERROR(L49/L19,0)</f>
        <v>0.00889871330285644</v>
      </c>
      <c r="M50" s="638" t="n">
        <f aca="false">IFERROR(M49/M19,0)</f>
        <v>0.0426091314344651</v>
      </c>
      <c r="N50" s="636" t="n">
        <f aca="false">N49/N19</f>
        <v>0.201582409551256</v>
      </c>
      <c r="O50" s="636" t="n">
        <f aca="false">O49/O19</f>
        <v>0.20784677712443</v>
      </c>
      <c r="P50" s="636" t="n">
        <f aca="false">P49/P19</f>
        <v>0.201814613063125</v>
      </c>
      <c r="Q50" s="636" t="n">
        <f aca="false">Q49/Q19</f>
        <v>0.196787809678705</v>
      </c>
      <c r="R50" s="636" t="n">
        <f aca="false">R49/R19</f>
        <v>0.192534360661118</v>
      </c>
      <c r="S50" s="636" t="n">
        <f aca="false">S49/S19</f>
        <v>0.188888547217473</v>
      </c>
      <c r="T50" s="636" t="n">
        <f aca="false">T49/T19</f>
        <v>0.18572884223298</v>
      </c>
      <c r="U50" s="636" t="n">
        <f aca="false">U49/U19</f>
        <v>0.190634919923606</v>
      </c>
      <c r="V50" s="636" t="n">
        <f aca="false">V49/V19</f>
        <v>0.202785039782137</v>
      </c>
      <c r="W50" s="636" t="n">
        <f aca="false">W49/W19</f>
        <v>0.213585146323055</v>
      </c>
      <c r="X50" s="636" t="n">
        <f aca="false">X49/X19</f>
        <v>0.223248399543876</v>
      </c>
      <c r="Y50" s="639" t="n">
        <f aca="false">Y49/Y19</f>
        <v>0.231945327442614</v>
      </c>
      <c r="Z50" s="640" t="n">
        <f aca="false">Z49/Z19</f>
        <v>0.317638363347106</v>
      </c>
      <c r="AA50" s="636" t="n">
        <f aca="false">AA49/AA19</f>
        <v>0.317638363347106</v>
      </c>
      <c r="AB50" s="636" t="n">
        <f aca="false">AB49/AB19</f>
        <v>0.317638363347106</v>
      </c>
      <c r="AC50" s="636" t="n">
        <f aca="false">AC49/AC19</f>
        <v>0.317638363347106</v>
      </c>
      <c r="AD50" s="636" t="n">
        <f aca="false">AD49/AD19</f>
        <v>0.317638363347106</v>
      </c>
      <c r="AE50" s="636" t="n">
        <f aca="false">AE49/AE19</f>
        <v>0.317638363347106</v>
      </c>
      <c r="AF50" s="636" t="n">
        <f aca="false">AF49/AF19</f>
        <v>0.317638363347106</v>
      </c>
      <c r="AG50" s="636" t="n">
        <f aca="false">AG49/AG19</f>
        <v>0.317638363347106</v>
      </c>
      <c r="AH50" s="636" t="n">
        <f aca="false">AH49/AH19</f>
        <v>0.317638363347106</v>
      </c>
      <c r="AI50" s="636" t="n">
        <f aca="false">AI49/AI19</f>
        <v>0.317638363347106</v>
      </c>
      <c r="AJ50" s="636" t="n">
        <f aca="false">AJ49/AJ19</f>
        <v>0.317638363347106</v>
      </c>
      <c r="AK50" s="639" t="n">
        <f aca="false">AK49/AK19</f>
        <v>0.317638363347106</v>
      </c>
      <c r="AL50" s="640" t="n">
        <f aca="false">AL49/AL19</f>
        <v>0.334103316074629</v>
      </c>
      <c r="AM50" s="636" t="n">
        <f aca="false">AM49/AM19</f>
        <v>0.334103316074629</v>
      </c>
      <c r="AN50" s="636" t="n">
        <f aca="false">AN49/AN19</f>
        <v>0.334103316074629</v>
      </c>
      <c r="AO50" s="636" t="n">
        <f aca="false">AO49/AO19</f>
        <v>0.334103316074629</v>
      </c>
      <c r="AP50" s="636" t="n">
        <f aca="false">AP49/AP19</f>
        <v>0.334103316074629</v>
      </c>
      <c r="AQ50" s="636" t="n">
        <f aca="false">AQ49/AQ19</f>
        <v>0.334103316074629</v>
      </c>
      <c r="AR50" s="636" t="n">
        <f aca="false">AR49/AR19</f>
        <v>0.334103316074629</v>
      </c>
      <c r="AS50" s="636" t="n">
        <f aca="false">AS49/AS19</f>
        <v>0.334103316074629</v>
      </c>
      <c r="AT50" s="636" t="n">
        <f aca="false">AT49/AT19</f>
        <v>0.334103316074629</v>
      </c>
      <c r="AU50" s="636" t="n">
        <f aca="false">AU49/AU19</f>
        <v>0.334103316074629</v>
      </c>
      <c r="AV50" s="636" t="n">
        <f aca="false">AV49/AV19</f>
        <v>0.334103316074629</v>
      </c>
      <c r="AW50" s="639" t="n">
        <f aca="false">AW49/AW19</f>
        <v>0.334103316074629</v>
      </c>
      <c r="AX50" s="640" t="n">
        <f aca="false">AX49/AX19</f>
        <v>0.34801141861526</v>
      </c>
      <c r="AY50" s="636" t="n">
        <f aca="false">AY49/AY19</f>
        <v>0.34801141861526</v>
      </c>
      <c r="AZ50" s="636" t="n">
        <f aca="false">AZ49/AZ19</f>
        <v>0.34801141861526</v>
      </c>
      <c r="BA50" s="636" t="n">
        <f aca="false">BA49/BA19</f>
        <v>0.34801141861526</v>
      </c>
      <c r="BB50" s="636" t="n">
        <f aca="false">BB49/BB19</f>
        <v>0.34801141861526</v>
      </c>
      <c r="BC50" s="636" t="n">
        <f aca="false">BC49/BC19</f>
        <v>0.34801141861526</v>
      </c>
      <c r="BD50" s="636" t="n">
        <f aca="false">BD49/BD19</f>
        <v>0.34801141861526</v>
      </c>
      <c r="BE50" s="636" t="n">
        <f aca="false">BE49/BE19</f>
        <v>0.34801141861526</v>
      </c>
      <c r="BF50" s="636" t="n">
        <f aca="false">BF49/BF19</f>
        <v>0.34801141861526</v>
      </c>
      <c r="BG50" s="636" t="n">
        <f aca="false">BG49/BG19</f>
        <v>0.34801141861526</v>
      </c>
      <c r="BH50" s="636" t="n">
        <f aca="false">BH49/BH19</f>
        <v>0.34801141861526</v>
      </c>
      <c r="BI50" s="636" t="n">
        <f aca="false">BI49/BI19</f>
        <v>0.34801141861526</v>
      </c>
      <c r="BJ50" s="641" t="n">
        <f aca="false">BJ49/BJ19</f>
        <v>-0.286354816326527</v>
      </c>
      <c r="BK50" s="641" t="n">
        <f aca="false">BK49/BK19</f>
        <v>0.204770724535938</v>
      </c>
      <c r="BL50" s="641" t="n">
        <f aca="false">BL49/BL19</f>
        <v>0.317638363347106</v>
      </c>
      <c r="BM50" s="641" t="n">
        <f aca="false">BM49/BM19</f>
        <v>0.334103316074629</v>
      </c>
      <c r="BN50" s="641" t="n">
        <f aca="false">BN49/BN19</f>
        <v>0.348011418615261</v>
      </c>
      <c r="BO50" s="575" t="s">
        <v>1735</v>
      </c>
    </row>
    <row r="51" customFormat="false" ht="10.5" hidden="false" customHeight="true" outlineLevel="0" collapsed="false">
      <c r="A51" s="593"/>
      <c r="B51" s="535"/>
      <c r="C51" s="535"/>
      <c r="D51" s="535"/>
      <c r="E51" s="535"/>
      <c r="F51" s="535"/>
      <c r="G51" s="535"/>
      <c r="H51" s="535"/>
      <c r="I51" s="535"/>
      <c r="J51" s="535"/>
      <c r="K51" s="535"/>
      <c r="L51" s="535"/>
      <c r="M51" s="631"/>
      <c r="N51" s="535"/>
      <c r="O51" s="535"/>
      <c r="P51" s="535"/>
      <c r="Q51" s="535"/>
      <c r="R51" s="535"/>
      <c r="S51" s="535"/>
      <c r="T51" s="535"/>
      <c r="U51" s="535"/>
      <c r="V51" s="535"/>
      <c r="W51" s="535"/>
      <c r="X51" s="535"/>
      <c r="Y51" s="631"/>
      <c r="Z51" s="632"/>
      <c r="AA51" s="535"/>
      <c r="AB51" s="535"/>
      <c r="AC51" s="535"/>
      <c r="AD51" s="535"/>
      <c r="AE51" s="535"/>
      <c r="AF51" s="535"/>
      <c r="AG51" s="535"/>
      <c r="AH51" s="535"/>
      <c r="AI51" s="535"/>
      <c r="AJ51" s="535"/>
      <c r="AK51" s="631"/>
      <c r="AL51" s="632"/>
      <c r="AM51" s="535"/>
      <c r="AN51" s="535"/>
      <c r="AO51" s="535"/>
      <c r="AP51" s="535"/>
      <c r="AQ51" s="535"/>
      <c r="AR51" s="535"/>
      <c r="AS51" s="535"/>
      <c r="AT51" s="535"/>
      <c r="AU51" s="535"/>
      <c r="AV51" s="535"/>
      <c r="AW51" s="631"/>
      <c r="AX51" s="632"/>
      <c r="AY51" s="535"/>
      <c r="AZ51" s="535"/>
      <c r="BA51" s="535"/>
      <c r="BB51" s="535"/>
      <c r="BC51" s="535"/>
      <c r="BD51" s="535"/>
      <c r="BE51" s="535"/>
      <c r="BF51" s="535"/>
      <c r="BG51" s="535"/>
      <c r="BH51" s="535"/>
      <c r="BI51" s="535"/>
      <c r="BJ51" s="647"/>
      <c r="BK51" s="647" t="n">
        <v>5</v>
      </c>
      <c r="BL51" s="647" t="n">
        <v>6</v>
      </c>
      <c r="BM51" s="647" t="n">
        <v>7</v>
      </c>
      <c r="BN51" s="647" t="n">
        <v>8</v>
      </c>
      <c r="BO51" s="648" t="s">
        <v>1736</v>
      </c>
    </row>
    <row r="52" customFormat="false" ht="10.5" hidden="false" customHeight="true" outlineLevel="0" collapsed="false">
      <c r="A52" s="593"/>
      <c r="B52" s="535"/>
      <c r="C52" s="535"/>
      <c r="D52" s="535"/>
      <c r="E52" s="535"/>
      <c r="F52" s="535"/>
      <c r="G52" s="535"/>
      <c r="H52" s="535"/>
      <c r="I52" s="535"/>
      <c r="J52" s="535"/>
      <c r="K52" s="535"/>
      <c r="L52" s="535"/>
      <c r="M52" s="631"/>
      <c r="N52" s="535"/>
      <c r="O52" s="535"/>
      <c r="P52" s="535"/>
      <c r="Q52" s="535"/>
      <c r="R52" s="535"/>
      <c r="S52" s="535"/>
      <c r="T52" s="535"/>
      <c r="U52" s="535"/>
      <c r="V52" s="535"/>
      <c r="W52" s="535"/>
      <c r="X52" s="535"/>
      <c r="Y52" s="631"/>
      <c r="Z52" s="632"/>
      <c r="AA52" s="535"/>
      <c r="AB52" s="535"/>
      <c r="AC52" s="535"/>
      <c r="AD52" s="535"/>
      <c r="AE52" s="535"/>
      <c r="AF52" s="535"/>
      <c r="AG52" s="535"/>
      <c r="AH52" s="535"/>
      <c r="AI52" s="535"/>
      <c r="AJ52" s="535"/>
      <c r="AK52" s="631"/>
      <c r="AL52" s="632"/>
      <c r="AM52" s="535"/>
      <c r="AN52" s="535"/>
      <c r="AO52" s="535"/>
      <c r="AP52" s="535"/>
      <c r="AQ52" s="535"/>
      <c r="AR52" s="535"/>
      <c r="AS52" s="535"/>
      <c r="AT52" s="535"/>
      <c r="AU52" s="535"/>
      <c r="AV52" s="535"/>
      <c r="AW52" s="631"/>
      <c r="AX52" s="632"/>
      <c r="AY52" s="535"/>
      <c r="AZ52" s="535"/>
      <c r="BA52" s="535"/>
      <c r="BB52" s="535"/>
      <c r="BC52" s="535"/>
      <c r="BD52" s="535"/>
      <c r="BE52" s="535"/>
      <c r="BF52" s="535"/>
      <c r="BG52" s="535"/>
      <c r="BH52" s="535"/>
      <c r="BI52" s="535"/>
      <c r="BJ52" s="649" t="n">
        <f aca="false">BJ49*BJ51</f>
        <v>-0</v>
      </c>
      <c r="BK52" s="649" t="n">
        <f aca="false">BK49*BK51</f>
        <v>64987804.517935</v>
      </c>
      <c r="BL52" s="649" t="n">
        <f aca="false">BL49*BL51</f>
        <v>318542069.447039</v>
      </c>
      <c r="BM52" s="649" t="n">
        <f aca="false">BM49*BM51</f>
        <v>423470858.743623</v>
      </c>
      <c r="BN52" s="649" t="n">
        <f aca="false">BN49*BN51</f>
        <v>542891282.023661</v>
      </c>
      <c r="BO52" s="650"/>
    </row>
    <row r="53" customFormat="false" ht="10.5" hidden="false" customHeight="true" outlineLevel="0" collapsed="false">
      <c r="A53" s="593"/>
      <c r="B53" s="535"/>
      <c r="C53" s="535"/>
      <c r="D53" s="535"/>
      <c r="E53" s="535"/>
      <c r="F53" s="535"/>
      <c r="G53" s="535"/>
      <c r="H53" s="535"/>
      <c r="I53" s="535"/>
      <c r="J53" s="535"/>
      <c r="K53" s="535"/>
      <c r="L53" s="535"/>
      <c r="M53" s="631"/>
      <c r="N53" s="535"/>
      <c r="O53" s="535"/>
      <c r="P53" s="535"/>
      <c r="Q53" s="535"/>
      <c r="R53" s="535"/>
      <c r="S53" s="535"/>
      <c r="T53" s="535"/>
      <c r="U53" s="535"/>
      <c r="V53" s="535"/>
      <c r="W53" s="535"/>
      <c r="X53" s="535"/>
      <c r="Y53" s="631"/>
      <c r="Z53" s="632"/>
      <c r="AA53" s="535"/>
      <c r="AB53" s="535"/>
      <c r="AC53" s="535"/>
      <c r="AD53" s="535"/>
      <c r="AE53" s="535"/>
      <c r="AF53" s="535"/>
      <c r="AG53" s="535"/>
      <c r="AH53" s="535"/>
      <c r="AI53" s="535"/>
      <c r="AJ53" s="535"/>
      <c r="AK53" s="631"/>
      <c r="AL53" s="632"/>
      <c r="AM53" s="535"/>
      <c r="AN53" s="535"/>
      <c r="AO53" s="535"/>
      <c r="AP53" s="535"/>
      <c r="AQ53" s="535"/>
      <c r="AR53" s="535"/>
      <c r="AS53" s="535"/>
      <c r="AT53" s="535"/>
      <c r="AU53" s="535"/>
      <c r="AV53" s="535"/>
      <c r="AW53" s="631"/>
      <c r="AX53" s="632"/>
      <c r="AY53" s="535"/>
      <c r="AZ53" s="535"/>
      <c r="BA53" s="535"/>
      <c r="BB53" s="535"/>
      <c r="BC53" s="535"/>
      <c r="BD53" s="535"/>
      <c r="BE53" s="535"/>
      <c r="BF53" s="535"/>
      <c r="BG53" s="535"/>
      <c r="BH53" s="535"/>
      <c r="BI53" s="535"/>
      <c r="BJ53" s="634"/>
      <c r="BK53" s="634"/>
      <c r="BL53" s="634"/>
      <c r="BM53" s="634"/>
      <c r="BN53" s="634"/>
      <c r="BO53" s="575"/>
    </row>
    <row r="54" s="657" customFormat="true" ht="10.5" hidden="false" customHeight="true" outlineLevel="0" collapsed="false">
      <c r="A54" s="651" t="s">
        <v>1737</v>
      </c>
      <c r="B54" s="652" t="n">
        <f aca="false">B42-B43-'Sources &amp; Uses'!B24</f>
        <v>-395805.9718</v>
      </c>
      <c r="C54" s="652" t="n">
        <f aca="false">B54+C42-C43</f>
        <v>-808667.9436</v>
      </c>
      <c r="D54" s="652" t="n">
        <f aca="false">C54+D42-D43</f>
        <v>-1229928.47323143</v>
      </c>
      <c r="E54" s="652" t="n">
        <f aca="false">D54+E42-E43</f>
        <v>-1613933.55158924</v>
      </c>
      <c r="F54" s="652" t="n">
        <f aca="false">E54+F42-F43</f>
        <v>-1960553.73650486</v>
      </c>
      <c r="G54" s="652" t="n">
        <f aca="false">F54+G42-G43</f>
        <v>-2253724.13453611</v>
      </c>
      <c r="H54" s="652" t="n">
        <f aca="false">G54+H42-H43</f>
        <v>-2583226.34568298</v>
      </c>
      <c r="I54" s="652" t="n">
        <f aca="false">H54+I42-I43</f>
        <v>-2906610.03940064</v>
      </c>
      <c r="J54" s="652" t="n">
        <f aca="false">I54+J42-J43</f>
        <v>-3193191.47925125</v>
      </c>
      <c r="K54" s="652" t="n">
        <f aca="false">J54+K42-K43</f>
        <v>-3445744.94985351</v>
      </c>
      <c r="L54" s="652" t="n">
        <f aca="false">K54+L42-L43</f>
        <v>-3655576.36417758</v>
      </c>
      <c r="M54" s="653" t="n">
        <f aca="false">L54+M42-M43</f>
        <v>-3831207.37527624</v>
      </c>
      <c r="N54" s="652" t="n">
        <f aca="false">M54+N42-N43</f>
        <v>-3467405.14387464</v>
      </c>
      <c r="O54" s="652" t="n">
        <f aca="false">N54+O42-O43</f>
        <v>-3012729.72096419</v>
      </c>
      <c r="P54" s="652" t="n">
        <f aca="false">O54+P42-P43</f>
        <v>-2511935.39185606</v>
      </c>
      <c r="Q54" s="652" t="n">
        <f aca="false">P54+Q42-Q43</f>
        <v>-1958790.81728803</v>
      </c>
      <c r="R54" s="652" t="n">
        <f aca="false">Q54+R42-R43</f>
        <v>-1353292.32322225</v>
      </c>
      <c r="S54" s="652" t="n">
        <f aca="false">R54+S42-S43</f>
        <v>-695436.217250672</v>
      </c>
      <c r="T54" s="652" t="n">
        <f aca="false">S54+T42-T43</f>
        <v>14781.2114967702</v>
      </c>
      <c r="U54" s="652" t="n">
        <f aca="false">T54+U42-U43</f>
        <v>822135.692444505</v>
      </c>
      <c r="V54" s="652" t="n">
        <f aca="false">U54+V42-V43</f>
        <v>1775133.97366408</v>
      </c>
      <c r="W54" s="652" t="n">
        <f aca="false">V54+W42-W43</f>
        <v>2873779.8219674</v>
      </c>
      <c r="X54" s="652" t="n">
        <f aca="false">W54+X42-X43</f>
        <v>4118077.02300044</v>
      </c>
      <c r="Y54" s="653" t="n">
        <f aca="false">X54+Y42-Y43</f>
        <v>5508029.3813374</v>
      </c>
      <c r="Z54" s="654" t="n">
        <f aca="false">Y54+Z42-Z43</f>
        <v>9630711.87464148</v>
      </c>
      <c r="AA54" s="652" t="n">
        <f aca="false">Z54+AA42-AA43</f>
        <v>13754166.7536711</v>
      </c>
      <c r="AB54" s="652" t="n">
        <f aca="false">AA54+AB42-AB43</f>
        <v>17878397.8803549</v>
      </c>
      <c r="AC54" s="652" t="n">
        <f aca="false">AB54+AC42-AC43</f>
        <v>22003409.1359311</v>
      </c>
      <c r="AD54" s="652" t="n">
        <f aca="false">AC54+AD42-AD43</f>
        <v>26129204.4210442</v>
      </c>
      <c r="AE54" s="652" t="n">
        <f aca="false">AD54+AE42-AE43</f>
        <v>30255787.6558418</v>
      </c>
      <c r="AF54" s="652" t="n">
        <f aca="false">AE54+AF42-AF43</f>
        <v>34383162.7800725</v>
      </c>
      <c r="AG54" s="652" t="n">
        <f aca="false">AF54+AG42-AG43</f>
        <v>38511333.7531834</v>
      </c>
      <c r="AH54" s="652" t="n">
        <f aca="false">AG54+AH42-AH43</f>
        <v>42640304.5544188</v>
      </c>
      <c r="AI54" s="652" t="n">
        <f aca="false">AH54+AI42-AI43</f>
        <v>46770079.1829194</v>
      </c>
      <c r="AJ54" s="652" t="n">
        <f aca="false">AI54+AJ42-AJ43</f>
        <v>50900661.6578215</v>
      </c>
      <c r="AK54" s="653" t="n">
        <f aca="false">AJ54+AK42-AK43</f>
        <v>55032056.0183571</v>
      </c>
      <c r="AL54" s="654" t="n">
        <f aca="false">AK54+AL42-AL43</f>
        <v>59781390.6619156</v>
      </c>
      <c r="AM54" s="652" t="n">
        <f aca="false">AL54+AM42-AM43</f>
        <v>64531545.3302612</v>
      </c>
      <c r="AN54" s="652" t="n">
        <f aca="false">AM54+AN42-AN43</f>
        <v>69282524.1235177</v>
      </c>
      <c r="AO54" s="652" t="n">
        <f aca="false">AN54+AO42-AO43</f>
        <v>74034331.1623096</v>
      </c>
      <c r="AP54" s="652" t="n">
        <f aca="false">AO54+AP42-AP43</f>
        <v>78786970.5878648</v>
      </c>
      <c r="AQ54" s="652" t="n">
        <f aca="false">AP54+AQ42-AQ43</f>
        <v>83540446.5621169</v>
      </c>
      <c r="AR54" s="652" t="n">
        <f aca="false">AQ54+AR42-AR43</f>
        <v>88294763.2678095</v>
      </c>
      <c r="AS54" s="652" t="n">
        <f aca="false">AR54+AS42-AS43</f>
        <v>93049924.9085997</v>
      </c>
      <c r="AT54" s="652" t="n">
        <f aca="false">AS54+AT42-AT43</f>
        <v>97805935.7091631</v>
      </c>
      <c r="AU54" s="652" t="n">
        <f aca="false">AT54+AU42-AU43</f>
        <v>102562799.915299</v>
      </c>
      <c r="AV54" s="652" t="n">
        <f aca="false">AU54+AV42-AV43</f>
        <v>107320521.794034</v>
      </c>
      <c r="AW54" s="653" t="n">
        <f aca="false">AV54+AW42-AW43</f>
        <v>112079105.633732</v>
      </c>
      <c r="AX54" s="654" t="n">
        <f aca="false">AW54+AX42-AX43</f>
        <v>117452353.51833</v>
      </c>
      <c r="AY54" s="652" t="n">
        <f aca="false">AX54+AY42-AY43</f>
        <v>122826472.005049</v>
      </c>
      <c r="AZ54" s="652" t="n">
        <f aca="false">AY54+AZ42-AZ43</f>
        <v>128201465.446901</v>
      </c>
      <c r="BA54" s="652" t="n">
        <f aca="false">AZ54+BA42-BA43</f>
        <v>133577338.21866</v>
      </c>
      <c r="BB54" s="652" t="n">
        <f aca="false">BA54+BB42-BB43</f>
        <v>138954094.716976</v>
      </c>
      <c r="BC54" s="652" t="n">
        <f aca="false">BB54+BC42-BC43</f>
        <v>144331739.360483</v>
      </c>
      <c r="BD54" s="652" t="n">
        <f aca="false">BC54+BD42-BD43</f>
        <v>149710276.589906</v>
      </c>
      <c r="BE54" s="652" t="n">
        <f aca="false">BD54+BE42-BE43</f>
        <v>155089710.868174</v>
      </c>
      <c r="BF54" s="652" t="n">
        <f aca="false">BE54+BF42-BF43</f>
        <v>160470046.680533</v>
      </c>
      <c r="BG54" s="652" t="n">
        <f aca="false">BF54+BG42-BG43</f>
        <v>165851288.534651</v>
      </c>
      <c r="BH54" s="652" t="n">
        <f aca="false">BG54+BH42-BH43</f>
        <v>171233440.960739</v>
      </c>
      <c r="BI54" s="652" t="n">
        <f aca="false">BH54+BI42-BI43</f>
        <v>176616508.511656</v>
      </c>
      <c r="BJ54" s="655" t="n">
        <f aca="false">M54</f>
        <v>-3831207.37527624</v>
      </c>
      <c r="BK54" s="655" t="n">
        <f aca="false">Y54</f>
        <v>5508029.3813374</v>
      </c>
      <c r="BL54" s="655" t="n">
        <f aca="false">AK54</f>
        <v>55032056.0183571</v>
      </c>
      <c r="BM54" s="655" t="n">
        <f aca="false">AW54</f>
        <v>112079105.633732</v>
      </c>
      <c r="BN54" s="655" t="n">
        <f aca="false">BI54</f>
        <v>176616508.511656</v>
      </c>
      <c r="BO54" s="656" t="s">
        <v>1737</v>
      </c>
      <c r="BW54" s="658"/>
    </row>
  </sheetData>
  <mergeCells count="2">
    <mergeCell ref="C1:F1"/>
    <mergeCell ref="G1:K1"/>
  </mergeCells>
  <printOptions headings="false" gridLines="false" gridLinesSet="true" horizontalCentered="false" verticalCentered="false"/>
  <pageMargins left="0.7" right="0.7" top="0.611111111111111" bottom="0.75" header="0.511811023622047" footer="0.3"/>
  <pageSetup paperSize="1" scale="140" fitToWidth="1" fitToHeight="1" pageOrder="downThenOver" orientation="portrait" blackAndWhite="false" draft="false" cellComments="none" horizontalDpi="300" verticalDpi="300" copies="1"/>
  <headerFooter differentFirst="false" differentOddEven="false">
    <oddHeader/>
    <oddFooter>&amp;CProfit and Loss</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9DFF43"/>
    <pageSetUpPr fitToPage="true"/>
  </sheetPr>
  <dimension ref="A1:JA124"/>
  <sheetViews>
    <sheetView showFormulas="false" showGridLines="true" showRowColHeaders="true" showZeros="true" rightToLeft="false" tabSelected="false" showOutlineSymbols="true" defaultGridColor="true" view="normal" topLeftCell="A29" colorId="64" zoomScale="130" zoomScaleNormal="130" zoomScalePageLayoutView="100" workbookViewId="0">
      <pane xSplit="1" ySplit="0" topLeftCell="R29" activePane="topRight" state="frozen"/>
      <selection pane="topLeft" activeCell="A29" activeCellId="0" sqref="A29"/>
      <selection pane="topRight" activeCell="BH19" activeCellId="0" sqref="BH19"/>
    </sheetView>
  </sheetViews>
  <sheetFormatPr defaultColWidth="9.18359375" defaultRowHeight="12" customHeight="true" zeroHeight="false" outlineLevelRow="1" outlineLevelCol="1"/>
  <cols>
    <col collapsed="false" customWidth="true" hidden="false" outlineLevel="0" max="1" min="1" style="529" width="25.73"/>
    <col collapsed="false" customWidth="true" hidden="false" outlineLevel="0" max="2" min="2" style="659" width="9.27"/>
    <col collapsed="false" customWidth="true" hidden="false" outlineLevel="0" max="5" min="3" style="659" width="9.54"/>
    <col collapsed="false" customWidth="true" hidden="false" outlineLevel="0" max="13" min="6" style="659" width="9.27"/>
    <col collapsed="false" customWidth="true" hidden="false" outlineLevel="1" max="43" min="14" style="659" width="9.27"/>
    <col collapsed="false" customWidth="true" hidden="false" outlineLevel="1" max="59" min="44" style="659" width="9.54"/>
    <col collapsed="false" customWidth="true" hidden="false" outlineLevel="0" max="61" min="60" style="659" width="9.45"/>
    <col collapsed="false" customWidth="true" hidden="false" outlineLevel="0" max="62" min="62" style="659" width="9.27"/>
    <col collapsed="false" customWidth="false" hidden="false" outlineLevel="0" max="64" min="63" style="660" width="9.18"/>
    <col collapsed="false" customWidth="true" hidden="false" outlineLevel="0" max="66" min="65" style="660" width="9.54"/>
    <col collapsed="false" customWidth="true" hidden="false" outlineLevel="0" max="67" min="67" style="1" width="26.54"/>
    <col collapsed="false" customWidth="true" hidden="false" outlineLevel="0" max="69" min="68" style="1" width="12.73"/>
    <col collapsed="false" customWidth="true" hidden="false" outlineLevel="0" max="70" min="70" style="1" width="8.18"/>
    <col collapsed="false" customWidth="true" hidden="false" outlineLevel="0" max="71" min="71" style="1" width="24.73"/>
    <col collapsed="false" customWidth="true" hidden="false" outlineLevel="0" max="102" min="72" style="1" width="8.82"/>
    <col collapsed="false" customWidth="true" hidden="false" outlineLevel="0" max="119" min="103" style="1" width="9.82"/>
    <col collapsed="false" customWidth="true" hidden="true" outlineLevel="0" max="167" min="120" style="1" width="11.54"/>
    <col collapsed="false" customWidth="false" hidden="false" outlineLevel="0" max="16384" min="191" style="659" width="9.18"/>
  </cols>
  <sheetData>
    <row r="1" s="669" customFormat="true" ht="10.5" hidden="false" customHeight="true" outlineLevel="0" collapsed="false">
      <c r="A1" s="661" t="s">
        <v>1</v>
      </c>
      <c r="B1" s="662" t="str">
        <f aca="false">'P&amp;L'!B27</f>
        <v>Month 1</v>
      </c>
      <c r="C1" s="662" t="str">
        <f aca="false">'P&amp;L'!C27</f>
        <v>Month 2</v>
      </c>
      <c r="D1" s="662" t="str">
        <f aca="false">'P&amp;L'!D27</f>
        <v>Month 3</v>
      </c>
      <c r="E1" s="662" t="str">
        <f aca="false">'P&amp;L'!E27</f>
        <v>Month 4</v>
      </c>
      <c r="F1" s="662" t="str">
        <f aca="false">'P&amp;L'!F27</f>
        <v>Month 5</v>
      </c>
      <c r="G1" s="662" t="str">
        <f aca="false">'P&amp;L'!G27</f>
        <v>Month 6</v>
      </c>
      <c r="H1" s="662" t="str">
        <f aca="false">'P&amp;L'!H27</f>
        <v>Month 7</v>
      </c>
      <c r="I1" s="662" t="str">
        <f aca="false">'P&amp;L'!I27</f>
        <v>Month 8</v>
      </c>
      <c r="J1" s="662" t="str">
        <f aca="false">'P&amp;L'!J27</f>
        <v>Month 9</v>
      </c>
      <c r="K1" s="662" t="str">
        <f aca="false">'P&amp;L'!K27</f>
        <v>Month 10</v>
      </c>
      <c r="L1" s="662" t="str">
        <f aca="false">'P&amp;L'!L27</f>
        <v>Month 11</v>
      </c>
      <c r="M1" s="663" t="str">
        <f aca="false">'P&amp;L'!M27</f>
        <v>Month 12</v>
      </c>
      <c r="N1" s="664" t="str">
        <f aca="false">N23</f>
        <v>Month 13</v>
      </c>
      <c r="O1" s="664" t="str">
        <f aca="false">O23</f>
        <v>Month 14</v>
      </c>
      <c r="P1" s="664" t="str">
        <f aca="false">P23</f>
        <v>Month 15</v>
      </c>
      <c r="Q1" s="664" t="str">
        <f aca="false">Q23</f>
        <v>Month 16</v>
      </c>
      <c r="R1" s="664" t="str">
        <f aca="false">R23</f>
        <v>Month 17</v>
      </c>
      <c r="S1" s="664" t="str">
        <f aca="false">S23</f>
        <v>Month 18</v>
      </c>
      <c r="T1" s="664" t="str">
        <f aca="false">T23</f>
        <v>Month 19</v>
      </c>
      <c r="U1" s="664" t="str">
        <f aca="false">U23</f>
        <v>Month 20</v>
      </c>
      <c r="V1" s="664" t="str">
        <f aca="false">V23</f>
        <v>Month 21</v>
      </c>
      <c r="W1" s="664" t="str">
        <f aca="false">W23</f>
        <v>Month 22</v>
      </c>
      <c r="X1" s="664" t="str">
        <f aca="false">X23</f>
        <v>Month 23</v>
      </c>
      <c r="Y1" s="665" t="str">
        <f aca="false">Y23</f>
        <v>Month 24</v>
      </c>
      <c r="Z1" s="666" t="str">
        <f aca="false">Z23</f>
        <v>Month 25</v>
      </c>
      <c r="AA1" s="664" t="str">
        <f aca="false">AA23</f>
        <v>Month 26</v>
      </c>
      <c r="AB1" s="664" t="str">
        <f aca="false">AB23</f>
        <v>Month 27</v>
      </c>
      <c r="AC1" s="664" t="str">
        <f aca="false">AC23</f>
        <v>Month 28</v>
      </c>
      <c r="AD1" s="664" t="str">
        <f aca="false">AD23</f>
        <v>Month 29</v>
      </c>
      <c r="AE1" s="664" t="str">
        <f aca="false">AE23</f>
        <v>Month 30</v>
      </c>
      <c r="AF1" s="664" t="str">
        <f aca="false">AF23</f>
        <v>Month 31</v>
      </c>
      <c r="AG1" s="664" t="str">
        <f aca="false">AG23</f>
        <v>Month 32</v>
      </c>
      <c r="AH1" s="664" t="str">
        <f aca="false">AH23</f>
        <v>Month 33</v>
      </c>
      <c r="AI1" s="664" t="str">
        <f aca="false">AI23</f>
        <v>Month 34</v>
      </c>
      <c r="AJ1" s="664" t="str">
        <f aca="false">AJ23</f>
        <v>Month 35</v>
      </c>
      <c r="AK1" s="665" t="str">
        <f aca="false">AK23</f>
        <v>Month 36</v>
      </c>
      <c r="AL1" s="666" t="s">
        <v>1646</v>
      </c>
      <c r="AM1" s="664" t="s">
        <v>1647</v>
      </c>
      <c r="AN1" s="664" t="s">
        <v>1648</v>
      </c>
      <c r="AO1" s="664" t="s">
        <v>1649</v>
      </c>
      <c r="AP1" s="664" t="s">
        <v>1650</v>
      </c>
      <c r="AQ1" s="664" t="s">
        <v>1651</v>
      </c>
      <c r="AR1" s="664" t="s">
        <v>1652</v>
      </c>
      <c r="AS1" s="664" t="s">
        <v>1653</v>
      </c>
      <c r="AT1" s="664" t="s">
        <v>1654</v>
      </c>
      <c r="AU1" s="664" t="s">
        <v>1655</v>
      </c>
      <c r="AV1" s="664" t="s">
        <v>1656</v>
      </c>
      <c r="AW1" s="665" t="s">
        <v>1657</v>
      </c>
      <c r="AX1" s="666" t="s">
        <v>1658</v>
      </c>
      <c r="AY1" s="664" t="s">
        <v>1659</v>
      </c>
      <c r="AZ1" s="664" t="s">
        <v>1660</v>
      </c>
      <c r="BA1" s="664" t="s">
        <v>1661</v>
      </c>
      <c r="BB1" s="664" t="s">
        <v>1662</v>
      </c>
      <c r="BC1" s="664" t="s">
        <v>1663</v>
      </c>
      <c r="BD1" s="664" t="s">
        <v>1664</v>
      </c>
      <c r="BE1" s="664" t="s">
        <v>1665</v>
      </c>
      <c r="BF1" s="664" t="s">
        <v>1666</v>
      </c>
      <c r="BG1" s="664" t="s">
        <v>1667</v>
      </c>
      <c r="BH1" s="629" t="s">
        <v>1668</v>
      </c>
      <c r="BI1" s="630" t="s">
        <v>1669</v>
      </c>
      <c r="BJ1" s="662" t="s">
        <v>1488</v>
      </c>
      <c r="BK1" s="667" t="s">
        <v>1672</v>
      </c>
      <c r="BL1" s="667" t="s">
        <v>1673</v>
      </c>
      <c r="BM1" s="667" t="s">
        <v>1674</v>
      </c>
      <c r="BN1" s="667" t="s">
        <v>1675</v>
      </c>
      <c r="BO1" s="668" t="s">
        <v>1</v>
      </c>
      <c r="BP1" s="659"/>
      <c r="BQ1" s="659"/>
      <c r="BR1" s="659"/>
      <c r="BS1" s="659"/>
      <c r="BT1" s="659"/>
      <c r="BU1" s="659"/>
      <c r="BV1" s="659"/>
      <c r="BW1" s="659"/>
      <c r="BX1" s="659"/>
      <c r="BY1" s="659"/>
      <c r="BZ1" s="659"/>
      <c r="CA1" s="659"/>
      <c r="CB1" s="659"/>
      <c r="CC1" s="659"/>
      <c r="CD1" s="659"/>
      <c r="CE1" s="659"/>
      <c r="CF1" s="659"/>
      <c r="CG1" s="659"/>
      <c r="CH1" s="659"/>
      <c r="CI1" s="659"/>
      <c r="CJ1" s="659"/>
      <c r="CK1" s="659"/>
      <c r="CL1" s="659"/>
      <c r="CM1" s="659"/>
      <c r="CN1" s="659"/>
      <c r="CO1" s="659"/>
      <c r="CP1" s="659"/>
      <c r="CQ1" s="659"/>
      <c r="CR1" s="659"/>
      <c r="CS1" s="659"/>
      <c r="CT1" s="659"/>
      <c r="CU1" s="659"/>
      <c r="CV1" s="659"/>
      <c r="CW1" s="659"/>
      <c r="CX1" s="659"/>
      <c r="CY1" s="659"/>
      <c r="CZ1" s="659"/>
      <c r="DA1" s="659"/>
      <c r="DB1" s="659"/>
      <c r="DC1" s="659"/>
      <c r="DD1" s="659"/>
      <c r="DE1" s="659"/>
      <c r="DF1" s="659"/>
      <c r="DG1" s="659"/>
      <c r="DH1" s="659"/>
      <c r="DI1" s="659"/>
      <c r="DJ1" s="659"/>
      <c r="DK1" s="659"/>
      <c r="DL1" s="659"/>
      <c r="DM1" s="659"/>
      <c r="DN1" s="659"/>
      <c r="DO1" s="659"/>
      <c r="DP1" s="659"/>
      <c r="DQ1" s="659"/>
      <c r="DR1" s="659"/>
      <c r="DS1" s="659"/>
      <c r="DT1" s="659"/>
      <c r="DU1" s="659"/>
      <c r="DV1" s="659"/>
      <c r="DW1" s="659"/>
      <c r="DX1" s="659"/>
      <c r="DY1" s="659"/>
      <c r="DZ1" s="659"/>
      <c r="EA1" s="659"/>
      <c r="EB1" s="659"/>
      <c r="EC1" s="659"/>
      <c r="ED1" s="659"/>
      <c r="EE1" s="659"/>
      <c r="EF1" s="659"/>
      <c r="EG1" s="659"/>
      <c r="EH1" s="659"/>
      <c r="EI1" s="659"/>
      <c r="EJ1" s="659"/>
      <c r="EK1" s="659"/>
      <c r="EL1" s="659"/>
      <c r="EM1" s="659"/>
      <c r="EN1" s="659"/>
      <c r="EO1" s="659"/>
      <c r="EP1" s="659"/>
      <c r="EQ1" s="659"/>
      <c r="ER1" s="659"/>
      <c r="ES1" s="659"/>
      <c r="ET1" s="659"/>
      <c r="EU1" s="659"/>
      <c r="EV1" s="659"/>
      <c r="EW1" s="659"/>
      <c r="EX1" s="659"/>
      <c r="EY1" s="659"/>
      <c r="EZ1" s="659"/>
      <c r="FA1" s="659"/>
      <c r="FB1" s="659"/>
      <c r="FC1" s="659"/>
      <c r="FD1" s="659"/>
      <c r="FE1" s="659"/>
      <c r="FF1" s="659"/>
      <c r="FG1" s="659"/>
      <c r="FH1" s="659"/>
      <c r="FI1" s="659"/>
      <c r="FJ1" s="659"/>
      <c r="FK1" s="659"/>
      <c r="FL1" s="659"/>
      <c r="FM1" s="659"/>
      <c r="FN1" s="659"/>
      <c r="FO1" s="659"/>
      <c r="FP1" s="659"/>
      <c r="FQ1" s="659"/>
      <c r="FR1" s="659"/>
      <c r="FS1" s="659"/>
      <c r="FT1" s="659"/>
      <c r="FU1" s="659"/>
      <c r="FV1" s="659"/>
      <c r="FW1" s="659"/>
      <c r="FX1" s="659"/>
      <c r="FY1" s="659"/>
      <c r="FZ1" s="659"/>
      <c r="GA1" s="659"/>
      <c r="GB1" s="659"/>
      <c r="GC1" s="659"/>
      <c r="GD1" s="659"/>
      <c r="GE1" s="659"/>
      <c r="GF1" s="659"/>
      <c r="GG1" s="659"/>
      <c r="GH1" s="659"/>
      <c r="GI1" s="659"/>
      <c r="GJ1" s="659"/>
      <c r="GK1" s="659"/>
      <c r="GL1" s="659"/>
      <c r="GM1" s="659"/>
      <c r="GN1" s="659"/>
      <c r="GO1" s="659"/>
      <c r="GP1" s="659"/>
      <c r="GQ1" s="659"/>
      <c r="GR1" s="659"/>
      <c r="GS1" s="659"/>
      <c r="GT1" s="659"/>
      <c r="GU1" s="659"/>
      <c r="GV1" s="659"/>
      <c r="GW1" s="659"/>
      <c r="GX1" s="659"/>
      <c r="GY1" s="659"/>
      <c r="GZ1" s="659"/>
      <c r="HA1" s="659"/>
      <c r="HB1" s="659"/>
      <c r="HC1" s="659"/>
      <c r="HD1" s="659"/>
      <c r="HE1" s="659"/>
      <c r="HF1" s="659"/>
      <c r="HG1" s="659"/>
      <c r="HH1" s="659"/>
      <c r="HI1" s="659"/>
      <c r="HJ1" s="659"/>
      <c r="HK1" s="659"/>
      <c r="HL1" s="659"/>
      <c r="HM1" s="659"/>
      <c r="HN1" s="659"/>
      <c r="HO1" s="659"/>
      <c r="HP1" s="659"/>
      <c r="HQ1" s="659"/>
      <c r="HR1" s="659"/>
      <c r="HS1" s="659"/>
      <c r="HT1" s="659"/>
      <c r="HU1" s="659"/>
      <c r="HV1" s="659"/>
      <c r="HW1" s="659"/>
      <c r="HX1" s="659"/>
      <c r="HY1" s="659"/>
      <c r="HZ1" s="659"/>
      <c r="IA1" s="659"/>
      <c r="IB1" s="659"/>
      <c r="IC1" s="659"/>
      <c r="ID1" s="659"/>
      <c r="IE1" s="659"/>
      <c r="IF1" s="659"/>
      <c r="IG1" s="659"/>
      <c r="IH1" s="659"/>
      <c r="II1" s="659"/>
      <c r="IJ1" s="659"/>
      <c r="IK1" s="659"/>
      <c r="IL1" s="659"/>
      <c r="IM1" s="659"/>
      <c r="IN1" s="659"/>
      <c r="IO1" s="659"/>
      <c r="IP1" s="659"/>
      <c r="IQ1" s="659"/>
      <c r="IR1" s="659"/>
      <c r="IS1" s="659"/>
      <c r="IT1" s="659"/>
      <c r="IU1" s="659"/>
      <c r="IV1" s="659"/>
      <c r="IW1" s="659"/>
      <c r="IX1" s="659"/>
      <c r="IY1" s="659"/>
      <c r="IZ1" s="659"/>
      <c r="JA1" s="659"/>
    </row>
    <row r="2" customFormat="false" ht="10.5" hidden="false" customHeight="true" outlineLevel="0" collapsed="false">
      <c r="A2" s="670" t="s">
        <v>1738</v>
      </c>
      <c r="B2" s="671" t="str">
        <f aca="false">IF('Sources &amp; Uses'!B28&gt;Revenue!BJ150,"START UP INVENTORY &gt; ONE YEAR","")</f>
        <v/>
      </c>
      <c r="C2" s="671"/>
      <c r="D2" s="671"/>
      <c r="E2" s="671"/>
      <c r="F2" s="671"/>
      <c r="G2" s="671"/>
      <c r="H2" s="671"/>
      <c r="I2" s="671"/>
      <c r="J2" s="671"/>
      <c r="K2" s="671"/>
      <c r="L2" s="671"/>
      <c r="M2" s="671"/>
      <c r="N2" s="672"/>
      <c r="O2" s="672"/>
      <c r="P2" s="672"/>
      <c r="Q2" s="672"/>
      <c r="R2" s="672"/>
      <c r="S2" s="672"/>
      <c r="T2" s="672"/>
      <c r="U2" s="672"/>
      <c r="V2" s="672"/>
      <c r="W2" s="672"/>
      <c r="X2" s="672"/>
      <c r="Y2" s="673"/>
      <c r="Z2" s="674"/>
      <c r="AA2" s="672"/>
      <c r="AB2" s="672"/>
      <c r="AC2" s="672"/>
      <c r="AD2" s="672"/>
      <c r="AE2" s="672"/>
      <c r="AF2" s="672"/>
      <c r="AG2" s="672"/>
      <c r="AH2" s="672"/>
      <c r="AI2" s="672"/>
      <c r="AJ2" s="672"/>
      <c r="AK2" s="673"/>
      <c r="AL2" s="674"/>
      <c r="AM2" s="672"/>
      <c r="AN2" s="672"/>
      <c r="AO2" s="672"/>
      <c r="AP2" s="672"/>
      <c r="AQ2" s="672"/>
      <c r="AR2" s="672"/>
      <c r="AS2" s="672"/>
      <c r="AT2" s="672"/>
      <c r="AU2" s="672"/>
      <c r="AV2" s="672"/>
      <c r="AW2" s="673"/>
      <c r="AX2" s="674"/>
      <c r="AY2" s="672"/>
      <c r="AZ2" s="672"/>
      <c r="BA2" s="672"/>
      <c r="BB2" s="672"/>
      <c r="BC2" s="672"/>
      <c r="BD2" s="672"/>
      <c r="BE2" s="672"/>
      <c r="BF2" s="672"/>
      <c r="BG2" s="672"/>
      <c r="BH2" s="672"/>
      <c r="BI2" s="673"/>
      <c r="BJ2" s="675"/>
      <c r="BK2" s="675"/>
      <c r="BL2" s="675"/>
      <c r="BM2" s="675"/>
      <c r="BN2" s="675"/>
      <c r="BO2" s="676" t="s">
        <v>1738</v>
      </c>
    </row>
    <row r="3" customFormat="false" ht="10.5" hidden="false" customHeight="true" outlineLevel="0" collapsed="false">
      <c r="A3" s="677" t="s">
        <v>1739</v>
      </c>
      <c r="B3" s="678" t="n">
        <v>30</v>
      </c>
      <c r="C3" s="678" t="n">
        <v>30</v>
      </c>
      <c r="D3" s="678" t="n">
        <v>30</v>
      </c>
      <c r="E3" s="678" t="n">
        <v>30</v>
      </c>
      <c r="F3" s="678" t="n">
        <v>30</v>
      </c>
      <c r="G3" s="678" t="n">
        <v>30</v>
      </c>
      <c r="H3" s="678" t="n">
        <v>30</v>
      </c>
      <c r="I3" s="678" t="n">
        <v>30</v>
      </c>
      <c r="J3" s="678" t="n">
        <v>30</v>
      </c>
      <c r="K3" s="678" t="n">
        <v>30</v>
      </c>
      <c r="L3" s="678" t="n">
        <v>30</v>
      </c>
      <c r="M3" s="679" t="n">
        <v>30</v>
      </c>
      <c r="N3" s="680" t="n">
        <v>30</v>
      </c>
      <c r="O3" s="681" t="n">
        <v>30</v>
      </c>
      <c r="P3" s="681" t="n">
        <v>30</v>
      </c>
      <c r="Q3" s="681" t="n">
        <v>30</v>
      </c>
      <c r="R3" s="681" t="n">
        <v>30</v>
      </c>
      <c r="S3" s="681" t="n">
        <v>30</v>
      </c>
      <c r="T3" s="681" t="n">
        <v>30</v>
      </c>
      <c r="U3" s="681" t="n">
        <v>30</v>
      </c>
      <c r="V3" s="681" t="n">
        <v>30</v>
      </c>
      <c r="W3" s="681" t="n">
        <v>30</v>
      </c>
      <c r="X3" s="681" t="n">
        <v>30</v>
      </c>
      <c r="Y3" s="682" t="n">
        <v>30</v>
      </c>
      <c r="Z3" s="683" t="n">
        <v>30</v>
      </c>
      <c r="AA3" s="684" t="n">
        <v>30</v>
      </c>
      <c r="AB3" s="684" t="n">
        <v>30</v>
      </c>
      <c r="AC3" s="684" t="n">
        <v>30</v>
      </c>
      <c r="AD3" s="684" t="n">
        <v>30</v>
      </c>
      <c r="AE3" s="684" t="n">
        <v>30</v>
      </c>
      <c r="AF3" s="684" t="n">
        <v>30</v>
      </c>
      <c r="AG3" s="684" t="n">
        <v>30</v>
      </c>
      <c r="AH3" s="684" t="n">
        <v>30</v>
      </c>
      <c r="AI3" s="684" t="n">
        <v>30</v>
      </c>
      <c r="AJ3" s="684" t="n">
        <v>30</v>
      </c>
      <c r="AK3" s="685" t="n">
        <v>30</v>
      </c>
      <c r="AL3" s="686" t="n">
        <v>30</v>
      </c>
      <c r="AM3" s="687" t="n">
        <v>30</v>
      </c>
      <c r="AN3" s="687" t="n">
        <v>30</v>
      </c>
      <c r="AO3" s="687" t="n">
        <v>30</v>
      </c>
      <c r="AP3" s="687" t="n">
        <v>30</v>
      </c>
      <c r="AQ3" s="687" t="n">
        <v>30</v>
      </c>
      <c r="AR3" s="687" t="n">
        <v>30</v>
      </c>
      <c r="AS3" s="687" t="n">
        <v>30</v>
      </c>
      <c r="AT3" s="687" t="n">
        <v>30</v>
      </c>
      <c r="AU3" s="687" t="n">
        <v>30</v>
      </c>
      <c r="AV3" s="687" t="n">
        <v>30</v>
      </c>
      <c r="AW3" s="688" t="n">
        <v>30</v>
      </c>
      <c r="AX3" s="689" t="n">
        <v>30</v>
      </c>
      <c r="AY3" s="690" t="n">
        <v>30</v>
      </c>
      <c r="AZ3" s="690" t="n">
        <v>30</v>
      </c>
      <c r="BA3" s="690" t="n">
        <v>30</v>
      </c>
      <c r="BB3" s="690" t="n">
        <v>30</v>
      </c>
      <c r="BC3" s="690" t="n">
        <v>30</v>
      </c>
      <c r="BD3" s="690" t="n">
        <v>30</v>
      </c>
      <c r="BE3" s="690" t="n">
        <v>30</v>
      </c>
      <c r="BF3" s="690" t="n">
        <v>30</v>
      </c>
      <c r="BG3" s="690" t="n">
        <v>30</v>
      </c>
      <c r="BH3" s="690" t="n">
        <v>30</v>
      </c>
      <c r="BI3" s="691" t="n">
        <v>30</v>
      </c>
      <c r="BJ3" s="692" t="n">
        <f aca="false">AVERAGE(H3:M3)</f>
        <v>30</v>
      </c>
      <c r="BK3" s="693" t="n">
        <f aca="false">AVERAGE(N3:Y3)</f>
        <v>30</v>
      </c>
      <c r="BL3" s="693" t="n">
        <f aca="false">AVERAGE(Z3:AK3)</f>
        <v>30</v>
      </c>
      <c r="BM3" s="693" t="n">
        <f aca="false">AVERAGE(AL3:AW3)</f>
        <v>30</v>
      </c>
      <c r="BN3" s="694" t="n">
        <f aca="false">AVERAGE(AX3:BI3)</f>
        <v>30</v>
      </c>
      <c r="BO3" s="695" t="s">
        <v>1739</v>
      </c>
    </row>
    <row r="4" customFormat="false" ht="10.5" hidden="false" customHeight="true" outlineLevel="0" collapsed="false">
      <c r="A4" s="696" t="s">
        <v>1495</v>
      </c>
      <c r="B4" s="697" t="n">
        <v>0</v>
      </c>
      <c r="C4" s="697" t="n">
        <v>0</v>
      </c>
      <c r="D4" s="697" t="n">
        <v>0</v>
      </c>
      <c r="E4" s="697" t="n">
        <v>0</v>
      </c>
      <c r="F4" s="697" t="n">
        <v>0</v>
      </c>
      <c r="G4" s="697" t="n">
        <v>0</v>
      </c>
      <c r="H4" s="697" t="n">
        <v>0</v>
      </c>
      <c r="I4" s="697" t="n">
        <v>0</v>
      </c>
      <c r="J4" s="697" t="n">
        <v>0</v>
      </c>
      <c r="K4" s="697" t="n">
        <v>0</v>
      </c>
      <c r="L4" s="697" t="n">
        <v>0</v>
      </c>
      <c r="M4" s="698" t="n">
        <v>0</v>
      </c>
      <c r="N4" s="699" t="n">
        <v>0</v>
      </c>
      <c r="O4" s="700" t="n">
        <v>0</v>
      </c>
      <c r="P4" s="700" t="n">
        <v>0</v>
      </c>
      <c r="Q4" s="700" t="n">
        <v>0</v>
      </c>
      <c r="R4" s="700" t="n">
        <v>0</v>
      </c>
      <c r="S4" s="700" t="n">
        <v>0</v>
      </c>
      <c r="T4" s="700" t="n">
        <v>0</v>
      </c>
      <c r="U4" s="700" t="n">
        <v>0</v>
      </c>
      <c r="V4" s="700" t="n">
        <v>0</v>
      </c>
      <c r="W4" s="700" t="n">
        <v>0</v>
      </c>
      <c r="X4" s="700" t="n">
        <v>0</v>
      </c>
      <c r="Y4" s="701" t="n">
        <v>0</v>
      </c>
      <c r="Z4" s="702" t="n">
        <v>0</v>
      </c>
      <c r="AA4" s="703" t="n">
        <v>0</v>
      </c>
      <c r="AB4" s="703" t="n">
        <v>0</v>
      </c>
      <c r="AC4" s="703" t="n">
        <v>0</v>
      </c>
      <c r="AD4" s="703" t="n">
        <v>0</v>
      </c>
      <c r="AE4" s="703" t="n">
        <v>0</v>
      </c>
      <c r="AF4" s="703" t="n">
        <v>0</v>
      </c>
      <c r="AG4" s="703" t="n">
        <v>0</v>
      </c>
      <c r="AH4" s="703" t="n">
        <v>0</v>
      </c>
      <c r="AI4" s="703" t="n">
        <v>0</v>
      </c>
      <c r="AJ4" s="703" t="n">
        <v>0</v>
      </c>
      <c r="AK4" s="704" t="n">
        <v>0</v>
      </c>
      <c r="AL4" s="705" t="n">
        <v>0</v>
      </c>
      <c r="AM4" s="706" t="n">
        <v>0</v>
      </c>
      <c r="AN4" s="706" t="n">
        <v>0</v>
      </c>
      <c r="AO4" s="706" t="n">
        <v>0</v>
      </c>
      <c r="AP4" s="706" t="n">
        <v>0</v>
      </c>
      <c r="AQ4" s="706" t="n">
        <v>0</v>
      </c>
      <c r="AR4" s="706" t="n">
        <v>0</v>
      </c>
      <c r="AS4" s="706" t="n">
        <v>0</v>
      </c>
      <c r="AT4" s="706" t="n">
        <v>0</v>
      </c>
      <c r="AU4" s="706" t="n">
        <v>0</v>
      </c>
      <c r="AV4" s="706" t="n">
        <v>0</v>
      </c>
      <c r="AW4" s="707" t="n">
        <v>0</v>
      </c>
      <c r="AX4" s="708" t="n">
        <v>0</v>
      </c>
      <c r="AY4" s="709" t="n">
        <v>0</v>
      </c>
      <c r="AZ4" s="709" t="n">
        <v>0</v>
      </c>
      <c r="BA4" s="709" t="n">
        <v>0</v>
      </c>
      <c r="BB4" s="709" t="n">
        <v>0</v>
      </c>
      <c r="BC4" s="709" t="n">
        <v>0</v>
      </c>
      <c r="BD4" s="709" t="n">
        <v>0</v>
      </c>
      <c r="BE4" s="709" t="n">
        <v>0</v>
      </c>
      <c r="BF4" s="709" t="n">
        <v>0</v>
      </c>
      <c r="BG4" s="709" t="n">
        <v>0</v>
      </c>
      <c r="BH4" s="709" t="n">
        <v>0</v>
      </c>
      <c r="BI4" s="710" t="n">
        <v>0</v>
      </c>
      <c r="BJ4" s="711" t="n">
        <f aca="false">AVERAGE(B4:M4)</f>
        <v>0</v>
      </c>
      <c r="BK4" s="712" t="n">
        <f aca="false">AVERAGE(N4:Y4)</f>
        <v>0</v>
      </c>
      <c r="BL4" s="712" t="n">
        <f aca="false">AVERAGE(Z4:AK4)</f>
        <v>0</v>
      </c>
      <c r="BM4" s="712" t="n">
        <f aca="false">AVERAGE(AL4:AW4)</f>
        <v>0</v>
      </c>
      <c r="BN4" s="713" t="n">
        <f aca="false">AVERAGE(AX4:BI4)</f>
        <v>0</v>
      </c>
      <c r="BO4" s="714" t="s">
        <v>1495</v>
      </c>
    </row>
    <row r="5" customFormat="false" ht="10.5" hidden="false" customHeight="true" outlineLevel="0" collapsed="false">
      <c r="A5" s="715" t="s">
        <v>1740</v>
      </c>
      <c r="B5" s="716" t="n">
        <v>30</v>
      </c>
      <c r="C5" s="716" t="n">
        <v>30</v>
      </c>
      <c r="D5" s="716" t="n">
        <v>30</v>
      </c>
      <c r="E5" s="716" t="n">
        <v>30</v>
      </c>
      <c r="F5" s="716" t="n">
        <v>30</v>
      </c>
      <c r="G5" s="716" t="n">
        <v>30</v>
      </c>
      <c r="H5" s="716" t="n">
        <v>30</v>
      </c>
      <c r="I5" s="716" t="n">
        <v>30</v>
      </c>
      <c r="J5" s="716" t="n">
        <v>30</v>
      </c>
      <c r="K5" s="716" t="n">
        <v>30</v>
      </c>
      <c r="L5" s="716" t="n">
        <v>30</v>
      </c>
      <c r="M5" s="717" t="n">
        <v>30</v>
      </c>
      <c r="N5" s="718" t="n">
        <v>30</v>
      </c>
      <c r="O5" s="719" t="n">
        <v>30</v>
      </c>
      <c r="P5" s="719" t="n">
        <v>30</v>
      </c>
      <c r="Q5" s="719" t="n">
        <v>30</v>
      </c>
      <c r="R5" s="719" t="n">
        <v>30</v>
      </c>
      <c r="S5" s="719" t="n">
        <v>30</v>
      </c>
      <c r="T5" s="719" t="n">
        <v>30</v>
      </c>
      <c r="U5" s="719" t="n">
        <v>30</v>
      </c>
      <c r="V5" s="719" t="n">
        <v>30</v>
      </c>
      <c r="W5" s="719" t="n">
        <v>30</v>
      </c>
      <c r="X5" s="719" t="n">
        <v>30</v>
      </c>
      <c r="Y5" s="720" t="n">
        <v>30</v>
      </c>
      <c r="Z5" s="721" t="n">
        <v>30</v>
      </c>
      <c r="AA5" s="722" t="n">
        <v>30</v>
      </c>
      <c r="AB5" s="722" t="n">
        <v>30</v>
      </c>
      <c r="AC5" s="722" t="n">
        <v>30</v>
      </c>
      <c r="AD5" s="722" t="n">
        <v>30</v>
      </c>
      <c r="AE5" s="722" t="n">
        <v>30</v>
      </c>
      <c r="AF5" s="722" t="n">
        <v>30</v>
      </c>
      <c r="AG5" s="722" t="n">
        <v>30</v>
      </c>
      <c r="AH5" s="722" t="n">
        <v>30</v>
      </c>
      <c r="AI5" s="722" t="n">
        <v>30</v>
      </c>
      <c r="AJ5" s="722" t="n">
        <v>30</v>
      </c>
      <c r="AK5" s="723" t="n">
        <v>30</v>
      </c>
      <c r="AL5" s="724" t="n">
        <v>30</v>
      </c>
      <c r="AM5" s="725" t="n">
        <v>30</v>
      </c>
      <c r="AN5" s="725" t="n">
        <v>30</v>
      </c>
      <c r="AO5" s="725" t="n">
        <v>30</v>
      </c>
      <c r="AP5" s="725" t="n">
        <v>30</v>
      </c>
      <c r="AQ5" s="725" t="n">
        <v>30</v>
      </c>
      <c r="AR5" s="725" t="n">
        <v>30</v>
      </c>
      <c r="AS5" s="725" t="n">
        <v>30</v>
      </c>
      <c r="AT5" s="725" t="n">
        <v>30</v>
      </c>
      <c r="AU5" s="725" t="n">
        <v>30</v>
      </c>
      <c r="AV5" s="725" t="n">
        <v>30</v>
      </c>
      <c r="AW5" s="726" t="n">
        <v>30</v>
      </c>
      <c r="AX5" s="727" t="n">
        <v>30</v>
      </c>
      <c r="AY5" s="728" t="n">
        <v>30</v>
      </c>
      <c r="AZ5" s="728" t="n">
        <v>30</v>
      </c>
      <c r="BA5" s="728" t="n">
        <v>30</v>
      </c>
      <c r="BB5" s="728" t="n">
        <v>30</v>
      </c>
      <c r="BC5" s="728" t="n">
        <v>30</v>
      </c>
      <c r="BD5" s="728" t="n">
        <v>30</v>
      </c>
      <c r="BE5" s="728" t="n">
        <v>30</v>
      </c>
      <c r="BF5" s="728" t="n">
        <v>30</v>
      </c>
      <c r="BG5" s="728" t="n">
        <v>30</v>
      </c>
      <c r="BH5" s="728" t="n">
        <v>30</v>
      </c>
      <c r="BI5" s="729" t="n">
        <v>30</v>
      </c>
      <c r="BJ5" s="730" t="n">
        <f aca="false">AVERAGE(H5:M5)</f>
        <v>30</v>
      </c>
      <c r="BK5" s="731" t="n">
        <f aca="false">AVERAGE(N5:Y5)</f>
        <v>30</v>
      </c>
      <c r="BL5" s="731" t="n">
        <f aca="false">AVERAGE(Z5:AK5)</f>
        <v>30</v>
      </c>
      <c r="BM5" s="731" t="n">
        <f aca="false">AVERAGE(AL5:AW5)</f>
        <v>30</v>
      </c>
      <c r="BN5" s="732" t="n">
        <f aca="false">AVERAGE(AX5:BI5)</f>
        <v>30</v>
      </c>
      <c r="BO5" s="733" t="s">
        <v>1740</v>
      </c>
    </row>
    <row r="6" customFormat="false" ht="10.5" hidden="false" customHeight="true" outlineLevel="0" collapsed="false">
      <c r="A6" s="734" t="s">
        <v>1741</v>
      </c>
      <c r="B6" s="735"/>
      <c r="C6" s="735"/>
      <c r="D6" s="735"/>
      <c r="E6" s="735"/>
      <c r="F6" s="735"/>
      <c r="G6" s="735"/>
      <c r="H6" s="735"/>
      <c r="I6" s="735"/>
      <c r="J6" s="735"/>
      <c r="K6" s="735"/>
      <c r="L6" s="735"/>
      <c r="M6" s="735"/>
      <c r="N6" s="736"/>
      <c r="O6" s="736"/>
      <c r="P6" s="736"/>
      <c r="Q6" s="736"/>
      <c r="R6" s="736"/>
      <c r="S6" s="736"/>
      <c r="T6" s="736"/>
      <c r="U6" s="736"/>
      <c r="V6" s="736"/>
      <c r="W6" s="736"/>
      <c r="X6" s="736"/>
      <c r="Y6" s="737"/>
      <c r="Z6" s="738"/>
      <c r="AA6" s="736"/>
      <c r="AB6" s="736"/>
      <c r="AC6" s="736"/>
      <c r="AD6" s="736"/>
      <c r="AE6" s="736"/>
      <c r="AF6" s="736"/>
      <c r="AG6" s="736"/>
      <c r="AH6" s="736"/>
      <c r="AI6" s="736"/>
      <c r="AJ6" s="736"/>
      <c r="AK6" s="737"/>
      <c r="AL6" s="738"/>
      <c r="AM6" s="736"/>
      <c r="AN6" s="736"/>
      <c r="AO6" s="736"/>
      <c r="AP6" s="736"/>
      <c r="AQ6" s="736"/>
      <c r="AR6" s="736"/>
      <c r="AS6" s="736"/>
      <c r="AT6" s="736"/>
      <c r="AU6" s="736"/>
      <c r="AV6" s="736"/>
      <c r="AW6" s="737"/>
      <c r="AX6" s="738"/>
      <c r="AY6" s="736"/>
      <c r="AZ6" s="736"/>
      <c r="BA6" s="736"/>
      <c r="BB6" s="736"/>
      <c r="BC6" s="736"/>
      <c r="BD6" s="736"/>
      <c r="BE6" s="736"/>
      <c r="BF6" s="736"/>
      <c r="BG6" s="736"/>
      <c r="BH6" s="736"/>
      <c r="BI6" s="737"/>
      <c r="BJ6" s="739"/>
      <c r="BK6" s="739"/>
      <c r="BL6" s="739"/>
      <c r="BM6" s="739"/>
      <c r="BN6" s="739"/>
      <c r="BO6" s="740" t="s">
        <v>1741</v>
      </c>
    </row>
    <row r="7" customFormat="false" ht="12" hidden="false" customHeight="true" outlineLevel="0" collapsed="false">
      <c r="A7" s="677" t="s">
        <v>1742</v>
      </c>
      <c r="B7" s="741" t="n">
        <v>0</v>
      </c>
      <c r="C7" s="741" t="n">
        <v>0</v>
      </c>
      <c r="D7" s="741" t="n">
        <v>0</v>
      </c>
      <c r="E7" s="741" t="n">
        <v>0</v>
      </c>
      <c r="F7" s="741" t="n">
        <v>0</v>
      </c>
      <c r="G7" s="742" t="n">
        <v>0</v>
      </c>
      <c r="H7" s="741" t="n">
        <v>0</v>
      </c>
      <c r="I7" s="741" t="n">
        <v>0</v>
      </c>
      <c r="J7" s="741" t="n">
        <v>0</v>
      </c>
      <c r="K7" s="741" t="n">
        <v>0</v>
      </c>
      <c r="L7" s="741" t="n">
        <v>0</v>
      </c>
      <c r="M7" s="743" t="n">
        <v>0</v>
      </c>
      <c r="N7" s="744" t="n">
        <v>0</v>
      </c>
      <c r="O7" s="745" t="n">
        <v>0</v>
      </c>
      <c r="P7" s="745" t="n">
        <v>0</v>
      </c>
      <c r="Q7" s="745" t="n">
        <v>0</v>
      </c>
      <c r="R7" s="745" t="n">
        <v>0</v>
      </c>
      <c r="S7" s="745" t="n">
        <v>0</v>
      </c>
      <c r="T7" s="745" t="n">
        <v>0</v>
      </c>
      <c r="U7" s="745" t="n">
        <v>0</v>
      </c>
      <c r="V7" s="745" t="n">
        <v>0</v>
      </c>
      <c r="W7" s="745" t="n">
        <v>0</v>
      </c>
      <c r="X7" s="746" t="n">
        <v>0</v>
      </c>
      <c r="Y7" s="747" t="n">
        <v>0</v>
      </c>
      <c r="Z7" s="748" t="n">
        <v>0</v>
      </c>
      <c r="AA7" s="749" t="n">
        <v>0</v>
      </c>
      <c r="AB7" s="749" t="n">
        <v>0</v>
      </c>
      <c r="AC7" s="749" t="n">
        <v>0</v>
      </c>
      <c r="AD7" s="749" t="n">
        <v>0</v>
      </c>
      <c r="AE7" s="749" t="n">
        <v>0</v>
      </c>
      <c r="AF7" s="749" t="n">
        <v>0</v>
      </c>
      <c r="AG7" s="749" t="n">
        <v>0</v>
      </c>
      <c r="AH7" s="749" t="n">
        <v>0</v>
      </c>
      <c r="AI7" s="749" t="n">
        <v>0</v>
      </c>
      <c r="AJ7" s="749" t="n">
        <v>0</v>
      </c>
      <c r="AK7" s="750" t="n">
        <v>0</v>
      </c>
      <c r="AL7" s="751" t="n">
        <v>0</v>
      </c>
      <c r="AM7" s="752" t="n">
        <v>0</v>
      </c>
      <c r="AN7" s="752" t="n">
        <v>0</v>
      </c>
      <c r="AO7" s="752" t="n">
        <v>0</v>
      </c>
      <c r="AP7" s="752" t="n">
        <v>0</v>
      </c>
      <c r="AQ7" s="752" t="n">
        <v>0</v>
      </c>
      <c r="AR7" s="752" t="n">
        <v>0</v>
      </c>
      <c r="AS7" s="752" t="n">
        <v>0</v>
      </c>
      <c r="AT7" s="752" t="n">
        <v>0</v>
      </c>
      <c r="AU7" s="752" t="n">
        <v>0</v>
      </c>
      <c r="AV7" s="752" t="n">
        <v>0</v>
      </c>
      <c r="AW7" s="753" t="n">
        <v>0</v>
      </c>
      <c r="AX7" s="754" t="n">
        <v>0</v>
      </c>
      <c r="AY7" s="755" t="n">
        <v>0</v>
      </c>
      <c r="AZ7" s="755" t="n">
        <v>0</v>
      </c>
      <c r="BA7" s="755" t="n">
        <v>0</v>
      </c>
      <c r="BB7" s="755" t="n">
        <v>0</v>
      </c>
      <c r="BC7" s="755" t="n">
        <v>0</v>
      </c>
      <c r="BD7" s="755" t="n">
        <v>0</v>
      </c>
      <c r="BE7" s="755" t="n">
        <v>0</v>
      </c>
      <c r="BF7" s="755" t="n">
        <v>0</v>
      </c>
      <c r="BG7" s="755" t="n">
        <v>0</v>
      </c>
      <c r="BH7" s="755" t="n">
        <v>0</v>
      </c>
      <c r="BI7" s="756" t="n">
        <v>0</v>
      </c>
      <c r="BJ7" s="757" t="n">
        <f aca="false">SUM(B7:M7)</f>
        <v>0</v>
      </c>
      <c r="BK7" s="741" t="n">
        <f aca="false">SUM(N7:Y7)</f>
        <v>0</v>
      </c>
      <c r="BL7" s="741" t="n">
        <f aca="false">SUM(Z7:AK7)</f>
        <v>0</v>
      </c>
      <c r="BM7" s="741" t="n">
        <f aca="false">SUM(AL7:AW7)</f>
        <v>0</v>
      </c>
      <c r="BN7" s="741" t="n">
        <f aca="false">SUM(AX7:BI7)</f>
        <v>0</v>
      </c>
      <c r="BO7" s="695" t="s">
        <v>1742</v>
      </c>
    </row>
    <row r="8" customFormat="false" ht="12" hidden="false" customHeight="true" outlineLevel="0" collapsed="false">
      <c r="A8" s="696" t="s">
        <v>1743</v>
      </c>
      <c r="B8" s="758" t="n">
        <v>0</v>
      </c>
      <c r="C8" s="758" t="n">
        <v>0</v>
      </c>
      <c r="D8" s="758" t="n">
        <v>0</v>
      </c>
      <c r="E8" s="758" t="n">
        <v>0</v>
      </c>
      <c r="F8" s="758" t="n">
        <v>0</v>
      </c>
      <c r="G8" s="758" t="n">
        <v>0</v>
      </c>
      <c r="H8" s="758" t="n">
        <v>0</v>
      </c>
      <c r="I8" s="758" t="n">
        <v>0</v>
      </c>
      <c r="J8" s="758" t="n">
        <v>0</v>
      </c>
      <c r="K8" s="758" t="n">
        <v>0</v>
      </c>
      <c r="L8" s="758" t="n">
        <v>0</v>
      </c>
      <c r="M8" s="759" t="n">
        <v>0</v>
      </c>
      <c r="N8" s="760" t="n">
        <v>0</v>
      </c>
      <c r="O8" s="761" t="n">
        <v>0</v>
      </c>
      <c r="P8" s="761" t="n">
        <v>0</v>
      </c>
      <c r="Q8" s="761" t="n">
        <v>0</v>
      </c>
      <c r="R8" s="761" t="n">
        <v>0</v>
      </c>
      <c r="S8" s="761" t="n">
        <v>0</v>
      </c>
      <c r="T8" s="761" t="n">
        <v>0</v>
      </c>
      <c r="U8" s="761" t="n">
        <v>0</v>
      </c>
      <c r="V8" s="761" t="n">
        <v>0</v>
      </c>
      <c r="W8" s="761" t="n">
        <v>0</v>
      </c>
      <c r="X8" s="761" t="n">
        <v>0</v>
      </c>
      <c r="Y8" s="762" t="n">
        <v>0</v>
      </c>
      <c r="Z8" s="763" t="n">
        <v>0</v>
      </c>
      <c r="AA8" s="764" t="n">
        <v>0</v>
      </c>
      <c r="AB8" s="764" t="n">
        <v>0</v>
      </c>
      <c r="AC8" s="764" t="n">
        <v>0</v>
      </c>
      <c r="AD8" s="764" t="n">
        <v>0</v>
      </c>
      <c r="AE8" s="764" t="n">
        <v>0</v>
      </c>
      <c r="AF8" s="764" t="n">
        <v>0</v>
      </c>
      <c r="AG8" s="764" t="n">
        <v>0</v>
      </c>
      <c r="AH8" s="764" t="n">
        <v>0</v>
      </c>
      <c r="AI8" s="764" t="n">
        <v>0</v>
      </c>
      <c r="AJ8" s="764" t="n">
        <v>0</v>
      </c>
      <c r="AK8" s="765" t="n">
        <v>0</v>
      </c>
      <c r="AL8" s="766" t="n">
        <v>0</v>
      </c>
      <c r="AM8" s="767" t="n">
        <v>0</v>
      </c>
      <c r="AN8" s="767" t="n">
        <v>0</v>
      </c>
      <c r="AO8" s="767" t="n">
        <v>0</v>
      </c>
      <c r="AP8" s="767" t="n">
        <v>0</v>
      </c>
      <c r="AQ8" s="767" t="n">
        <v>0</v>
      </c>
      <c r="AR8" s="767" t="n">
        <v>0</v>
      </c>
      <c r="AS8" s="767" t="n">
        <v>0</v>
      </c>
      <c r="AT8" s="767" t="n">
        <v>0</v>
      </c>
      <c r="AU8" s="767" t="n">
        <v>0</v>
      </c>
      <c r="AV8" s="767" t="n">
        <v>0</v>
      </c>
      <c r="AW8" s="768" t="n">
        <v>0</v>
      </c>
      <c r="AX8" s="769" t="n">
        <v>0</v>
      </c>
      <c r="AY8" s="770" t="n">
        <v>0</v>
      </c>
      <c r="AZ8" s="770" t="n">
        <v>0</v>
      </c>
      <c r="BA8" s="770" t="n">
        <v>0</v>
      </c>
      <c r="BB8" s="770" t="n">
        <v>0</v>
      </c>
      <c r="BC8" s="770" t="n">
        <v>0</v>
      </c>
      <c r="BD8" s="770" t="n">
        <v>0</v>
      </c>
      <c r="BE8" s="770" t="n">
        <v>0</v>
      </c>
      <c r="BF8" s="770" t="n">
        <v>0</v>
      </c>
      <c r="BG8" s="770" t="n">
        <v>0</v>
      </c>
      <c r="BH8" s="770" t="n">
        <v>0</v>
      </c>
      <c r="BI8" s="771" t="n">
        <v>0</v>
      </c>
      <c r="BJ8" s="772" t="n">
        <f aca="false">SUM(B8:M8)</f>
        <v>0</v>
      </c>
      <c r="BK8" s="758" t="n">
        <f aca="false">SUM(N8:Y8)</f>
        <v>0</v>
      </c>
      <c r="BL8" s="758" t="n">
        <f aca="false">SUM(Z8:AK8)</f>
        <v>0</v>
      </c>
      <c r="BM8" s="758" t="n">
        <f aca="false">SUM(AL8:AW8)</f>
        <v>0</v>
      </c>
      <c r="BN8" s="758" t="n">
        <f aca="false">SUM(AX8:BI8)</f>
        <v>0</v>
      </c>
      <c r="BO8" s="714" t="s">
        <v>1743</v>
      </c>
    </row>
    <row r="9" customFormat="false" ht="10.5" hidden="false" customHeight="true" outlineLevel="0" collapsed="false">
      <c r="A9" s="696" t="s">
        <v>1744</v>
      </c>
      <c r="B9" s="758" t="n">
        <v>0</v>
      </c>
      <c r="C9" s="758" t="n">
        <v>0</v>
      </c>
      <c r="D9" s="758" t="n">
        <v>0</v>
      </c>
      <c r="E9" s="758" t="n">
        <v>0</v>
      </c>
      <c r="F9" s="758" t="n">
        <v>0</v>
      </c>
      <c r="G9" s="758" t="n">
        <v>0</v>
      </c>
      <c r="H9" s="758" t="n">
        <v>0</v>
      </c>
      <c r="I9" s="758" t="n">
        <v>0</v>
      </c>
      <c r="J9" s="758" t="n">
        <v>0</v>
      </c>
      <c r="K9" s="758" t="n">
        <v>0</v>
      </c>
      <c r="L9" s="758" t="n">
        <v>0</v>
      </c>
      <c r="M9" s="759" t="n">
        <v>0</v>
      </c>
      <c r="N9" s="760" t="n">
        <v>0</v>
      </c>
      <c r="O9" s="761" t="n">
        <v>0</v>
      </c>
      <c r="P9" s="761" t="n">
        <v>0</v>
      </c>
      <c r="Q9" s="761" t="n">
        <v>0</v>
      </c>
      <c r="R9" s="761" t="n">
        <v>0</v>
      </c>
      <c r="S9" s="761" t="n">
        <v>0</v>
      </c>
      <c r="T9" s="761" t="n">
        <v>0</v>
      </c>
      <c r="U9" s="761" t="n">
        <v>0</v>
      </c>
      <c r="V9" s="761" t="n">
        <v>0</v>
      </c>
      <c r="W9" s="761" t="n">
        <v>0</v>
      </c>
      <c r="X9" s="761" t="n">
        <v>0</v>
      </c>
      <c r="Y9" s="762" t="n">
        <v>0</v>
      </c>
      <c r="Z9" s="763" t="n">
        <v>0</v>
      </c>
      <c r="AA9" s="764" t="n">
        <v>0</v>
      </c>
      <c r="AB9" s="764" t="n">
        <v>0</v>
      </c>
      <c r="AC9" s="764" t="n">
        <v>0</v>
      </c>
      <c r="AD9" s="764" t="n">
        <v>0</v>
      </c>
      <c r="AE9" s="764" t="n">
        <v>0</v>
      </c>
      <c r="AF9" s="764" t="n">
        <v>0</v>
      </c>
      <c r="AG9" s="764" t="n">
        <v>0</v>
      </c>
      <c r="AH9" s="764" t="n">
        <v>0</v>
      </c>
      <c r="AI9" s="764" t="n">
        <v>0</v>
      </c>
      <c r="AJ9" s="764" t="n">
        <v>0</v>
      </c>
      <c r="AK9" s="765" t="n">
        <v>0</v>
      </c>
      <c r="AL9" s="766" t="n">
        <v>0</v>
      </c>
      <c r="AM9" s="767" t="n">
        <v>0</v>
      </c>
      <c r="AN9" s="767" t="n">
        <v>0</v>
      </c>
      <c r="AO9" s="767" t="n">
        <v>0</v>
      </c>
      <c r="AP9" s="767" t="n">
        <v>0</v>
      </c>
      <c r="AQ9" s="767" t="n">
        <v>0</v>
      </c>
      <c r="AR9" s="767" t="n">
        <v>0</v>
      </c>
      <c r="AS9" s="767" t="n">
        <v>0</v>
      </c>
      <c r="AT9" s="767" t="n">
        <v>0</v>
      </c>
      <c r="AU9" s="767" t="n">
        <v>0</v>
      </c>
      <c r="AV9" s="767" t="n">
        <v>0</v>
      </c>
      <c r="AW9" s="768" t="n">
        <v>0</v>
      </c>
      <c r="AX9" s="769" t="n">
        <v>0</v>
      </c>
      <c r="AY9" s="770" t="n">
        <v>0</v>
      </c>
      <c r="AZ9" s="770" t="n">
        <v>0</v>
      </c>
      <c r="BA9" s="770" t="n">
        <v>0</v>
      </c>
      <c r="BB9" s="770" t="n">
        <v>0</v>
      </c>
      <c r="BC9" s="770" t="n">
        <v>0</v>
      </c>
      <c r="BD9" s="770" t="n">
        <v>0</v>
      </c>
      <c r="BE9" s="770" t="n">
        <v>0</v>
      </c>
      <c r="BF9" s="770" t="n">
        <v>0</v>
      </c>
      <c r="BG9" s="770" t="n">
        <v>0</v>
      </c>
      <c r="BH9" s="770" t="n">
        <v>0</v>
      </c>
      <c r="BI9" s="771" t="n">
        <v>0</v>
      </c>
      <c r="BJ9" s="772" t="n">
        <f aca="false">SUM(B9:M9)</f>
        <v>0</v>
      </c>
      <c r="BK9" s="758" t="n">
        <f aca="false">SUM(N9:Y9)</f>
        <v>0</v>
      </c>
      <c r="BL9" s="758" t="n">
        <f aca="false">SUM(Z9:AK9)</f>
        <v>0</v>
      </c>
      <c r="BM9" s="758" t="n">
        <f aca="false">SUM(AL9:AW9)</f>
        <v>0</v>
      </c>
      <c r="BN9" s="758" t="n">
        <f aca="false">SUM(AX9:BI9)</f>
        <v>0</v>
      </c>
      <c r="BO9" s="714" t="s">
        <v>1744</v>
      </c>
    </row>
    <row r="10" customFormat="false" ht="10.5" hidden="false" customHeight="true" outlineLevel="0" collapsed="false">
      <c r="A10" s="696" t="s">
        <v>1745</v>
      </c>
      <c r="B10" s="758" t="n">
        <v>0</v>
      </c>
      <c r="C10" s="758" t="n">
        <v>0</v>
      </c>
      <c r="D10" s="758" t="n">
        <v>0</v>
      </c>
      <c r="E10" s="758" t="n">
        <v>0</v>
      </c>
      <c r="F10" s="758" t="n">
        <v>0</v>
      </c>
      <c r="G10" s="758" t="n">
        <v>0</v>
      </c>
      <c r="H10" s="758" t="n">
        <v>0</v>
      </c>
      <c r="I10" s="758" t="n">
        <v>0</v>
      </c>
      <c r="J10" s="758" t="n">
        <v>0</v>
      </c>
      <c r="K10" s="758" t="n">
        <v>0</v>
      </c>
      <c r="L10" s="758" t="n">
        <v>0</v>
      </c>
      <c r="M10" s="759" t="n">
        <v>0</v>
      </c>
      <c r="N10" s="760" t="n">
        <v>0</v>
      </c>
      <c r="O10" s="761" t="n">
        <v>0</v>
      </c>
      <c r="P10" s="761" t="n">
        <v>0</v>
      </c>
      <c r="Q10" s="761" t="n">
        <v>0</v>
      </c>
      <c r="R10" s="761" t="n">
        <v>0</v>
      </c>
      <c r="S10" s="761" t="n">
        <v>0</v>
      </c>
      <c r="T10" s="761" t="n">
        <v>0</v>
      </c>
      <c r="U10" s="761" t="n">
        <v>0</v>
      </c>
      <c r="V10" s="761" t="n">
        <v>0</v>
      </c>
      <c r="W10" s="761" t="n">
        <v>0</v>
      </c>
      <c r="X10" s="761" t="n">
        <v>0</v>
      </c>
      <c r="Y10" s="762" t="n">
        <v>0</v>
      </c>
      <c r="Z10" s="763" t="n">
        <v>0</v>
      </c>
      <c r="AA10" s="764" t="n">
        <v>0</v>
      </c>
      <c r="AB10" s="764" t="n">
        <v>0</v>
      </c>
      <c r="AC10" s="764" t="n">
        <v>0</v>
      </c>
      <c r="AD10" s="764" t="n">
        <v>0</v>
      </c>
      <c r="AE10" s="764" t="n">
        <v>0</v>
      </c>
      <c r="AF10" s="764" t="n">
        <v>0</v>
      </c>
      <c r="AG10" s="764" t="n">
        <v>0</v>
      </c>
      <c r="AH10" s="764" t="n">
        <v>0</v>
      </c>
      <c r="AI10" s="764" t="n">
        <v>0</v>
      </c>
      <c r="AJ10" s="764" t="n">
        <v>0</v>
      </c>
      <c r="AK10" s="765" t="n">
        <v>0</v>
      </c>
      <c r="AL10" s="766" t="n">
        <v>0</v>
      </c>
      <c r="AM10" s="767" t="n">
        <v>0</v>
      </c>
      <c r="AN10" s="767" t="n">
        <v>0</v>
      </c>
      <c r="AO10" s="767" t="n">
        <v>0</v>
      </c>
      <c r="AP10" s="767" t="n">
        <v>0</v>
      </c>
      <c r="AQ10" s="767" t="n">
        <v>0</v>
      </c>
      <c r="AR10" s="767" t="n">
        <v>0</v>
      </c>
      <c r="AS10" s="767" t="n">
        <v>0</v>
      </c>
      <c r="AT10" s="767" t="n">
        <v>0</v>
      </c>
      <c r="AU10" s="767" t="n">
        <v>0</v>
      </c>
      <c r="AV10" s="767" t="n">
        <v>0</v>
      </c>
      <c r="AW10" s="768" t="n">
        <v>0</v>
      </c>
      <c r="AX10" s="769" t="n">
        <v>0</v>
      </c>
      <c r="AY10" s="770" t="n">
        <v>0</v>
      </c>
      <c r="AZ10" s="770" t="n">
        <v>0</v>
      </c>
      <c r="BA10" s="770" t="n">
        <v>0</v>
      </c>
      <c r="BB10" s="770" t="n">
        <v>0</v>
      </c>
      <c r="BC10" s="770" t="n">
        <v>0</v>
      </c>
      <c r="BD10" s="770" t="n">
        <v>0</v>
      </c>
      <c r="BE10" s="770" t="n">
        <v>0</v>
      </c>
      <c r="BF10" s="770" t="n">
        <v>0</v>
      </c>
      <c r="BG10" s="770" t="n">
        <v>0</v>
      </c>
      <c r="BH10" s="770" t="n">
        <v>0</v>
      </c>
      <c r="BI10" s="771" t="n">
        <v>0</v>
      </c>
      <c r="BJ10" s="772" t="n">
        <f aca="false">SUM(B10:M10)</f>
        <v>0</v>
      </c>
      <c r="BK10" s="758" t="n">
        <f aca="false">SUM(N10:Y10)</f>
        <v>0</v>
      </c>
      <c r="BL10" s="758" t="n">
        <f aca="false">SUM(Z10:AK10)</f>
        <v>0</v>
      </c>
      <c r="BM10" s="758" t="n">
        <f aca="false">SUM(AL10:AW10)</f>
        <v>0</v>
      </c>
      <c r="BN10" s="758" t="n">
        <f aca="false">SUM(AX10:BI10)</f>
        <v>0</v>
      </c>
      <c r="BO10" s="714" t="s">
        <v>1745</v>
      </c>
    </row>
    <row r="11" customFormat="false" ht="10.5" hidden="false" customHeight="true" outlineLevel="0" collapsed="false">
      <c r="A11" s="773" t="s">
        <v>1746</v>
      </c>
      <c r="B11" s="774" t="n">
        <v>0</v>
      </c>
      <c r="C11" s="774" t="n">
        <v>0</v>
      </c>
      <c r="D11" s="774" t="n">
        <v>0</v>
      </c>
      <c r="E11" s="774" t="n">
        <v>0</v>
      </c>
      <c r="F11" s="774" t="n">
        <v>0</v>
      </c>
      <c r="G11" s="774" t="n">
        <v>0</v>
      </c>
      <c r="H11" s="774" t="n">
        <v>5134620</v>
      </c>
      <c r="I11" s="774" t="n">
        <v>3561594.6</v>
      </c>
      <c r="J11" s="774" t="n">
        <v>2867523</v>
      </c>
      <c r="K11" s="774" t="n">
        <v>3082255.8</v>
      </c>
      <c r="L11" s="774" t="n">
        <v>2437385.4</v>
      </c>
      <c r="M11" s="775" t="n">
        <v>3082255.8</v>
      </c>
      <c r="N11" s="760" t="n">
        <v>2364185.4</v>
      </c>
      <c r="O11" s="761" t="n">
        <v>466015.2</v>
      </c>
      <c r="P11" s="761" t="n">
        <v>466015.2</v>
      </c>
      <c r="Q11" s="761" t="n">
        <v>0</v>
      </c>
      <c r="R11" s="761" t="n">
        <v>0</v>
      </c>
      <c r="S11" s="761" t="n">
        <v>0</v>
      </c>
      <c r="T11" s="761" t="n">
        <v>0</v>
      </c>
      <c r="U11" s="761" t="n">
        <v>0</v>
      </c>
      <c r="V11" s="761" t="n">
        <v>0</v>
      </c>
      <c r="W11" s="761" t="n">
        <v>0</v>
      </c>
      <c r="X11" s="761" t="n">
        <v>0</v>
      </c>
      <c r="Y11" s="762" t="n">
        <v>0</v>
      </c>
      <c r="Z11" s="763" t="n">
        <v>0</v>
      </c>
      <c r="AA11" s="764" t="n">
        <v>0</v>
      </c>
      <c r="AB11" s="764" t="n">
        <v>0</v>
      </c>
      <c r="AC11" s="764" t="n">
        <v>0</v>
      </c>
      <c r="AD11" s="764" t="n">
        <v>0</v>
      </c>
      <c r="AE11" s="764" t="n">
        <v>0</v>
      </c>
      <c r="AF11" s="764" t="n">
        <v>0</v>
      </c>
      <c r="AG11" s="764" t="n">
        <v>0</v>
      </c>
      <c r="AH11" s="764" t="n">
        <v>0</v>
      </c>
      <c r="AI11" s="764" t="n">
        <v>0</v>
      </c>
      <c r="AJ11" s="764" t="n">
        <v>0</v>
      </c>
      <c r="AK11" s="765" t="n">
        <v>0</v>
      </c>
      <c r="AL11" s="766" t="n">
        <v>0</v>
      </c>
      <c r="AM11" s="767" t="n">
        <v>0</v>
      </c>
      <c r="AN11" s="767" t="n">
        <v>0</v>
      </c>
      <c r="AO11" s="767" t="n">
        <v>0</v>
      </c>
      <c r="AP11" s="767" t="n">
        <v>0</v>
      </c>
      <c r="AQ11" s="767" t="n">
        <v>0</v>
      </c>
      <c r="AR11" s="767" t="n">
        <v>0</v>
      </c>
      <c r="AS11" s="767" t="n">
        <v>0</v>
      </c>
      <c r="AT11" s="767" t="n">
        <v>0</v>
      </c>
      <c r="AU11" s="767" t="n">
        <v>0</v>
      </c>
      <c r="AV11" s="767" t="n">
        <v>0</v>
      </c>
      <c r="AW11" s="768" t="n">
        <v>0</v>
      </c>
      <c r="AX11" s="769" t="n">
        <v>0</v>
      </c>
      <c r="AY11" s="770" t="n">
        <v>0</v>
      </c>
      <c r="AZ11" s="770" t="n">
        <v>0</v>
      </c>
      <c r="BA11" s="770" t="n">
        <v>0</v>
      </c>
      <c r="BB11" s="770" t="n">
        <v>0</v>
      </c>
      <c r="BC11" s="770" t="n">
        <v>0</v>
      </c>
      <c r="BD11" s="770" t="n">
        <v>0</v>
      </c>
      <c r="BE11" s="770" t="n">
        <v>0</v>
      </c>
      <c r="BF11" s="770" t="n">
        <v>0</v>
      </c>
      <c r="BG11" s="770" t="n">
        <v>0</v>
      </c>
      <c r="BH11" s="770" t="n">
        <v>0</v>
      </c>
      <c r="BI11" s="771" t="n">
        <v>0</v>
      </c>
      <c r="BJ11" s="772" t="n">
        <f aca="false">SUM(B11:M11)</f>
        <v>20165634.6</v>
      </c>
      <c r="BK11" s="758" t="n">
        <f aca="false">SUM(N11:Y11)</f>
        <v>3296215.8</v>
      </c>
      <c r="BL11" s="758" t="n">
        <f aca="false">SUM(Z11:AK11)</f>
        <v>0</v>
      </c>
      <c r="BM11" s="758" t="n">
        <f aca="false">SUM(AL11:AW11)</f>
        <v>0</v>
      </c>
      <c r="BN11" s="758" t="n">
        <f aca="false">SUM(AX11:BI11)</f>
        <v>0</v>
      </c>
      <c r="BO11" s="776" t="s">
        <v>1747</v>
      </c>
    </row>
    <row r="12" customFormat="false" ht="12" hidden="false" customHeight="true" outlineLevel="0" collapsed="false">
      <c r="A12" s="696"/>
      <c r="B12" s="758" t="n">
        <v>0</v>
      </c>
      <c r="C12" s="758" t="n">
        <v>0</v>
      </c>
      <c r="D12" s="758" t="n">
        <v>0</v>
      </c>
      <c r="E12" s="758" t="n">
        <v>0</v>
      </c>
      <c r="F12" s="758" t="n">
        <v>0</v>
      </c>
      <c r="G12" s="758" t="n">
        <v>0</v>
      </c>
      <c r="H12" s="758" t="n">
        <v>0</v>
      </c>
      <c r="I12" s="758" t="n">
        <v>0</v>
      </c>
      <c r="J12" s="758" t="n">
        <v>0</v>
      </c>
      <c r="K12" s="758" t="n">
        <v>0</v>
      </c>
      <c r="L12" s="758" t="n">
        <v>0</v>
      </c>
      <c r="M12" s="759" t="n">
        <v>0</v>
      </c>
      <c r="N12" s="760" t="n">
        <v>0</v>
      </c>
      <c r="O12" s="761" t="n">
        <v>0</v>
      </c>
      <c r="P12" s="761" t="n">
        <v>0</v>
      </c>
      <c r="Q12" s="761" t="n">
        <v>0</v>
      </c>
      <c r="R12" s="761" t="n">
        <v>0</v>
      </c>
      <c r="S12" s="761" t="n">
        <v>0</v>
      </c>
      <c r="T12" s="761" t="n">
        <v>0</v>
      </c>
      <c r="U12" s="761" t="n">
        <v>0</v>
      </c>
      <c r="V12" s="761" t="n">
        <v>0</v>
      </c>
      <c r="W12" s="761" t="n">
        <v>0</v>
      </c>
      <c r="X12" s="761" t="n">
        <v>0</v>
      </c>
      <c r="Y12" s="762" t="n">
        <v>0</v>
      </c>
      <c r="Z12" s="763" t="n">
        <v>0</v>
      </c>
      <c r="AA12" s="764" t="n">
        <v>0</v>
      </c>
      <c r="AB12" s="764" t="n">
        <v>0</v>
      </c>
      <c r="AC12" s="764" t="n">
        <v>0</v>
      </c>
      <c r="AD12" s="764" t="n">
        <v>0</v>
      </c>
      <c r="AE12" s="764" t="n">
        <v>0</v>
      </c>
      <c r="AF12" s="764" t="n">
        <v>0</v>
      </c>
      <c r="AG12" s="764" t="n">
        <v>0</v>
      </c>
      <c r="AH12" s="764" t="n">
        <v>0</v>
      </c>
      <c r="AI12" s="764" t="n">
        <v>0</v>
      </c>
      <c r="AJ12" s="764" t="n">
        <v>0</v>
      </c>
      <c r="AK12" s="765" t="n">
        <v>0</v>
      </c>
      <c r="AL12" s="766" t="n">
        <v>0</v>
      </c>
      <c r="AM12" s="767" t="n">
        <v>0</v>
      </c>
      <c r="AN12" s="767" t="n">
        <v>0</v>
      </c>
      <c r="AO12" s="767" t="n">
        <v>0</v>
      </c>
      <c r="AP12" s="767" t="n">
        <v>0</v>
      </c>
      <c r="AQ12" s="767" t="n">
        <v>0</v>
      </c>
      <c r="AR12" s="767" t="n">
        <v>0</v>
      </c>
      <c r="AS12" s="767" t="n">
        <v>0</v>
      </c>
      <c r="AT12" s="767" t="n">
        <v>0</v>
      </c>
      <c r="AU12" s="767" t="n">
        <v>0</v>
      </c>
      <c r="AV12" s="767" t="n">
        <v>0</v>
      </c>
      <c r="AW12" s="768" t="n">
        <v>0</v>
      </c>
      <c r="AX12" s="769" t="n">
        <v>0</v>
      </c>
      <c r="AY12" s="770" t="n">
        <v>0</v>
      </c>
      <c r="AZ12" s="770" t="n">
        <v>0</v>
      </c>
      <c r="BA12" s="770" t="n">
        <v>0</v>
      </c>
      <c r="BB12" s="770" t="n">
        <v>0</v>
      </c>
      <c r="BC12" s="770" t="n">
        <v>0</v>
      </c>
      <c r="BD12" s="770" t="n">
        <v>0</v>
      </c>
      <c r="BE12" s="770" t="n">
        <v>0</v>
      </c>
      <c r="BF12" s="770" t="n">
        <v>0</v>
      </c>
      <c r="BG12" s="770" t="n">
        <v>0</v>
      </c>
      <c r="BH12" s="770" t="n">
        <v>0</v>
      </c>
      <c r="BI12" s="771" t="n">
        <v>0</v>
      </c>
      <c r="BJ12" s="772"/>
      <c r="BK12" s="758"/>
      <c r="BL12" s="758"/>
      <c r="BM12" s="758"/>
      <c r="BN12" s="758"/>
      <c r="BO12" s="714"/>
    </row>
    <row r="13" customFormat="false" ht="10.5" hidden="false" customHeight="true" outlineLevel="0" collapsed="false">
      <c r="A13" s="715" t="s">
        <v>1748</v>
      </c>
      <c r="B13" s="777" t="n">
        <v>0</v>
      </c>
      <c r="C13" s="777" t="n">
        <v>0</v>
      </c>
      <c r="D13" s="777" t="n">
        <v>0</v>
      </c>
      <c r="E13" s="777" t="n">
        <v>0</v>
      </c>
      <c r="F13" s="777" t="n">
        <v>0</v>
      </c>
      <c r="G13" s="777" t="n">
        <v>0</v>
      </c>
      <c r="H13" s="777" t="n">
        <v>0</v>
      </c>
      <c r="I13" s="777" t="n">
        <v>0</v>
      </c>
      <c r="J13" s="777" t="n">
        <v>0</v>
      </c>
      <c r="K13" s="777" t="n">
        <v>0</v>
      </c>
      <c r="L13" s="777" t="n">
        <v>0</v>
      </c>
      <c r="M13" s="778" t="n">
        <v>0</v>
      </c>
      <c r="N13" s="779" t="n">
        <v>0</v>
      </c>
      <c r="O13" s="780" t="n">
        <v>0</v>
      </c>
      <c r="P13" s="780" t="n">
        <v>0</v>
      </c>
      <c r="Q13" s="780" t="n">
        <v>0</v>
      </c>
      <c r="R13" s="780" t="n">
        <v>0</v>
      </c>
      <c r="S13" s="780" t="n">
        <v>0</v>
      </c>
      <c r="T13" s="780" t="n">
        <v>0</v>
      </c>
      <c r="U13" s="780" t="n">
        <v>0</v>
      </c>
      <c r="V13" s="780" t="n">
        <v>0</v>
      </c>
      <c r="W13" s="780" t="n">
        <v>0</v>
      </c>
      <c r="X13" s="780" t="n">
        <v>0</v>
      </c>
      <c r="Y13" s="781" t="n">
        <v>0</v>
      </c>
      <c r="Z13" s="782" t="n">
        <v>0</v>
      </c>
      <c r="AA13" s="783" t="n">
        <v>0</v>
      </c>
      <c r="AB13" s="783" t="n">
        <v>0</v>
      </c>
      <c r="AC13" s="783" t="n">
        <v>0</v>
      </c>
      <c r="AD13" s="783" t="n">
        <v>0</v>
      </c>
      <c r="AE13" s="783" t="n">
        <v>0</v>
      </c>
      <c r="AF13" s="783" t="n">
        <v>0</v>
      </c>
      <c r="AG13" s="783" t="n">
        <v>0</v>
      </c>
      <c r="AH13" s="783" t="n">
        <v>0</v>
      </c>
      <c r="AI13" s="783" t="n">
        <v>0</v>
      </c>
      <c r="AJ13" s="783" t="n">
        <v>0</v>
      </c>
      <c r="AK13" s="784" t="n">
        <v>0</v>
      </c>
      <c r="AL13" s="785" t="n">
        <v>0</v>
      </c>
      <c r="AM13" s="786" t="n">
        <v>0</v>
      </c>
      <c r="AN13" s="786" t="n">
        <v>0</v>
      </c>
      <c r="AO13" s="786" t="n">
        <v>0</v>
      </c>
      <c r="AP13" s="786" t="n">
        <v>0</v>
      </c>
      <c r="AQ13" s="786" t="n">
        <v>0</v>
      </c>
      <c r="AR13" s="786" t="n">
        <v>0</v>
      </c>
      <c r="AS13" s="786" t="n">
        <v>0</v>
      </c>
      <c r="AT13" s="786" t="n">
        <v>0</v>
      </c>
      <c r="AU13" s="786" t="n">
        <v>0</v>
      </c>
      <c r="AV13" s="786" t="n">
        <v>0</v>
      </c>
      <c r="AW13" s="787" t="n">
        <v>0</v>
      </c>
      <c r="AX13" s="788" t="n">
        <v>0</v>
      </c>
      <c r="AY13" s="789" t="n">
        <v>0</v>
      </c>
      <c r="AZ13" s="789" t="n">
        <v>0</v>
      </c>
      <c r="BA13" s="789" t="n">
        <v>0</v>
      </c>
      <c r="BB13" s="789" t="n">
        <v>0</v>
      </c>
      <c r="BC13" s="789" t="n">
        <v>0</v>
      </c>
      <c r="BD13" s="789" t="n">
        <v>0</v>
      </c>
      <c r="BE13" s="789" t="n">
        <v>0</v>
      </c>
      <c r="BF13" s="789" t="n">
        <v>0</v>
      </c>
      <c r="BG13" s="789" t="n">
        <v>0</v>
      </c>
      <c r="BH13" s="789" t="n">
        <v>0</v>
      </c>
      <c r="BI13" s="790" t="n">
        <v>0</v>
      </c>
      <c r="BJ13" s="791" t="n">
        <f aca="false">SUM(B13:M13)</f>
        <v>0</v>
      </c>
      <c r="BK13" s="777" t="n">
        <f aca="false">SUM(N13:Y13)</f>
        <v>0</v>
      </c>
      <c r="BL13" s="777" t="n">
        <f aca="false">SUM(Z13:AK13)</f>
        <v>0</v>
      </c>
      <c r="BM13" s="777" t="n">
        <f aca="false">SUM(AL13:AW13)</f>
        <v>0</v>
      </c>
      <c r="BN13" s="777" t="n">
        <f aca="false">SUM(AX13:BI13)</f>
        <v>0</v>
      </c>
      <c r="BO13" s="733" t="s">
        <v>1748</v>
      </c>
    </row>
    <row r="14" customFormat="false" ht="10.5" hidden="false" customHeight="true" outlineLevel="0" collapsed="false">
      <c r="A14" s="792" t="s">
        <v>1749</v>
      </c>
      <c r="B14" s="739"/>
      <c r="C14" s="739"/>
      <c r="D14" s="739"/>
      <c r="E14" s="739"/>
      <c r="F14" s="739"/>
      <c r="G14" s="739"/>
      <c r="H14" s="736"/>
      <c r="I14" s="736"/>
      <c r="J14" s="736"/>
      <c r="K14" s="736"/>
      <c r="L14" s="736"/>
      <c r="M14" s="737"/>
      <c r="N14" s="736"/>
      <c r="O14" s="736"/>
      <c r="P14" s="736"/>
      <c r="Q14" s="736"/>
      <c r="R14" s="736"/>
      <c r="S14" s="736"/>
      <c r="T14" s="736"/>
      <c r="U14" s="736"/>
      <c r="V14" s="736"/>
      <c r="W14" s="736"/>
      <c r="X14" s="736"/>
      <c r="Y14" s="737"/>
      <c r="Z14" s="738"/>
      <c r="AA14" s="736"/>
      <c r="AB14" s="736"/>
      <c r="AC14" s="736"/>
      <c r="AD14" s="736"/>
      <c r="AE14" s="736"/>
      <c r="AF14" s="736"/>
      <c r="AG14" s="736"/>
      <c r="AH14" s="736"/>
      <c r="AI14" s="736"/>
      <c r="AJ14" s="736"/>
      <c r="AK14" s="737"/>
      <c r="AL14" s="738"/>
      <c r="AM14" s="736"/>
      <c r="AN14" s="736"/>
      <c r="AO14" s="736"/>
      <c r="AP14" s="736"/>
      <c r="AQ14" s="736"/>
      <c r="AR14" s="736"/>
      <c r="AS14" s="736"/>
      <c r="AT14" s="736"/>
      <c r="AU14" s="736"/>
      <c r="AV14" s="736"/>
      <c r="AW14" s="737"/>
      <c r="AX14" s="738"/>
      <c r="AY14" s="736"/>
      <c r="AZ14" s="736"/>
      <c r="BA14" s="736"/>
      <c r="BB14" s="736"/>
      <c r="BC14" s="736"/>
      <c r="BD14" s="736"/>
      <c r="BE14" s="736"/>
      <c r="BF14" s="736"/>
      <c r="BG14" s="736"/>
      <c r="BH14" s="736"/>
      <c r="BI14" s="673"/>
      <c r="BJ14" s="793"/>
      <c r="BK14" s="793"/>
      <c r="BL14" s="793"/>
      <c r="BM14" s="793"/>
      <c r="BN14" s="793"/>
      <c r="BO14" s="794" t="s">
        <v>1749</v>
      </c>
    </row>
    <row r="15" customFormat="false" ht="12" hidden="false" customHeight="true" outlineLevel="0" collapsed="false">
      <c r="A15" s="677" t="s">
        <v>1750</v>
      </c>
      <c r="B15" s="795"/>
      <c r="C15" s="795"/>
      <c r="D15" s="795"/>
      <c r="E15" s="795"/>
      <c r="F15" s="796"/>
      <c r="G15" s="796"/>
      <c r="H15" s="795"/>
      <c r="I15" s="795"/>
      <c r="J15" s="795"/>
      <c r="K15" s="795"/>
      <c r="L15" s="796"/>
      <c r="M15" s="743"/>
      <c r="N15" s="797"/>
      <c r="O15" s="798"/>
      <c r="P15" s="798"/>
      <c r="Q15" s="798"/>
      <c r="R15" s="798"/>
      <c r="S15" s="798"/>
      <c r="T15" s="798"/>
      <c r="U15" s="798"/>
      <c r="V15" s="798"/>
      <c r="W15" s="798"/>
      <c r="X15" s="746"/>
      <c r="Y15" s="799"/>
      <c r="Z15" s="800"/>
      <c r="AA15" s="801"/>
      <c r="AB15" s="801"/>
      <c r="AC15" s="801"/>
      <c r="AD15" s="801"/>
      <c r="AE15" s="801"/>
      <c r="AF15" s="801"/>
      <c r="AG15" s="801"/>
      <c r="AH15" s="801"/>
      <c r="AI15" s="801"/>
      <c r="AJ15" s="801"/>
      <c r="AK15" s="802"/>
      <c r="AL15" s="751"/>
      <c r="AM15" s="752"/>
      <c r="AN15" s="752"/>
      <c r="AO15" s="752"/>
      <c r="AP15" s="752"/>
      <c r="AQ15" s="752"/>
      <c r="AR15" s="752"/>
      <c r="AS15" s="752"/>
      <c r="AT15" s="752"/>
      <c r="AU15" s="752"/>
      <c r="AV15" s="752"/>
      <c r="AW15" s="753"/>
      <c r="AX15" s="754"/>
      <c r="AY15" s="755"/>
      <c r="AZ15" s="755"/>
      <c r="BA15" s="755"/>
      <c r="BB15" s="755"/>
      <c r="BC15" s="755"/>
      <c r="BD15" s="755"/>
      <c r="BE15" s="755"/>
      <c r="BF15" s="755"/>
      <c r="BG15" s="755"/>
      <c r="BH15" s="755" t="n">
        <f aca="false">SUM(B15:M15)</f>
        <v>0</v>
      </c>
      <c r="BI15" s="756" t="n">
        <f aca="false">SUM(N15:Y15)</f>
        <v>0</v>
      </c>
      <c r="BJ15" s="757" t="n">
        <f aca="false">SUM(B15:M15)</f>
        <v>0</v>
      </c>
      <c r="BK15" s="741" t="n">
        <f aca="false">SUM(N15:Y15)</f>
        <v>0</v>
      </c>
      <c r="BL15" s="741" t="n">
        <f aca="false">SUM(Z15:AK15)</f>
        <v>0</v>
      </c>
      <c r="BM15" s="741" t="n">
        <f aca="false">SUM(AL15:AW15)</f>
        <v>0</v>
      </c>
      <c r="BN15" s="741" t="n">
        <f aca="false">SUM(AX15:BI15)</f>
        <v>0</v>
      </c>
      <c r="BO15" s="695" t="s">
        <v>1750</v>
      </c>
    </row>
    <row r="16" customFormat="false" ht="12" hidden="false" customHeight="true" outlineLevel="0" collapsed="false">
      <c r="A16" s="696" t="s">
        <v>1751</v>
      </c>
      <c r="B16" s="758"/>
      <c r="C16" s="758"/>
      <c r="D16" s="758"/>
      <c r="E16" s="758"/>
      <c r="F16" s="758"/>
      <c r="G16" s="758"/>
      <c r="H16" s="758"/>
      <c r="I16" s="758"/>
      <c r="J16" s="758"/>
      <c r="K16" s="758"/>
      <c r="L16" s="758"/>
      <c r="M16" s="759"/>
      <c r="N16" s="760"/>
      <c r="O16" s="761"/>
      <c r="P16" s="761"/>
      <c r="Q16" s="761"/>
      <c r="R16" s="803"/>
      <c r="S16" s="803"/>
      <c r="T16" s="761"/>
      <c r="U16" s="761"/>
      <c r="V16" s="761"/>
      <c r="W16" s="761"/>
      <c r="X16" s="761"/>
      <c r="Y16" s="804"/>
      <c r="Z16" s="763"/>
      <c r="AA16" s="764"/>
      <c r="AB16" s="764"/>
      <c r="AC16" s="764"/>
      <c r="AD16" s="764"/>
      <c r="AE16" s="764"/>
      <c r="AF16" s="764"/>
      <c r="AG16" s="764"/>
      <c r="AH16" s="764"/>
      <c r="AI16" s="764"/>
      <c r="AJ16" s="764"/>
      <c r="AK16" s="765"/>
      <c r="AL16" s="766"/>
      <c r="AM16" s="767"/>
      <c r="AN16" s="767"/>
      <c r="AO16" s="767"/>
      <c r="AP16" s="767"/>
      <c r="AQ16" s="767"/>
      <c r="AR16" s="767"/>
      <c r="AS16" s="767"/>
      <c r="AT16" s="767"/>
      <c r="AU16" s="767"/>
      <c r="AV16" s="767"/>
      <c r="AW16" s="768"/>
      <c r="AX16" s="769"/>
      <c r="AY16" s="770"/>
      <c r="AZ16" s="770"/>
      <c r="BA16" s="770"/>
      <c r="BB16" s="770"/>
      <c r="BC16" s="770"/>
      <c r="BD16" s="770"/>
      <c r="BE16" s="770"/>
      <c r="BF16" s="770"/>
      <c r="BG16" s="770"/>
      <c r="BH16" s="770" t="n">
        <f aca="false">SUM(B16:M16)</f>
        <v>0</v>
      </c>
      <c r="BI16" s="756" t="n">
        <f aca="false">SUM(N16:Y16)</f>
        <v>0</v>
      </c>
      <c r="BJ16" s="757" t="n">
        <f aca="false">SUM(B16:M16)</f>
        <v>0</v>
      </c>
      <c r="BK16" s="741" t="n">
        <f aca="false">SUM(N16:Y16)</f>
        <v>0</v>
      </c>
      <c r="BL16" s="741" t="n">
        <f aca="false">SUM(Z16:AK16)</f>
        <v>0</v>
      </c>
      <c r="BM16" s="741" t="n">
        <f aca="false">SUM(AL16:AW16)</f>
        <v>0</v>
      </c>
      <c r="BN16" s="741" t="n">
        <f aca="false">SUM(AX16:BI16)</f>
        <v>0</v>
      </c>
      <c r="BO16" s="714" t="s">
        <v>1751</v>
      </c>
    </row>
    <row r="17" customFormat="false" ht="12" hidden="false" customHeight="true" outlineLevel="0" collapsed="false">
      <c r="A17" s="696" t="s">
        <v>1752</v>
      </c>
      <c r="B17" s="758" t="n">
        <f aca="false">B11</f>
        <v>0</v>
      </c>
      <c r="C17" s="758" t="n">
        <f aca="false">C11</f>
        <v>0</v>
      </c>
      <c r="D17" s="758" t="n">
        <f aca="false">D11</f>
        <v>0</v>
      </c>
      <c r="E17" s="758" t="n">
        <f aca="false">E11</f>
        <v>0</v>
      </c>
      <c r="F17" s="758" t="n">
        <f aca="false">F11</f>
        <v>0</v>
      </c>
      <c r="G17" s="758" t="n">
        <f aca="false">G11</f>
        <v>0</v>
      </c>
      <c r="H17" s="758" t="n">
        <f aca="false">H11</f>
        <v>5134620</v>
      </c>
      <c r="I17" s="758" t="n">
        <f aca="false">I11</f>
        <v>3561594.6</v>
      </c>
      <c r="J17" s="758" t="n">
        <f aca="false">J11</f>
        <v>2867523</v>
      </c>
      <c r="K17" s="758" t="n">
        <f aca="false">K11</f>
        <v>3082255.8</v>
      </c>
      <c r="L17" s="758" t="n">
        <f aca="false">L11</f>
        <v>2437385.4</v>
      </c>
      <c r="M17" s="759" t="n">
        <f aca="false">M11</f>
        <v>3082255.8</v>
      </c>
      <c r="N17" s="760" t="n">
        <f aca="false">N11</f>
        <v>2364185.4</v>
      </c>
      <c r="O17" s="761" t="n">
        <f aca="false">O11</f>
        <v>466015.2</v>
      </c>
      <c r="P17" s="761" t="n">
        <f aca="false">P11</f>
        <v>466015.2</v>
      </c>
      <c r="Q17" s="761" t="n">
        <f aca="false">Q11</f>
        <v>0</v>
      </c>
      <c r="R17" s="761" t="n">
        <f aca="false">R11</f>
        <v>0</v>
      </c>
      <c r="S17" s="761" t="n">
        <f aca="false">S11</f>
        <v>0</v>
      </c>
      <c r="T17" s="761" t="n">
        <f aca="false">T11</f>
        <v>0</v>
      </c>
      <c r="U17" s="761" t="n">
        <f aca="false">U11</f>
        <v>0</v>
      </c>
      <c r="V17" s="761" t="n">
        <f aca="false">V11</f>
        <v>0</v>
      </c>
      <c r="W17" s="761" t="n">
        <f aca="false">W11</f>
        <v>0</v>
      </c>
      <c r="X17" s="761" t="n">
        <f aca="false">X11</f>
        <v>0</v>
      </c>
      <c r="Y17" s="762" t="n">
        <f aca="false">Y11</f>
        <v>0</v>
      </c>
      <c r="Z17" s="763" t="n">
        <f aca="false">Z11</f>
        <v>0</v>
      </c>
      <c r="AA17" s="764" t="n">
        <f aca="false">AA11</f>
        <v>0</v>
      </c>
      <c r="AB17" s="764" t="n">
        <f aca="false">AB11</f>
        <v>0</v>
      </c>
      <c r="AC17" s="764" t="n">
        <f aca="false">AC11</f>
        <v>0</v>
      </c>
      <c r="AD17" s="764" t="n">
        <f aca="false">AD11</f>
        <v>0</v>
      </c>
      <c r="AE17" s="764" t="n">
        <f aca="false">AE11</f>
        <v>0</v>
      </c>
      <c r="AF17" s="764" t="n">
        <f aca="false">AF11</f>
        <v>0</v>
      </c>
      <c r="AG17" s="764" t="n">
        <f aca="false">AG11</f>
        <v>0</v>
      </c>
      <c r="AH17" s="764" t="n">
        <f aca="false">AH11</f>
        <v>0</v>
      </c>
      <c r="AI17" s="764" t="n">
        <f aca="false">AI11</f>
        <v>0</v>
      </c>
      <c r="AJ17" s="764" t="n">
        <f aca="false">AJ11</f>
        <v>0</v>
      </c>
      <c r="AK17" s="765" t="n">
        <f aca="false">AK11</f>
        <v>0</v>
      </c>
      <c r="AL17" s="766" t="n">
        <f aca="false">AL11</f>
        <v>0</v>
      </c>
      <c r="AM17" s="767" t="n">
        <f aca="false">AM11</f>
        <v>0</v>
      </c>
      <c r="AN17" s="767" t="n">
        <f aca="false">AN11</f>
        <v>0</v>
      </c>
      <c r="AO17" s="767" t="n">
        <f aca="false">AO11</f>
        <v>0</v>
      </c>
      <c r="AP17" s="767" t="n">
        <f aca="false">AP11</f>
        <v>0</v>
      </c>
      <c r="AQ17" s="767" t="n">
        <f aca="false">AQ11</f>
        <v>0</v>
      </c>
      <c r="AR17" s="767" t="n">
        <f aca="false">AR11</f>
        <v>0</v>
      </c>
      <c r="AS17" s="767" t="n">
        <f aca="false">AS11</f>
        <v>0</v>
      </c>
      <c r="AT17" s="767" t="n">
        <f aca="false">AT11</f>
        <v>0</v>
      </c>
      <c r="AU17" s="767" t="n">
        <f aca="false">AU11</f>
        <v>0</v>
      </c>
      <c r="AV17" s="767" t="n">
        <f aca="false">AV11</f>
        <v>0</v>
      </c>
      <c r="AW17" s="768" t="n">
        <f aca="false">AW11</f>
        <v>0</v>
      </c>
      <c r="AX17" s="769" t="n">
        <f aca="false">AX11</f>
        <v>0</v>
      </c>
      <c r="AY17" s="770" t="n">
        <f aca="false">AY11</f>
        <v>0</v>
      </c>
      <c r="AZ17" s="770" t="n">
        <f aca="false">AZ11</f>
        <v>0</v>
      </c>
      <c r="BA17" s="770" t="n">
        <f aca="false">BA11</f>
        <v>0</v>
      </c>
      <c r="BB17" s="770" t="n">
        <f aca="false">BB11</f>
        <v>0</v>
      </c>
      <c r="BC17" s="770" t="n">
        <f aca="false">BC11</f>
        <v>0</v>
      </c>
      <c r="BD17" s="770" t="n">
        <f aca="false">BD11</f>
        <v>0</v>
      </c>
      <c r="BE17" s="770" t="n">
        <f aca="false">BE11</f>
        <v>0</v>
      </c>
      <c r="BF17" s="770" t="n">
        <f aca="false">BF11</f>
        <v>0</v>
      </c>
      <c r="BG17" s="770" t="n">
        <f aca="false">BG11</f>
        <v>0</v>
      </c>
      <c r="BH17" s="770" t="n">
        <f aca="false">BH11</f>
        <v>0</v>
      </c>
      <c r="BI17" s="756" t="n">
        <f aca="false">BI11</f>
        <v>0</v>
      </c>
      <c r="BJ17" s="757" t="n">
        <f aca="false">SUM(B17:M17)</f>
        <v>20165634.6</v>
      </c>
      <c r="BK17" s="741" t="n">
        <f aca="false">SUM(N17:Y17)</f>
        <v>3296215.8</v>
      </c>
      <c r="BL17" s="741" t="n">
        <f aca="false">SUM(Z17:AK17)</f>
        <v>0</v>
      </c>
      <c r="BM17" s="741" t="n">
        <f aca="false">SUM(AL17:AW17)</f>
        <v>0</v>
      </c>
      <c r="BN17" s="741" t="n">
        <f aca="false">SUM(AX17:BI17)</f>
        <v>0</v>
      </c>
      <c r="BO17" s="714" t="s">
        <v>1752</v>
      </c>
    </row>
    <row r="18" customFormat="false" ht="12" hidden="false" customHeight="true" outlineLevel="0" collapsed="false">
      <c r="A18" s="696" t="s">
        <v>1753</v>
      </c>
      <c r="B18" s="758" t="n">
        <f aca="false">B63+B76+G86+N96+X104+B71+G82+N92+X102</f>
        <v>0</v>
      </c>
      <c r="C18" s="758" t="n">
        <f aca="false">C63+C76+H86+O96+Y104+C71+H82+O92+Y102</f>
        <v>0</v>
      </c>
      <c r="D18" s="758" t="n">
        <f aca="false">D63+D76+I86+P96+Z104+D71+I82+P92+Z102</f>
        <v>0</v>
      </c>
      <c r="E18" s="758" t="n">
        <f aca="false">E63+E76+J86+Q96+AA104+E71+J82+Q92+AA102</f>
        <v>0</v>
      </c>
      <c r="F18" s="758" t="n">
        <f aca="false">F63+F76+K86+R96+AB104+F71+K82+R92+AB102</f>
        <v>0</v>
      </c>
      <c r="G18" s="758" t="n">
        <f aca="false">G63+G76+L86+S96+AC104+G71+L82+S92+AC102</f>
        <v>0</v>
      </c>
      <c r="H18" s="758" t="n">
        <f aca="false">H63+H76+M86+T96+AD104+H71+M82+T92+AD102</f>
        <v>31331.7089679632</v>
      </c>
      <c r="I18" s="758" t="n">
        <f aca="false">I63+I76+N86+U96+AE104+I71+N82+U92+AE102</f>
        <v>53221.3965332699</v>
      </c>
      <c r="J18" s="758" t="n">
        <f aca="false">J63+J76+O86+V96+AF104+J71+O82+V92+AF102</f>
        <v>70985.2727948587</v>
      </c>
      <c r="K18" s="758" t="n">
        <f aca="false">K63+K76+P86+W96+AG104+K71+P82+W92+AG102</f>
        <v>90148.278761689</v>
      </c>
      <c r="L18" s="758" t="n">
        <f aca="false">L63+L76+Q86+X96+AH104+L71+Q82+X92+AH102</f>
        <v>105472.068208822</v>
      </c>
      <c r="M18" s="759" t="n">
        <f aca="false">M63+M76+R86+Y96+AI104+M71+R82+Y92+AI102</f>
        <v>124807.508152722</v>
      </c>
      <c r="N18" s="760" t="n">
        <f aca="false">N63+N76+S86+Z96+AJ104+N71+S82+Z92+AJ102</f>
        <v>139857.923672598</v>
      </c>
      <c r="O18" s="761" t="n">
        <f aca="false">O63+O76+T86+AA96+AK104+O71+T82+AA92+AK102</f>
        <v>143400.861432605</v>
      </c>
      <c r="P18" s="761" t="n">
        <f aca="false">P63+P76+U86+AB96+AL104+P71+U82+AB92+AL102</f>
        <v>146961.513881412</v>
      </c>
      <c r="Q18" s="761" t="n">
        <f aca="false">Q63+Q76+V86+AC96+AM104+Q71+V82+AC92+AM102</f>
        <v>147696.321450819</v>
      </c>
      <c r="R18" s="761" t="n">
        <f aca="false">R63+R76+W86+AD96+AN104+R71+W82+AD92+AN102</f>
        <v>148434.803058073</v>
      </c>
      <c r="S18" s="761" t="n">
        <f aca="false">S63+S76+X86+AE96+AO104+S71+X82+AE92+AO102</f>
        <v>149176.977073363</v>
      </c>
      <c r="T18" s="761" t="n">
        <f aca="false">T63+T76+Y86+AF96+AP104+T71+Y82+AF92+AP102</f>
        <v>149922.86195873</v>
      </c>
      <c r="U18" s="761" t="n">
        <f aca="false">U63+U76+Z86+AG96+AQ104+U71+Z82+AG92+AQ102</f>
        <v>150672.476268524</v>
      </c>
      <c r="V18" s="761" t="n">
        <f aca="false">V63+V76+AA86+AH96+AR104+V71+AA82+AH92+AR102</f>
        <v>151425.838649866</v>
      </c>
      <c r="W18" s="761" t="n">
        <f aca="false">W63+W76+AB86+AI96+AS104+W71+AB82+AI92+AS102</f>
        <v>152182.967843116</v>
      </c>
      <c r="X18" s="761" t="n">
        <f aca="false">X63+X76+AC86+AJ96+AT104+X71+AC82+AJ92+AT102</f>
        <v>152943.882682331</v>
      </c>
      <c r="Y18" s="762" t="n">
        <f aca="false">Y63+Y76+AD86+AK96+AU104+Y71+AD82+AK92+AU102</f>
        <v>153708.602095743</v>
      </c>
      <c r="Z18" s="763" t="n">
        <f aca="false">Z63+Z76+AE86+AL96+AV104+Z71+AE82+AL92+AV102</f>
        <v>154477.145106221</v>
      </c>
      <c r="AA18" s="764" t="n">
        <f aca="false">AA63+AA76+AF86+BI96+BS104+AA71+AF82+BI92+BS102</f>
        <v>155249.530831753</v>
      </c>
      <c r="AB18" s="764" t="n">
        <f aca="false">AB63+AB76+AG86+BJ96+BT104+AB71+AG82+BJ92+BT102</f>
        <v>156025.778485911</v>
      </c>
      <c r="AC18" s="764" t="n">
        <f aca="false">AC63+AC76+AH86+BK96+BU104+AC71+AH82+BK92+BU102</f>
        <v>156805.907378341</v>
      </c>
      <c r="AD18" s="764" t="n">
        <f aca="false">AD63+AD76+AI86+BL96+BV104+AD71+AI82+BL92+BV102</f>
        <v>157589.936915233</v>
      </c>
      <c r="AE18" s="764" t="n">
        <f aca="false">AE63+AE76+AJ86+BM96+BW104+AE71+AJ82+BM92+BW102</f>
        <v>158377.886599809</v>
      </c>
      <c r="AF18" s="764" t="n">
        <f aca="false">AF63+AF76+AK86+BN96+BX104+AF71+AK82+BN92+BX102</f>
        <v>159169.776032808</v>
      </c>
      <c r="AG18" s="764" t="n">
        <f aca="false">AG63+AG76+BH86+BO96+BY104+AG71+BH82+BO92+BY102</f>
        <v>159965.624912972</v>
      </c>
      <c r="AH18" s="764" t="n">
        <f aca="false">AH63+AH76+BI86+BP96+BZ104+AH71+BI82+BP92+BZ102</f>
        <v>160765.453037537</v>
      </c>
      <c r="AI18" s="764" t="n">
        <f aca="false">AI63+AI76+BJ86+BQ96+CA104+AI71+BJ82+BQ92+CA102</f>
        <v>161569.280302724</v>
      </c>
      <c r="AJ18" s="764" t="n">
        <f aca="false">AJ63+AJ76+BK86+BR96+CB104+AJ71+BK82+BR92+CB102</f>
        <v>162377.126704238</v>
      </c>
      <c r="AK18" s="765" t="n">
        <f aca="false">AK63+AK76+BL86+BS96+CC104+AK71+BL82+BS92+CC102</f>
        <v>163189.012337759</v>
      </c>
      <c r="AL18" s="766" t="n">
        <f aca="false">AL63+AL76+BM86+BT96+CD104+AL71+BM82+BT92+CD102</f>
        <v>164004.957399448</v>
      </c>
      <c r="AM18" s="767" t="n">
        <f aca="false">AM63+AM76+BN86+BU96+CE104+AM71+BN82+BU92+CE102</f>
        <v>164824.982186445</v>
      </c>
      <c r="AN18" s="767" t="n">
        <f aca="false">AN63+AN76+BO86+BV96+CF104+AN71+BO82+BV92+CF102</f>
        <v>165649.107097377</v>
      </c>
      <c r="AO18" s="767" t="n">
        <f aca="false">AO63+AO76+BP86+BW96+CG104+AO71+BP82+BW92+CG102</f>
        <v>166477.352632864</v>
      </c>
      <c r="AP18" s="767" t="n">
        <f aca="false">AP63+AP76+BQ86+BX96+CH104+AP71+BQ82+BX92+CH102</f>
        <v>167309.739396029</v>
      </c>
      <c r="AQ18" s="767" t="n">
        <f aca="false">AQ63+AQ76+BR86+BY96+CI104+AQ71+BR82+BY92+CI102</f>
        <v>168146.288093009</v>
      </c>
      <c r="AR18" s="767" t="n">
        <f aca="false">AR63+AR76+BS86+BZ96+CJ104+AR71+BS82+BZ92+CJ102</f>
        <v>168987.019533474</v>
      </c>
      <c r="AS18" s="767" t="n">
        <f aca="false">AS63+AS76+BT86+CA96+CK104+AS71+BT82+CA92+CK102</f>
        <v>169831.954631141</v>
      </c>
      <c r="AT18" s="767" t="n">
        <f aca="false">AT63+AT76+BU86+CB96+CL104+AT71+BU82+CB92+CL102</f>
        <v>170681.114404297</v>
      </c>
      <c r="AU18" s="767" t="n">
        <f aca="false">AU63+AU76+BV86+CC96+CM104+AU71+BV82+CC92+CM102</f>
        <v>171534.519976318</v>
      </c>
      <c r="AV18" s="767" t="n">
        <f aca="false">AV63+AV76+BW86+CD96+CN104+AV71+BW82+CD92+CN102</f>
        <v>172392.1925762</v>
      </c>
      <c r="AW18" s="768" t="n">
        <f aca="false">AW63+AW76+BX86+CE96+CO104+AW71+BX82+CE92+CO102</f>
        <v>173254.153539081</v>
      </c>
      <c r="AX18" s="769" t="n">
        <f aca="false">AX63+AX76+BY86+CF96+CP104+AX71+BY82+CF92+CP102</f>
        <v>174120.424306776</v>
      </c>
      <c r="AY18" s="770" t="n">
        <f aca="false">AY63+AY76+BZ86+CG96+CQ104+AY71+BZ82+CG92+CQ102</f>
        <v>174991.02642831</v>
      </c>
      <c r="AZ18" s="770" t="n">
        <f aca="false">AZ63+AZ76+CA86+CH96+CR104+AZ71+CA82+CH92+CR102</f>
        <v>175865.981560452</v>
      </c>
      <c r="BA18" s="770" t="n">
        <f aca="false">BA63+BA76+CB86+CI96+CS104+BA71+CB82+CI92+CS102</f>
        <v>176745.311468254</v>
      </c>
      <c r="BB18" s="770" t="n">
        <f aca="false">BB63+BB76+CC86+CJ96+CT104+BB71+CC82+CJ92+CT102</f>
        <v>177629.038025595</v>
      </c>
      <c r="BC18" s="770" t="n">
        <f aca="false">BC63+BC76+CD86+CK96+CU104+BC71+CD82+CK92+CU102</f>
        <v>178517.183215723</v>
      </c>
      <c r="BD18" s="770" t="n">
        <f aca="false">BD63+BD76+CE86+CL96+CV104+BD71+CE82+CL92+CV102</f>
        <v>179409.769131802</v>
      </c>
      <c r="BE18" s="770" t="n">
        <f aca="false">BE63+BE76+CF86+CM96+CW104+BE71+CF82+CM92+CW102</f>
        <v>180306.817977461</v>
      </c>
      <c r="BF18" s="770" t="n">
        <f aca="false">BF63+BF76+CG86+CN96+CX104+BF71+CG82+CN92+CX102</f>
        <v>181208.352067348</v>
      </c>
      <c r="BG18" s="770" t="n">
        <f aca="false">BG63+BG76+CH86+CO96+CY104+BG71+CH82+CO92+CY102</f>
        <v>182114.393827685</v>
      </c>
      <c r="BH18" s="770" t="n">
        <f aca="false">BH63+BH76+CI86+CP96+CZ104+BH71+CI82+CP92+CZ102</f>
        <v>183024.965796823</v>
      </c>
      <c r="BI18" s="756" t="n">
        <f aca="false">BI63+BI76+CJ86+CQ96+DA104+BI71+CJ82+CQ92+DA102</f>
        <v>183940.090625808</v>
      </c>
      <c r="BJ18" s="757" t="n">
        <f aca="false">SUM(B18:M18)</f>
        <v>475966.233419325</v>
      </c>
      <c r="BK18" s="741" t="n">
        <f aca="false">SUM(N18:Y18)</f>
        <v>1786385.03006718</v>
      </c>
      <c r="BL18" s="741" t="n">
        <f aca="false">SUM(Z18:AK18)</f>
        <v>1905562.45864531</v>
      </c>
      <c r="BM18" s="741" t="n">
        <f aca="false">SUM(AL18:AW18)</f>
        <v>2023093.38146568</v>
      </c>
      <c r="BN18" s="741" t="n">
        <f aca="false">SUM(AX18:BI18)</f>
        <v>2147873.35443204</v>
      </c>
      <c r="BO18" s="714" t="s">
        <v>1753</v>
      </c>
    </row>
    <row r="19" customFormat="false" ht="12" hidden="false" customHeight="true" outlineLevel="0" collapsed="false">
      <c r="A19" s="696" t="s">
        <v>1754</v>
      </c>
      <c r="B19" s="805" t="n">
        <f aca="false">IF(COLUMN()-1='Sources &amp; Uses'!$C$4,'Sources &amp; Uses'!$B$4,0)+IF(COLUMN()-1='Sources &amp; Uses'!$C$5,'Sources &amp; Uses'!$B$5,0)+IF(COLUMN()-1='Sources &amp; Uses'!$C$7,'Sources &amp; Uses'!$B$7,0)</f>
        <v>10000000</v>
      </c>
      <c r="C19" s="805" t="n">
        <f aca="false">IF(COLUMN()-1='Sources &amp; Uses'!$C$4,'Sources &amp; Uses'!$B$4,0)+IF(COLUMN()-1='Sources &amp; Uses'!$C$5,'Sources &amp; Uses'!$B$5,0)+IF(COLUMN()-1='Sources &amp; Uses'!$C$7,'Sources &amp; Uses'!$B$7,0)</f>
        <v>0</v>
      </c>
      <c r="D19" s="805" t="n">
        <f aca="false">IF(COLUMN()-1='Sources &amp; Uses'!$C$4,'Sources &amp; Uses'!$B$4,0)+IF(COLUMN()-1='Sources &amp; Uses'!$C$5,'Sources &amp; Uses'!$B$5,0)+IF(COLUMN()-1='Sources &amp; Uses'!$C$7,'Sources &amp; Uses'!$B$7,0)</f>
        <v>0</v>
      </c>
      <c r="E19" s="805" t="n">
        <f aca="false">IF(COLUMN()-1='Sources &amp; Uses'!$C$4,'Sources &amp; Uses'!$B$4,0)+IF(COLUMN()-1='Sources &amp; Uses'!$C$5,'Sources &amp; Uses'!$B$5,0)+IF(COLUMN()-1='Sources &amp; Uses'!$C$7,'Sources &amp; Uses'!$B$7,0)</f>
        <v>0</v>
      </c>
      <c r="F19" s="805" t="n">
        <f aca="false">IF(COLUMN()-1='Sources &amp; Uses'!$C$4,'Sources &amp; Uses'!$B$4,0)+IF(COLUMN()-1='Sources &amp; Uses'!$C$5,'Sources &amp; Uses'!$B$5,0)+IF(COLUMN()-1='Sources &amp; Uses'!$C$7,'Sources &amp; Uses'!$B$7,0)</f>
        <v>0</v>
      </c>
      <c r="G19" s="805" t="n">
        <f aca="false">IF(COLUMN()-1='Sources &amp; Uses'!$C$4,'Sources &amp; Uses'!$B$4,0)+IF(COLUMN()-1='Sources &amp; Uses'!$C$5,'Sources &amp; Uses'!$B$5,0)+IF(COLUMN()-1='Sources &amp; Uses'!$C$7,'Sources &amp; Uses'!$B$7,0)</f>
        <v>0</v>
      </c>
      <c r="H19" s="805" t="n">
        <f aca="false">IF(COLUMN()-1='Sources &amp; Uses'!$C$4,'Sources &amp; Uses'!$B$4,0)+IF(COLUMN()-1='Sources &amp; Uses'!$C$5,'Sources &amp; Uses'!$B$5,0)+IF(COLUMN()-1='Sources &amp; Uses'!$C$7,'Sources &amp; Uses'!$B$7,0)</f>
        <v>0</v>
      </c>
      <c r="I19" s="805" t="n">
        <f aca="false">IF(COLUMN()-1='Sources &amp; Uses'!$C$4,'Sources &amp; Uses'!$B$4,0)+IF(COLUMN()-1='Sources &amp; Uses'!$C$5,'Sources &amp; Uses'!$B$5,0)+IF(COLUMN()-1='Sources &amp; Uses'!$C$7,'Sources &amp; Uses'!$B$7,0)</f>
        <v>0</v>
      </c>
      <c r="J19" s="805" t="n">
        <f aca="false">IF(COLUMN()-1='Sources &amp; Uses'!$C$4,'Sources &amp; Uses'!$B$4,0)+IF(COLUMN()-1='Sources &amp; Uses'!$C$5,'Sources &amp; Uses'!$B$5,0)+IF(COLUMN()-1='Sources &amp; Uses'!$C$7,'Sources &amp; Uses'!$B$7,0)</f>
        <v>0</v>
      </c>
      <c r="K19" s="805" t="n">
        <f aca="false">IF(COLUMN()-1='Sources &amp; Uses'!$C$4,'Sources &amp; Uses'!$B$4,0)+IF(COLUMN()-1='Sources &amp; Uses'!$C$5,'Sources &amp; Uses'!$B$5,0)+IF(COLUMN()-1='Sources &amp; Uses'!$C$7,'Sources &amp; Uses'!$B$7,0)</f>
        <v>0</v>
      </c>
      <c r="L19" s="805" t="n">
        <f aca="false">IF(COLUMN()-1='Sources &amp; Uses'!$C$4,'Sources &amp; Uses'!$B$4,0)+IF(COLUMN()-1='Sources &amp; Uses'!$C$5,'Sources &amp; Uses'!$B$5,0)+IF(COLUMN()-1='Sources &amp; Uses'!$C$7,'Sources &amp; Uses'!$B$7,0)</f>
        <v>0</v>
      </c>
      <c r="M19" s="806" t="n">
        <f aca="false">IF(COLUMN()-1='Sources &amp; Uses'!$C$4,'Sources &amp; Uses'!$B$4,0)+IF(COLUMN()-1='Sources &amp; Uses'!$C$5,'Sources &amp; Uses'!$B$5,0)+IF(COLUMN()-1='Sources &amp; Uses'!$C$7,'Sources &amp; Uses'!$B$7,0)</f>
        <v>0</v>
      </c>
      <c r="N19" s="807" t="n">
        <f aca="false">IF(COLUMN()-1='Sources &amp; Uses'!$C$4,'Sources &amp; Uses'!$B$4,0)+IF(COLUMN()-1='Sources &amp; Uses'!$C$5,'Sources &amp; Uses'!$B$5,0)+IF(COLUMN()-1='Sources &amp; Uses'!$C$7,'Sources &amp; Uses'!$B$7,0)</f>
        <v>0</v>
      </c>
      <c r="O19" s="808" t="n">
        <f aca="false">IF(COLUMN()-1='Sources &amp; Uses'!$C$4,'Sources &amp; Uses'!$B$4,0)+IF(COLUMN()-1='Sources &amp; Uses'!$C$5,'Sources &amp; Uses'!$B$5,0)+IF(COLUMN()-1='Sources &amp; Uses'!$C$7,'Sources &amp; Uses'!$B$7,0)</f>
        <v>0</v>
      </c>
      <c r="P19" s="808" t="n">
        <f aca="false">IF(COLUMN()-1='Sources &amp; Uses'!$C$4,'Sources &amp; Uses'!$B$4,0)+IF(COLUMN()-1='Sources &amp; Uses'!$C$5,'Sources &amp; Uses'!$B$5,0)+IF(COLUMN()-1='Sources &amp; Uses'!$C$7,'Sources &amp; Uses'!$B$7,0)</f>
        <v>0</v>
      </c>
      <c r="Q19" s="808" t="n">
        <f aca="false">IF(COLUMN()-1='Sources &amp; Uses'!$C$4,'Sources &amp; Uses'!$B$4,0)+IF(COLUMN()-1='Sources &amp; Uses'!$C$5,'Sources &amp; Uses'!$B$5,0)+IF(COLUMN()-1='Sources &amp; Uses'!$C$7,'Sources &amp; Uses'!$B$7,0)</f>
        <v>0</v>
      </c>
      <c r="R19" s="808" t="n">
        <f aca="false">IF(COLUMN()-1='Sources &amp; Uses'!$C$4,'Sources &amp; Uses'!$B$4,0)+IF(COLUMN()-1='Sources &amp; Uses'!$C$5,'Sources &amp; Uses'!$B$5,0)+IF(COLUMN()-1='Sources &amp; Uses'!$C$7,'Sources &amp; Uses'!$B$7,0)</f>
        <v>0</v>
      </c>
      <c r="S19" s="808" t="n">
        <f aca="false">IF(COLUMN()-1='Sources &amp; Uses'!$C$4,'Sources &amp; Uses'!$B$4,0)+IF(COLUMN()-1='Sources &amp; Uses'!$C$5,'Sources &amp; Uses'!$B$5,0)+IF(COLUMN()-1='Sources &amp; Uses'!$C$7,'Sources &amp; Uses'!$B$7,0)</f>
        <v>0</v>
      </c>
      <c r="T19" s="808" t="n">
        <f aca="false">IF(COLUMN()-1='Sources &amp; Uses'!$C$4,'Sources &amp; Uses'!$B$4,0)+IF(COLUMN()-1='Sources &amp; Uses'!$C$5,'Sources &amp; Uses'!$B$5,0)+IF(COLUMN()-1='Sources &amp; Uses'!$C$7,'Sources &amp; Uses'!$B$7,0)</f>
        <v>0</v>
      </c>
      <c r="U19" s="808" t="n">
        <f aca="false">IF(COLUMN()-1='Sources &amp; Uses'!$C$4,'Sources &amp; Uses'!$B$4,0)+IF(COLUMN()-1='Sources &amp; Uses'!$C$5,'Sources &amp; Uses'!$B$5,0)+IF(COLUMN()-1='Sources &amp; Uses'!$C$7,'Sources &amp; Uses'!$B$7,0)</f>
        <v>0</v>
      </c>
      <c r="V19" s="808" t="n">
        <f aca="false">IF(COLUMN()-1='Sources &amp; Uses'!$C$4,'Sources &amp; Uses'!$B$4,0)+IF(COLUMN()-1='Sources &amp; Uses'!$C$5,'Sources &amp; Uses'!$B$5,0)+IF(COLUMN()-1='Sources &amp; Uses'!$C$7,'Sources &amp; Uses'!$B$7,0)</f>
        <v>0</v>
      </c>
      <c r="W19" s="808" t="n">
        <f aca="false">IF(COLUMN()-1='Sources &amp; Uses'!$C$4,'Sources &amp; Uses'!$B$4,0)+IF(COLUMN()-1='Sources &amp; Uses'!$C$5,'Sources &amp; Uses'!$B$5,0)+IF(COLUMN()-1='Sources &amp; Uses'!$C$7,'Sources &amp; Uses'!$B$7,0)</f>
        <v>0</v>
      </c>
      <c r="X19" s="808" t="n">
        <f aca="false">IF(COLUMN()-1='Sources &amp; Uses'!$C$4,'Sources &amp; Uses'!$B$4,0)+IF(COLUMN()-1='Sources &amp; Uses'!$C$5,'Sources &amp; Uses'!$B$5,0)+IF(COLUMN()-1='Sources &amp; Uses'!$C$7,'Sources &amp; Uses'!$B$7,0)</f>
        <v>0</v>
      </c>
      <c r="Y19" s="809" t="n">
        <f aca="false">IF(COLUMN()-1='Sources &amp; Uses'!$C$4,'Sources &amp; Uses'!$B$4,0)+IF(COLUMN()-1='Sources &amp; Uses'!$C$5,'Sources &amp; Uses'!$B$5,0)+IF(COLUMN()-1='Sources &amp; Uses'!$C$7,'Sources &amp; Uses'!$B$7,0)</f>
        <v>0</v>
      </c>
      <c r="Z19" s="810" t="n">
        <f aca="false">IF(COLUMN()-1='Sources &amp; Uses'!$C$4,'Sources &amp; Uses'!$B$4,0)+IF(COLUMN()-1='Sources &amp; Uses'!$C$5,'Sources &amp; Uses'!$B$5,0)+IF(COLUMN()-1='Sources &amp; Uses'!$C$7,'Sources &amp; Uses'!$B$7,0)</f>
        <v>0</v>
      </c>
      <c r="AA19" s="811" t="n">
        <f aca="false">IF(COLUMN()-1='Sources &amp; Uses'!$C$4,'Sources &amp; Uses'!$B$4,0)+IF(COLUMN()-1='Sources &amp; Uses'!$C$5,'Sources &amp; Uses'!$B$5,0)+IF(COLUMN()-1='Sources &amp; Uses'!$C$7,'Sources &amp; Uses'!$B$7,0)</f>
        <v>0</v>
      </c>
      <c r="AB19" s="811" t="n">
        <f aca="false">IF(COLUMN()-1='Sources &amp; Uses'!$C$4,'Sources &amp; Uses'!$B$4,0)+IF(COLUMN()-1='Sources &amp; Uses'!$C$5,'Sources &amp; Uses'!$B$5,0)+IF(COLUMN()-1='Sources &amp; Uses'!$C$7,'Sources &amp; Uses'!$B$7,0)</f>
        <v>0</v>
      </c>
      <c r="AC19" s="811" t="n">
        <f aca="false">IF(COLUMN()-1='Sources &amp; Uses'!$C$4,'Sources &amp; Uses'!$B$4,0)+IF(COLUMN()-1='Sources &amp; Uses'!$C$5,'Sources &amp; Uses'!$B$5,0)+IF(COLUMN()-1='Sources &amp; Uses'!$C$7,'Sources &amp; Uses'!$B$7,0)</f>
        <v>0</v>
      </c>
      <c r="AD19" s="811" t="n">
        <f aca="false">IF(COLUMN()-1='Sources &amp; Uses'!$C$4,'Sources &amp; Uses'!$B$4,0)+IF(COLUMN()-1='Sources &amp; Uses'!$C$5,'Sources &amp; Uses'!$B$5,0)+IF(COLUMN()-1='Sources &amp; Uses'!$C$7,'Sources &amp; Uses'!$B$7,0)</f>
        <v>0</v>
      </c>
      <c r="AE19" s="811" t="n">
        <f aca="false">IF(COLUMN()-1='Sources &amp; Uses'!$C$4,'Sources &amp; Uses'!$B$4,0)+IF(COLUMN()-1='Sources &amp; Uses'!$C$5,'Sources &amp; Uses'!$B$5,0)+IF(COLUMN()-1='Sources &amp; Uses'!$C$7,'Sources &amp; Uses'!$B$7,0)</f>
        <v>0</v>
      </c>
      <c r="AF19" s="811" t="n">
        <f aca="false">IF(COLUMN()-1='Sources &amp; Uses'!$C$4,'Sources &amp; Uses'!$B$4,0)+IF(COLUMN()-1='Sources &amp; Uses'!$C$5,'Sources &amp; Uses'!$B$5,0)+IF(COLUMN()-1='Sources &amp; Uses'!$C$7,'Sources &amp; Uses'!$B$7,0)</f>
        <v>0</v>
      </c>
      <c r="AG19" s="811" t="n">
        <f aca="false">IF(COLUMN()-1='Sources &amp; Uses'!$C$4,'Sources &amp; Uses'!$B$4,0)+IF(COLUMN()-1='Sources &amp; Uses'!$C$5,'Sources &amp; Uses'!$B$5,0)+IF(COLUMN()-1='Sources &amp; Uses'!$C$7,'Sources &amp; Uses'!$B$7,0)</f>
        <v>0</v>
      </c>
      <c r="AH19" s="811" t="n">
        <f aca="false">IF(COLUMN()-1='Sources &amp; Uses'!$C$4,'Sources &amp; Uses'!$B$4,0)+IF(COLUMN()-1='Sources &amp; Uses'!$C$5,'Sources &amp; Uses'!$B$5,0)+IF(COLUMN()-1='Sources &amp; Uses'!$C$7,'Sources &amp; Uses'!$B$7,0)</f>
        <v>0</v>
      </c>
      <c r="AI19" s="811" t="n">
        <f aca="false">IF(COLUMN()-1='Sources &amp; Uses'!$C$4,'Sources &amp; Uses'!$B$4,0)+IF(COLUMN()-1='Sources &amp; Uses'!$C$5,'Sources &amp; Uses'!$B$5,0)+IF(COLUMN()-1='Sources &amp; Uses'!$C$7,'Sources &amp; Uses'!$B$7,0)</f>
        <v>0</v>
      </c>
      <c r="AJ19" s="811" t="n">
        <f aca="false">IF(COLUMN()-1='Sources &amp; Uses'!$C$4,'Sources &amp; Uses'!$B$4,0)+IF(COLUMN()-1='Sources &amp; Uses'!$C$5,'Sources &amp; Uses'!$B$5,0)+IF(COLUMN()-1='Sources &amp; Uses'!$C$7,'Sources &amp; Uses'!$B$7,0)</f>
        <v>0</v>
      </c>
      <c r="AK19" s="812" t="n">
        <f aca="false">IF(COLUMN()-1='Sources &amp; Uses'!$C$4,'Sources &amp; Uses'!$B$4,0)+IF(COLUMN()-1='Sources &amp; Uses'!$C$5,'Sources &amp; Uses'!$B$5,0)+IF(COLUMN()-1='Sources &amp; Uses'!$C$7,'Sources &amp; Uses'!$B$7,0)</f>
        <v>0</v>
      </c>
      <c r="AL19" s="813" t="n">
        <f aca="false">IF(COLUMN()-1='Sources &amp; Uses'!$C$4,'Sources &amp; Uses'!$B$4,0)+IF(COLUMN()-1='Sources &amp; Uses'!$C$5,'Sources &amp; Uses'!$B$5,0)+IF(COLUMN()-1='Sources &amp; Uses'!$C$7,'Sources &amp; Uses'!$B$7,0)</f>
        <v>0</v>
      </c>
      <c r="AM19" s="814" t="n">
        <f aca="false">IF(COLUMN()-1='Sources &amp; Uses'!$C$4,'Sources &amp; Uses'!$B$4,0)+IF(COLUMN()-1='Sources &amp; Uses'!$C$5,'Sources &amp; Uses'!$B$5,0)+IF(COLUMN()-1='Sources &amp; Uses'!$C$7,'Sources &amp; Uses'!$B$7,0)</f>
        <v>0</v>
      </c>
      <c r="AN19" s="814" t="n">
        <f aca="false">IF(COLUMN()-1='Sources &amp; Uses'!$C$4,'Sources &amp; Uses'!$B$4,0)+IF(COLUMN()-1='Sources &amp; Uses'!$C$5,'Sources &amp; Uses'!$B$5,0)+IF(COLUMN()-1='Sources &amp; Uses'!$C$7,'Sources &amp; Uses'!$B$7,0)</f>
        <v>0</v>
      </c>
      <c r="AO19" s="814" t="n">
        <f aca="false">IF(COLUMN()-1='Sources &amp; Uses'!$C$4,'Sources &amp; Uses'!$B$4,0)+IF(COLUMN()-1='Sources &amp; Uses'!$C$5,'Sources &amp; Uses'!$B$5,0)+IF(COLUMN()-1='Sources &amp; Uses'!$C$7,'Sources &amp; Uses'!$B$7,0)</f>
        <v>0</v>
      </c>
      <c r="AP19" s="814" t="n">
        <f aca="false">IF(COLUMN()-1='Sources &amp; Uses'!$C$4,'Sources &amp; Uses'!$B$4,0)+IF(COLUMN()-1='Sources &amp; Uses'!$C$5,'Sources &amp; Uses'!$B$5,0)+IF(COLUMN()-1='Sources &amp; Uses'!$C$7,'Sources &amp; Uses'!$B$7,0)</f>
        <v>0</v>
      </c>
      <c r="AQ19" s="814" t="n">
        <f aca="false">IF(COLUMN()-1='Sources &amp; Uses'!$C$4,'Sources &amp; Uses'!$B$4,0)+IF(COLUMN()-1='Sources &amp; Uses'!$C$5,'Sources &amp; Uses'!$B$5,0)+IF(COLUMN()-1='Sources &amp; Uses'!$C$7,'Sources &amp; Uses'!$B$7,0)</f>
        <v>0</v>
      </c>
      <c r="AR19" s="814" t="n">
        <f aca="false">IF(COLUMN()-1='Sources &amp; Uses'!$C$4,'Sources &amp; Uses'!$B$4,0)+IF(COLUMN()-1='Sources &amp; Uses'!$C$5,'Sources &amp; Uses'!$B$5,0)+IF(COLUMN()-1='Sources &amp; Uses'!$C$7,'Sources &amp; Uses'!$B$7,0)</f>
        <v>0</v>
      </c>
      <c r="AS19" s="814" t="n">
        <f aca="false">IF(COLUMN()-1='Sources &amp; Uses'!$C$4,'Sources &amp; Uses'!$B$4,0)+IF(COLUMN()-1='Sources &amp; Uses'!$C$5,'Sources &amp; Uses'!$B$5,0)+IF(COLUMN()-1='Sources &amp; Uses'!$C$7,'Sources &amp; Uses'!$B$7,0)</f>
        <v>0</v>
      </c>
      <c r="AT19" s="814" t="n">
        <f aca="false">IF(COLUMN()-1='Sources &amp; Uses'!$C$4,'Sources &amp; Uses'!$B$4,0)+IF(COLUMN()-1='Sources &amp; Uses'!$C$5,'Sources &amp; Uses'!$B$5,0)+IF(COLUMN()-1='Sources &amp; Uses'!$C$7,'Sources &amp; Uses'!$B$7,0)</f>
        <v>0</v>
      </c>
      <c r="AU19" s="814" t="n">
        <f aca="false">IF(COLUMN()-1='Sources &amp; Uses'!$C$4,'Sources &amp; Uses'!$B$4,0)+IF(COLUMN()-1='Sources &amp; Uses'!$C$5,'Sources &amp; Uses'!$B$5,0)+IF(COLUMN()-1='Sources &amp; Uses'!$C$7,'Sources &amp; Uses'!$B$7,0)</f>
        <v>0</v>
      </c>
      <c r="AV19" s="814" t="n">
        <f aca="false">IF(COLUMN()-1='Sources &amp; Uses'!$C$4,'Sources &amp; Uses'!$B$4,0)+IF(COLUMN()-1='Sources &amp; Uses'!$C$5,'Sources &amp; Uses'!$B$5,0)+IF(COLUMN()-1='Sources &amp; Uses'!$C$7,'Sources &amp; Uses'!$B$7,0)</f>
        <v>0</v>
      </c>
      <c r="AW19" s="815" t="n">
        <f aca="false">IF(COLUMN()-1='Sources &amp; Uses'!$C$4,'Sources &amp; Uses'!$B$4,0)+IF(COLUMN()-1='Sources &amp; Uses'!$C$5,'Sources &amp; Uses'!$B$5,0)+IF(COLUMN()-1='Sources &amp; Uses'!$C$7,'Sources &amp; Uses'!$B$7,0)</f>
        <v>0</v>
      </c>
      <c r="AX19" s="816" t="n">
        <f aca="false">IF(COLUMN()-1='Sources &amp; Uses'!$C$4,'Sources &amp; Uses'!$B$4,0)+IF(COLUMN()-1='Sources &amp; Uses'!$C$5,'Sources &amp; Uses'!$B$5,0)+IF(COLUMN()-1='Sources &amp; Uses'!$C$7,'Sources &amp; Uses'!$B$7,0)</f>
        <v>0</v>
      </c>
      <c r="AY19" s="817" t="n">
        <f aca="false">IF(COLUMN()-1='Sources &amp; Uses'!$C$4,'Sources &amp; Uses'!$B$4,0)+IF(COLUMN()-1='Sources &amp; Uses'!$C$5,'Sources &amp; Uses'!$B$5,0)+IF(COLUMN()-1='Sources &amp; Uses'!$C$7,'Sources &amp; Uses'!$B$7,0)</f>
        <v>0</v>
      </c>
      <c r="AZ19" s="817" t="n">
        <f aca="false">IF(COLUMN()-1='Sources &amp; Uses'!$C$4,'Sources &amp; Uses'!$B$4,0)+IF(COLUMN()-1='Sources &amp; Uses'!$C$5,'Sources &amp; Uses'!$B$5,0)+IF(COLUMN()-1='Sources &amp; Uses'!$C$7,'Sources &amp; Uses'!$B$7,0)</f>
        <v>0</v>
      </c>
      <c r="BA19" s="817" t="n">
        <f aca="false">IF(COLUMN()-1='Sources &amp; Uses'!$C$4,'Sources &amp; Uses'!$B$4,0)+IF(COLUMN()-1='Sources &amp; Uses'!$C$5,'Sources &amp; Uses'!$B$5,0)+IF(COLUMN()-1='Sources &amp; Uses'!$C$7,'Sources &amp; Uses'!$B$7,0)</f>
        <v>0</v>
      </c>
      <c r="BB19" s="817" t="n">
        <f aca="false">IF(COLUMN()-1='Sources &amp; Uses'!$C$4,'Sources &amp; Uses'!$B$4,0)+IF(COLUMN()-1='Sources &amp; Uses'!$C$5,'Sources &amp; Uses'!$B$5,0)+IF(COLUMN()-1='Sources &amp; Uses'!$C$7,'Sources &amp; Uses'!$B$7,0)</f>
        <v>0</v>
      </c>
      <c r="BC19" s="817" t="n">
        <f aca="false">IF(COLUMN()-1='Sources &amp; Uses'!$C$4,'Sources &amp; Uses'!$B$4,0)+IF(COLUMN()-1='Sources &amp; Uses'!$C$5,'Sources &amp; Uses'!$B$5,0)+IF(COLUMN()-1='Sources &amp; Uses'!$C$7,'Sources &amp; Uses'!$B$7,0)</f>
        <v>0</v>
      </c>
      <c r="BD19" s="817" t="n">
        <f aca="false">IF(COLUMN()-1='Sources &amp; Uses'!$C$4,'Sources &amp; Uses'!$B$4,0)+IF(COLUMN()-1='Sources &amp; Uses'!$C$5,'Sources &amp; Uses'!$B$5,0)+IF(COLUMN()-1='Sources &amp; Uses'!$C$7,'Sources &amp; Uses'!$B$7,0)</f>
        <v>0</v>
      </c>
      <c r="BE19" s="817" t="n">
        <f aca="false">IF(COLUMN()-1='Sources &amp; Uses'!$C$4,'Sources &amp; Uses'!$B$4,0)+IF(COLUMN()-1='Sources &amp; Uses'!$C$5,'Sources &amp; Uses'!$B$5,0)+IF(COLUMN()-1='Sources &amp; Uses'!$C$7,'Sources &amp; Uses'!$B$7,0)</f>
        <v>0</v>
      </c>
      <c r="BF19" s="817" t="n">
        <f aca="false">IF(COLUMN()-1='Sources &amp; Uses'!$C$4,'Sources &amp; Uses'!$B$4,0)+IF(COLUMN()-1='Sources &amp; Uses'!$C$5,'Sources &amp; Uses'!$B$5,0)+IF(COLUMN()-1='Sources &amp; Uses'!$C$7,'Sources &amp; Uses'!$B$7,0)</f>
        <v>0</v>
      </c>
      <c r="BG19" s="817" t="n">
        <f aca="false">IF(COLUMN()-1='Sources &amp; Uses'!$C$4,'Sources &amp; Uses'!$B$4,0)+IF(COLUMN()-1='Sources &amp; Uses'!$C$5,'Sources &amp; Uses'!$B$5,0)+IF(COLUMN()-1='Sources &amp; Uses'!$C$7,'Sources &amp; Uses'!$B$7,0)</f>
        <v>0</v>
      </c>
      <c r="BH19" s="817" t="n">
        <f aca="false">IF(COLUMN()-1='Sources &amp; Uses'!$C$4,'Sources &amp; Uses'!$B$4,0)+IF(COLUMN()-1='Sources &amp; Uses'!$C$5,'Sources &amp; Uses'!$B$5,0)+IF(COLUMN()-1='Sources &amp; Uses'!$C$7,'Sources &amp; Uses'!$B$7,0)</f>
        <v>0</v>
      </c>
      <c r="BI19" s="818" t="n">
        <f aca="false">IF(COLUMN()-1='Sources &amp; Uses'!$C$4,'Sources &amp; Uses'!$B$4,0)+IF(COLUMN()-1='Sources &amp; Uses'!$C$5,'Sources &amp; Uses'!$B$5,0)+IF(COLUMN()-1='Sources &amp; Uses'!$C$7,'Sources &amp; Uses'!$B$7,0)</f>
        <v>0</v>
      </c>
      <c r="BJ19" s="757" t="n">
        <f aca="false">SUM(B19:M19)</f>
        <v>10000000</v>
      </c>
      <c r="BK19" s="741" t="n">
        <f aca="false">SUM(N19:Y19)</f>
        <v>0</v>
      </c>
      <c r="BL19" s="741" t="n">
        <f aca="false">SUM(Z19:AK19)</f>
        <v>0</v>
      </c>
      <c r="BM19" s="741" t="n">
        <f aca="false">SUM(AL19:AW19)</f>
        <v>0</v>
      </c>
      <c r="BN19" s="741" t="n">
        <f aca="false">SUM(AX19:BI19)</f>
        <v>0</v>
      </c>
      <c r="BO19" s="714" t="s">
        <v>1754</v>
      </c>
    </row>
    <row r="20" customFormat="false" ht="10.5" hidden="false" customHeight="true" outlineLevel="0" collapsed="false">
      <c r="A20" s="715" t="s">
        <v>1755</v>
      </c>
      <c r="B20" s="777" t="n">
        <v>0</v>
      </c>
      <c r="C20" s="777" t="n">
        <v>0</v>
      </c>
      <c r="D20" s="777" t="n">
        <v>0</v>
      </c>
      <c r="E20" s="777" t="n">
        <v>0</v>
      </c>
      <c r="F20" s="777" t="n">
        <v>0</v>
      </c>
      <c r="G20" s="777" t="n">
        <v>0</v>
      </c>
      <c r="H20" s="777" t="n">
        <v>0</v>
      </c>
      <c r="I20" s="777" t="n">
        <v>0</v>
      </c>
      <c r="J20" s="777" t="n">
        <v>0</v>
      </c>
      <c r="K20" s="777" t="n">
        <v>0</v>
      </c>
      <c r="L20" s="777" t="n">
        <v>0</v>
      </c>
      <c r="M20" s="778" t="n">
        <v>0</v>
      </c>
      <c r="N20" s="819" t="n">
        <v>0</v>
      </c>
      <c r="O20" s="820" t="n">
        <v>0</v>
      </c>
      <c r="P20" s="820" t="n">
        <v>0</v>
      </c>
      <c r="Q20" s="820" t="n">
        <v>0</v>
      </c>
      <c r="R20" s="820" t="n">
        <v>0</v>
      </c>
      <c r="S20" s="820" t="n">
        <v>0</v>
      </c>
      <c r="T20" s="820" t="n">
        <v>0</v>
      </c>
      <c r="U20" s="820" t="n">
        <v>0</v>
      </c>
      <c r="V20" s="820" t="n">
        <v>0</v>
      </c>
      <c r="W20" s="820" t="n">
        <v>0</v>
      </c>
      <c r="X20" s="820" t="n">
        <v>0</v>
      </c>
      <c r="Y20" s="821" t="n">
        <v>0</v>
      </c>
      <c r="Z20" s="822" t="n">
        <v>0</v>
      </c>
      <c r="AA20" s="823" t="n">
        <v>0</v>
      </c>
      <c r="AB20" s="823" t="n">
        <v>0</v>
      </c>
      <c r="AC20" s="823" t="n">
        <v>0</v>
      </c>
      <c r="AD20" s="823" t="n">
        <v>0</v>
      </c>
      <c r="AE20" s="823" t="n">
        <v>0</v>
      </c>
      <c r="AF20" s="823" t="n">
        <v>0</v>
      </c>
      <c r="AG20" s="823" t="n">
        <v>0</v>
      </c>
      <c r="AH20" s="823" t="n">
        <v>0</v>
      </c>
      <c r="AI20" s="823" t="n">
        <v>0</v>
      </c>
      <c r="AJ20" s="823" t="n">
        <v>0</v>
      </c>
      <c r="AK20" s="824" t="n">
        <v>0</v>
      </c>
      <c r="AL20" s="825" t="n">
        <v>0</v>
      </c>
      <c r="AM20" s="826" t="n">
        <v>0</v>
      </c>
      <c r="AN20" s="826" t="n">
        <v>0</v>
      </c>
      <c r="AO20" s="826" t="n">
        <v>0</v>
      </c>
      <c r="AP20" s="826" t="n">
        <v>0</v>
      </c>
      <c r="AQ20" s="826" t="n">
        <v>0</v>
      </c>
      <c r="AR20" s="826" t="n">
        <v>0</v>
      </c>
      <c r="AS20" s="826" t="n">
        <v>0</v>
      </c>
      <c r="AT20" s="826" t="n">
        <v>0</v>
      </c>
      <c r="AU20" s="826" t="n">
        <v>0</v>
      </c>
      <c r="AV20" s="826" t="n">
        <v>0</v>
      </c>
      <c r="AW20" s="827" t="n">
        <v>0</v>
      </c>
      <c r="AX20" s="828" t="n">
        <v>0</v>
      </c>
      <c r="AY20" s="829" t="n">
        <v>0</v>
      </c>
      <c r="AZ20" s="829" t="n">
        <v>0</v>
      </c>
      <c r="BA20" s="829" t="n">
        <v>0</v>
      </c>
      <c r="BB20" s="829" t="n">
        <v>0</v>
      </c>
      <c r="BC20" s="829" t="n">
        <v>0</v>
      </c>
      <c r="BD20" s="829" t="n">
        <v>0</v>
      </c>
      <c r="BE20" s="829" t="n">
        <v>0</v>
      </c>
      <c r="BF20" s="829" t="n">
        <v>0</v>
      </c>
      <c r="BG20" s="829" t="n">
        <v>0</v>
      </c>
      <c r="BH20" s="829" t="n">
        <v>0</v>
      </c>
      <c r="BI20" s="830" t="n">
        <v>0</v>
      </c>
      <c r="BJ20" s="791" t="n">
        <f aca="false">SUM(B20:M20)</f>
        <v>0</v>
      </c>
      <c r="BK20" s="777" t="n">
        <f aca="false">SUM(N20:Y20)</f>
        <v>0</v>
      </c>
      <c r="BL20" s="777" t="n">
        <f aca="false">SUM(Z20:AK20)</f>
        <v>0</v>
      </c>
      <c r="BM20" s="777" t="n">
        <f aca="false">SUM(AL20:AW20)</f>
        <v>0</v>
      </c>
      <c r="BN20" s="777" t="n">
        <f aca="false">SUM(AX20:BI20)</f>
        <v>0</v>
      </c>
      <c r="BO20" s="733" t="s">
        <v>1755</v>
      </c>
    </row>
    <row r="21" customFormat="false" ht="10.5" hidden="false" customHeight="true" outlineLevel="0" collapsed="false">
      <c r="A21" s="831" t="s">
        <v>1756</v>
      </c>
      <c r="B21" s="832"/>
      <c r="C21" s="832"/>
      <c r="D21" s="832"/>
      <c r="E21" s="832"/>
      <c r="F21" s="832"/>
      <c r="G21" s="832"/>
      <c r="H21" s="832"/>
      <c r="I21" s="832"/>
      <c r="J21" s="832"/>
      <c r="K21" s="832"/>
      <c r="L21" s="832"/>
      <c r="M21" s="833"/>
      <c r="N21" s="834"/>
      <c r="O21" s="834"/>
      <c r="P21" s="834"/>
      <c r="Q21" s="834"/>
      <c r="R21" s="834"/>
      <c r="S21" s="834"/>
      <c r="T21" s="834"/>
      <c r="U21" s="834"/>
      <c r="V21" s="834"/>
      <c r="W21" s="834"/>
      <c r="X21" s="834"/>
      <c r="Y21" s="835"/>
      <c r="Z21" s="836"/>
      <c r="AA21" s="834"/>
      <c r="AB21" s="834"/>
      <c r="AC21" s="834"/>
      <c r="AD21" s="834"/>
      <c r="AE21" s="834"/>
      <c r="AF21" s="834"/>
      <c r="AG21" s="834"/>
      <c r="AH21" s="834"/>
      <c r="AI21" s="834"/>
      <c r="AJ21" s="834"/>
      <c r="AK21" s="835"/>
      <c r="AL21" s="836"/>
      <c r="AM21" s="834"/>
      <c r="AN21" s="834"/>
      <c r="AO21" s="834"/>
      <c r="AP21" s="834"/>
      <c r="AQ21" s="834"/>
      <c r="AR21" s="834"/>
      <c r="AS21" s="834"/>
      <c r="AT21" s="834"/>
      <c r="AU21" s="834"/>
      <c r="AV21" s="834"/>
      <c r="AW21" s="835"/>
      <c r="AX21" s="836"/>
      <c r="AY21" s="834"/>
      <c r="AZ21" s="834"/>
      <c r="BA21" s="834"/>
      <c r="BB21" s="834"/>
      <c r="BC21" s="834"/>
      <c r="BD21" s="834"/>
      <c r="BE21" s="834"/>
      <c r="BF21" s="834"/>
      <c r="BG21" s="834"/>
      <c r="BH21" s="834"/>
      <c r="BI21" s="837"/>
      <c r="BJ21" s="838"/>
      <c r="BK21" s="839"/>
      <c r="BL21" s="839"/>
      <c r="BM21" s="839"/>
      <c r="BN21" s="840"/>
      <c r="BO21" s="841" t="s">
        <v>1756</v>
      </c>
    </row>
    <row r="22" customFormat="false" ht="10.5" hidden="false" customHeight="true" outlineLevel="0" collapsed="false">
      <c r="A22" s="551" t="s">
        <v>1757</v>
      </c>
      <c r="B22" s="675" t="n">
        <f aca="false">-B75</f>
        <v>-0</v>
      </c>
      <c r="C22" s="832" t="n">
        <f aca="false">-C75</f>
        <v>-0</v>
      </c>
      <c r="D22" s="832" t="n">
        <f aca="false">-D75</f>
        <v>-0</v>
      </c>
      <c r="E22" s="832" t="n">
        <f aca="false">-E75</f>
        <v>-0</v>
      </c>
      <c r="F22" s="832" t="n">
        <f aca="false">-F75</f>
        <v>-0</v>
      </c>
      <c r="G22" s="832" t="n">
        <f aca="false">-G75</f>
        <v>-0</v>
      </c>
      <c r="H22" s="832" t="n">
        <f aca="false">-H75</f>
        <v>-25673.1</v>
      </c>
      <c r="I22" s="832" t="n">
        <f aca="false">-I75</f>
        <v>-43324.4144551602</v>
      </c>
      <c r="J22" s="832" t="n">
        <f aca="false">-J75</f>
        <v>-57395.9224724938</v>
      </c>
      <c r="K22" s="832" t="n">
        <f aca="false">-K75</f>
        <v>-72452.2751085195</v>
      </c>
      <c r="L22" s="832" t="n">
        <f aca="false">-L75</f>
        <v>-84188.4607147111</v>
      </c>
      <c r="M22" s="837" t="n">
        <f aca="false">-M75</f>
        <v>-99072.379373667</v>
      </c>
      <c r="N22" s="834" t="n">
        <f aca="false">-N75</f>
        <v>-110269.268832903</v>
      </c>
      <c r="O22" s="834" t="n">
        <f aca="false">-O75</f>
        <v>-111900.05521454</v>
      </c>
      <c r="P22" s="834" t="n">
        <f aca="false">-P75</f>
        <v>-113513.126907377</v>
      </c>
      <c r="Q22" s="834" t="n">
        <f aca="false">-Q75</f>
        <v>-112778.31933797</v>
      </c>
      <c r="R22" s="834" t="n">
        <f aca="false">-R75</f>
        <v>-112039.837730716</v>
      </c>
      <c r="S22" s="834" t="n">
        <f aca="false">-S75</f>
        <v>-111297.663715426</v>
      </c>
      <c r="T22" s="834" t="n">
        <f aca="false">-T75</f>
        <v>-110551.778830059</v>
      </c>
      <c r="U22" s="834" t="n">
        <f aca="false">-U75</f>
        <v>-109802.164520265</v>
      </c>
      <c r="V22" s="834" t="n">
        <f aca="false">-V75</f>
        <v>-109048.802138923</v>
      </c>
      <c r="W22" s="834" t="n">
        <f aca="false">-W75</f>
        <v>-108291.672945673</v>
      </c>
      <c r="X22" s="834" t="n">
        <f aca="false">-X75</f>
        <v>-107530.758106458</v>
      </c>
      <c r="Y22" s="835" t="n">
        <f aca="false">-Y75</f>
        <v>-106766.038693046</v>
      </c>
      <c r="Z22" s="836" t="n">
        <f aca="false">-Z75</f>
        <v>-105997.495682567</v>
      </c>
      <c r="AA22" s="834" t="n">
        <f aca="false">-AA75</f>
        <v>-105225.109957036</v>
      </c>
      <c r="AB22" s="834" t="n">
        <f aca="false">-AB75</f>
        <v>-104448.862302878</v>
      </c>
      <c r="AC22" s="834" t="n">
        <f aca="false">-AC75</f>
        <v>-103668.733410448</v>
      </c>
      <c r="AD22" s="834" t="n">
        <f aca="false">-AD75</f>
        <v>-102884.703873556</v>
      </c>
      <c r="AE22" s="834" t="n">
        <f aca="false">-AE75</f>
        <v>-102096.75418898</v>
      </c>
      <c r="AF22" s="834" t="n">
        <f aca="false">-AF75</f>
        <v>-101304.864755981</v>
      </c>
      <c r="AG22" s="834" t="n">
        <f aca="false">-AG75</f>
        <v>-100509.015875817</v>
      </c>
      <c r="AH22" s="834" t="n">
        <f aca="false">-AH75</f>
        <v>-99709.1877512522</v>
      </c>
      <c r="AI22" s="834" t="n">
        <f aca="false">-AI75</f>
        <v>-98905.3604860645</v>
      </c>
      <c r="AJ22" s="834" t="n">
        <f aca="false">-AJ75</f>
        <v>-98097.5140845509</v>
      </c>
      <c r="AK22" s="835" t="n">
        <f aca="false">-AK75</f>
        <v>-97285.6284510297</v>
      </c>
      <c r="AL22" s="836" t="n">
        <f aca="false">-AL75</f>
        <v>-96469.6833893409</v>
      </c>
      <c r="AM22" s="834" t="n">
        <f aca="false">-AM75</f>
        <v>-95649.6586023436</v>
      </c>
      <c r="AN22" s="834" t="n">
        <f aca="false">-AN75</f>
        <v>-94825.5336914114</v>
      </c>
      <c r="AO22" s="834" t="n">
        <f aca="false">-AO75</f>
        <v>-93997.2881559245</v>
      </c>
      <c r="AP22" s="834" t="n">
        <f aca="false">-AP75</f>
        <v>-93164.9013927602</v>
      </c>
      <c r="AQ22" s="834" t="n">
        <f aca="false">-AQ75</f>
        <v>-92328.3526957801</v>
      </c>
      <c r="AR22" s="834" t="n">
        <f aca="false">-AR75</f>
        <v>-91487.621255315</v>
      </c>
      <c r="AS22" s="834" t="n">
        <f aca="false">-AS75</f>
        <v>-90642.6861576477</v>
      </c>
      <c r="AT22" s="834" t="n">
        <f aca="false">-AT75</f>
        <v>-89793.5263844919</v>
      </c>
      <c r="AU22" s="834" t="n">
        <f aca="false">-AU75</f>
        <v>-88940.1208124704</v>
      </c>
      <c r="AV22" s="834" t="n">
        <f aca="false">-AV75</f>
        <v>-88082.4482125889</v>
      </c>
      <c r="AW22" s="835" t="n">
        <f aca="false">-AW75</f>
        <v>-87220.4872497079</v>
      </c>
      <c r="AX22" s="836" t="n">
        <f aca="false">-AX75</f>
        <v>-86354.2164820125</v>
      </c>
      <c r="AY22" s="834" t="n">
        <f aca="false">-AY75</f>
        <v>-85483.6143604786</v>
      </c>
      <c r="AZ22" s="834" t="n">
        <f aca="false">-AZ75</f>
        <v>-84608.659228337</v>
      </c>
      <c r="BA22" s="834" t="n">
        <f aca="false">-BA75</f>
        <v>-83729.3293205348</v>
      </c>
      <c r="BB22" s="834" t="n">
        <f aca="false">-BB75</f>
        <v>-82845.6027631935</v>
      </c>
      <c r="BC22" s="834" t="n">
        <f aca="false">-BC75</f>
        <v>-81957.4575730655</v>
      </c>
      <c r="BD22" s="834" t="n">
        <f aca="false">-BD75</f>
        <v>-81064.8716569869</v>
      </c>
      <c r="BE22" s="834" t="n">
        <f aca="false">-BE75</f>
        <v>-80167.8228113279</v>
      </c>
      <c r="BF22" s="834" t="n">
        <f aca="false">-BF75</f>
        <v>-79266.2887214406</v>
      </c>
      <c r="BG22" s="834" t="n">
        <f aca="false">-BG75</f>
        <v>-78360.2469611038</v>
      </c>
      <c r="BH22" s="834" t="n">
        <f aca="false">-BH75</f>
        <v>-77449.6749919654</v>
      </c>
      <c r="BI22" s="837" t="n">
        <f aca="false">-BI75</f>
        <v>-76534.5501629813</v>
      </c>
      <c r="BJ22" s="842"/>
      <c r="BK22" s="793"/>
      <c r="BL22" s="793"/>
      <c r="BM22" s="793"/>
      <c r="BN22" s="843"/>
      <c r="BO22" s="593" t="s">
        <v>1757</v>
      </c>
    </row>
    <row r="23" customFormat="false" ht="12.75" hidden="false" customHeight="true" outlineLevel="0" collapsed="false">
      <c r="A23" s="844" t="s">
        <v>1758</v>
      </c>
      <c r="B23" s="845" t="s">
        <v>1476</v>
      </c>
      <c r="C23" s="846" t="s">
        <v>1477</v>
      </c>
      <c r="D23" s="846" t="s">
        <v>1478</v>
      </c>
      <c r="E23" s="846" t="s">
        <v>1479</v>
      </c>
      <c r="F23" s="846" t="s">
        <v>1480</v>
      </c>
      <c r="G23" s="846" t="s">
        <v>1481</v>
      </c>
      <c r="H23" s="846" t="s">
        <v>1482</v>
      </c>
      <c r="I23" s="846" t="s">
        <v>1483</v>
      </c>
      <c r="J23" s="846" t="s">
        <v>1484</v>
      </c>
      <c r="K23" s="846" t="s">
        <v>1485</v>
      </c>
      <c r="L23" s="846" t="s">
        <v>1486</v>
      </c>
      <c r="M23" s="847" t="s">
        <v>1487</v>
      </c>
      <c r="N23" s="848" t="s">
        <v>1622</v>
      </c>
      <c r="O23" s="848" t="s">
        <v>1623</v>
      </c>
      <c r="P23" s="848" t="s">
        <v>1624</v>
      </c>
      <c r="Q23" s="848" t="s">
        <v>1625</v>
      </c>
      <c r="R23" s="848" t="s">
        <v>1626</v>
      </c>
      <c r="S23" s="848" t="s">
        <v>1627</v>
      </c>
      <c r="T23" s="848" t="s">
        <v>1628</v>
      </c>
      <c r="U23" s="848" t="s">
        <v>1629</v>
      </c>
      <c r="V23" s="848" t="s">
        <v>1630</v>
      </c>
      <c r="W23" s="848" t="s">
        <v>1631</v>
      </c>
      <c r="X23" s="848" t="s">
        <v>1632</v>
      </c>
      <c r="Y23" s="847" t="s">
        <v>1633</v>
      </c>
      <c r="Z23" s="849" t="s">
        <v>1634</v>
      </c>
      <c r="AA23" s="848" t="s">
        <v>1635</v>
      </c>
      <c r="AB23" s="848" t="s">
        <v>1636</v>
      </c>
      <c r="AC23" s="848" t="s">
        <v>1637</v>
      </c>
      <c r="AD23" s="848" t="s">
        <v>1638</v>
      </c>
      <c r="AE23" s="848" t="s">
        <v>1639</v>
      </c>
      <c r="AF23" s="848" t="s">
        <v>1640</v>
      </c>
      <c r="AG23" s="848" t="s">
        <v>1641</v>
      </c>
      <c r="AH23" s="848" t="s">
        <v>1642</v>
      </c>
      <c r="AI23" s="848" t="s">
        <v>1643</v>
      </c>
      <c r="AJ23" s="848" t="s">
        <v>1644</v>
      </c>
      <c r="AK23" s="847" t="s">
        <v>1645</v>
      </c>
      <c r="AL23" s="849" t="s">
        <v>1646</v>
      </c>
      <c r="AM23" s="848" t="s">
        <v>1647</v>
      </c>
      <c r="AN23" s="848" t="s">
        <v>1648</v>
      </c>
      <c r="AO23" s="848" t="s">
        <v>1649</v>
      </c>
      <c r="AP23" s="848" t="s">
        <v>1650</v>
      </c>
      <c r="AQ23" s="848" t="s">
        <v>1651</v>
      </c>
      <c r="AR23" s="848" t="s">
        <v>1652</v>
      </c>
      <c r="AS23" s="848" t="s">
        <v>1653</v>
      </c>
      <c r="AT23" s="848" t="s">
        <v>1654</v>
      </c>
      <c r="AU23" s="848" t="s">
        <v>1655</v>
      </c>
      <c r="AV23" s="848" t="s">
        <v>1656</v>
      </c>
      <c r="AW23" s="847" t="s">
        <v>1657</v>
      </c>
      <c r="AX23" s="849" t="s">
        <v>1658</v>
      </c>
      <c r="AY23" s="848" t="s">
        <v>1659</v>
      </c>
      <c r="AZ23" s="848" t="s">
        <v>1660</v>
      </c>
      <c r="BA23" s="848" t="s">
        <v>1661</v>
      </c>
      <c r="BB23" s="848" t="s">
        <v>1662</v>
      </c>
      <c r="BC23" s="848" t="s">
        <v>1663</v>
      </c>
      <c r="BD23" s="848" t="s">
        <v>1664</v>
      </c>
      <c r="BE23" s="848" t="s">
        <v>1665</v>
      </c>
      <c r="BF23" s="848" t="s">
        <v>1666</v>
      </c>
      <c r="BG23" s="848" t="s">
        <v>1667</v>
      </c>
      <c r="BH23" s="848" t="s">
        <v>1668</v>
      </c>
      <c r="BI23" s="847" t="s">
        <v>1669</v>
      </c>
      <c r="BJ23" s="850" t="s">
        <v>1488</v>
      </c>
      <c r="BK23" s="851" t="s">
        <v>1672</v>
      </c>
      <c r="BL23" s="851" t="s">
        <v>1673</v>
      </c>
      <c r="BM23" s="852" t="s">
        <v>1674</v>
      </c>
      <c r="BN23" s="851" t="s">
        <v>1675</v>
      </c>
      <c r="BO23" s="853" t="s">
        <v>1758</v>
      </c>
    </row>
    <row r="24" customFormat="false" ht="12" hidden="false" customHeight="true" outlineLevel="0" collapsed="false">
      <c r="A24" s="854" t="s">
        <v>1759</v>
      </c>
      <c r="B24" s="675"/>
      <c r="C24" s="675"/>
      <c r="D24" s="675"/>
      <c r="E24" s="675"/>
      <c r="F24" s="675"/>
      <c r="G24" s="675"/>
      <c r="H24" s="675"/>
      <c r="I24" s="675"/>
      <c r="J24" s="675"/>
      <c r="K24" s="675"/>
      <c r="L24" s="675"/>
      <c r="M24" s="855"/>
      <c r="N24" s="856"/>
      <c r="O24" s="856"/>
      <c r="P24" s="856"/>
      <c r="Q24" s="856"/>
      <c r="R24" s="856"/>
      <c r="S24" s="856"/>
      <c r="T24" s="856"/>
      <c r="U24" s="856"/>
      <c r="V24" s="856"/>
      <c r="W24" s="856"/>
      <c r="X24" s="856"/>
      <c r="Y24" s="857"/>
      <c r="Z24" s="858"/>
      <c r="AA24" s="859"/>
      <c r="AB24" s="859"/>
      <c r="AC24" s="859"/>
      <c r="AD24" s="859"/>
      <c r="AE24" s="859"/>
      <c r="AF24" s="859"/>
      <c r="AG24" s="859"/>
      <c r="AH24" s="859"/>
      <c r="AI24" s="859"/>
      <c r="AJ24" s="859"/>
      <c r="AK24" s="860"/>
      <c r="AL24" s="861"/>
      <c r="AM24" s="862"/>
      <c r="AN24" s="862"/>
      <c r="AO24" s="862"/>
      <c r="AP24" s="862"/>
      <c r="AQ24" s="862"/>
      <c r="AR24" s="862"/>
      <c r="AS24" s="862"/>
      <c r="AT24" s="862"/>
      <c r="AU24" s="862"/>
      <c r="AV24" s="862"/>
      <c r="AW24" s="863"/>
      <c r="AX24" s="864"/>
      <c r="AY24" s="865"/>
      <c r="AZ24" s="865"/>
      <c r="BA24" s="865"/>
      <c r="BB24" s="865"/>
      <c r="BC24" s="865"/>
      <c r="BD24" s="865"/>
      <c r="BE24" s="865"/>
      <c r="BF24" s="865"/>
      <c r="BG24" s="865"/>
      <c r="BH24" s="865"/>
      <c r="BI24" s="866"/>
      <c r="BJ24" s="840"/>
      <c r="BK24" s="867"/>
      <c r="BL24" s="867"/>
      <c r="BM24" s="867"/>
      <c r="BN24" s="867"/>
      <c r="BO24" s="868" t="s">
        <v>1759</v>
      </c>
    </row>
    <row r="25" customFormat="false" ht="12" hidden="false" customHeight="true" outlineLevel="0" collapsed="false">
      <c r="A25" s="593" t="str">
        <f aca="false">IF('P&amp;L'!E14="y","Net Surplus","Net Profit")</f>
        <v>Net Profit</v>
      </c>
      <c r="B25" s="675" t="n">
        <f aca="false">'P&amp;L'!B46</f>
        <v>-395805.9718</v>
      </c>
      <c r="C25" s="675" t="n">
        <f aca="false">'P&amp;L'!C46</f>
        <v>-412861.9718</v>
      </c>
      <c r="D25" s="675" t="n">
        <f aca="false">'P&amp;L'!D46</f>
        <v>-421260.529631429</v>
      </c>
      <c r="E25" s="675" t="n">
        <f aca="false">'P&amp;L'!E46</f>
        <v>-384005.078357812</v>
      </c>
      <c r="F25" s="675" t="n">
        <f aca="false">'P&amp;L'!F46</f>
        <v>-346620.184915624</v>
      </c>
      <c r="G25" s="675" t="n">
        <f aca="false">'P&amp;L'!G46</f>
        <v>-293170.398031247</v>
      </c>
      <c r="H25" s="675" t="n">
        <f aca="false">'P&amp;L'!H46</f>
        <v>-329502.211146871</v>
      </c>
      <c r="I25" s="675" t="n">
        <f aca="false">'P&amp;L'!I46</f>
        <v>-323383.693717655</v>
      </c>
      <c r="J25" s="675" t="n">
        <f aca="false">'P&amp;L'!J46</f>
        <v>-286581.439850612</v>
      </c>
      <c r="K25" s="675" t="n">
        <f aca="false">'P&amp;L'!K46</f>
        <v>-252553.470602261</v>
      </c>
      <c r="L25" s="675" t="n">
        <f aca="false">'P&amp;L'!L46</f>
        <v>-209831.414324076</v>
      </c>
      <c r="M25" s="855" t="n">
        <f aca="false">'P&amp;L'!M46</f>
        <v>-175631.011098656</v>
      </c>
      <c r="N25" s="856" t="n">
        <f aca="false">'P&amp;L'!N46</f>
        <v>363802.231401596</v>
      </c>
      <c r="O25" s="856" t="n">
        <f aca="false">'P&amp;L'!O46</f>
        <v>454675.422910459</v>
      </c>
      <c r="P25" s="856" t="n">
        <f aca="false">'P&amp;L'!P46</f>
        <v>500794.329108123</v>
      </c>
      <c r="Q25" s="856" t="n">
        <f aca="false">'P&amp;L'!Q46</f>
        <v>553144.574568031</v>
      </c>
      <c r="R25" s="856" t="n">
        <f aca="false">'P&amp;L'!R46</f>
        <v>605498.494065785</v>
      </c>
      <c r="S25" s="856" t="n">
        <f aca="false">'P&amp;L'!S46</f>
        <v>657856.105971575</v>
      </c>
      <c r="T25" s="856" t="n">
        <f aca="false">'P&amp;L'!T46</f>
        <v>603684.814435326</v>
      </c>
      <c r="U25" s="856" t="n">
        <f aca="false">'P&amp;L'!U46</f>
        <v>686251.308805574</v>
      </c>
      <c r="V25" s="856" t="n">
        <f aca="false">'P&amp;L'!V46</f>
        <v>810048.539036639</v>
      </c>
      <c r="W25" s="856" t="n">
        <f aca="false">'P&amp;L'!W46</f>
        <v>933848.971057825</v>
      </c>
      <c r="X25" s="856" t="n">
        <f aca="false">'P&amp;L'!X46</f>
        <v>1057652.62087808</v>
      </c>
      <c r="Y25" s="857" t="n">
        <f aca="false">'P&amp;L'!Y46</f>
        <v>1181459.50458641</v>
      </c>
      <c r="Z25" s="858" t="n">
        <f aca="false">'P&amp;L'!Z46</f>
        <v>3504280.11930847</v>
      </c>
      <c r="AA25" s="859" t="n">
        <f aca="false">'P&amp;L'!AA46</f>
        <v>3504936.64717517</v>
      </c>
      <c r="AB25" s="859" t="n">
        <f aca="false">'P&amp;L'!AB46</f>
        <v>3505596.45768121</v>
      </c>
      <c r="AC25" s="859" t="n">
        <f aca="false">'P&amp;L'!AC46</f>
        <v>3506259.56723977</v>
      </c>
      <c r="AD25" s="859" t="n">
        <f aca="false">'P&amp;L'!AD46</f>
        <v>3506925.99234613</v>
      </c>
      <c r="AE25" s="859" t="n">
        <f aca="false">'P&amp;L'!AE46</f>
        <v>3507595.74957802</v>
      </c>
      <c r="AF25" s="859" t="n">
        <f aca="false">'P&amp;L'!AF46</f>
        <v>3508268.85559607</v>
      </c>
      <c r="AG25" s="859" t="n">
        <f aca="false">'P&amp;L'!AG46</f>
        <v>3508945.32714421</v>
      </c>
      <c r="AH25" s="859" t="n">
        <f aca="false">'P&amp;L'!AH46</f>
        <v>3509625.18105009</v>
      </c>
      <c r="AI25" s="859" t="n">
        <f aca="false">'P&amp;L'!AI46</f>
        <v>3510308.4342255</v>
      </c>
      <c r="AJ25" s="859" t="n">
        <f aca="false">'P&amp;L'!AJ46</f>
        <v>3510995.10366679</v>
      </c>
      <c r="AK25" s="860" t="n">
        <f aca="false">'P&amp;L'!AK46</f>
        <v>3511685.20645528</v>
      </c>
      <c r="AL25" s="861" t="n">
        <f aca="false">'P&amp;L'!AL46</f>
        <v>4036934.44702477</v>
      </c>
      <c r="AM25" s="862" t="n">
        <f aca="false">'P&amp;L'!AM46</f>
        <v>4037631.46809371</v>
      </c>
      <c r="AN25" s="862" t="n">
        <f aca="false">'P&amp;L'!AN46</f>
        <v>4038331.97426801</v>
      </c>
      <c r="AO25" s="862" t="n">
        <f aca="false">'P&amp;L'!AO46</f>
        <v>4039035.98297317</v>
      </c>
      <c r="AP25" s="862" t="n">
        <f aca="false">'P&amp;L'!AP46</f>
        <v>4039743.51172186</v>
      </c>
      <c r="AQ25" s="862" t="n">
        <f aca="false">'P&amp;L'!AQ46</f>
        <v>4040454.57811429</v>
      </c>
      <c r="AR25" s="862" t="n">
        <f aca="false">'P&amp;L'!AR46</f>
        <v>4041169.19983869</v>
      </c>
      <c r="AS25" s="862" t="n">
        <f aca="false">'P&amp;L'!AS46</f>
        <v>4041887.39467171</v>
      </c>
      <c r="AT25" s="862" t="n">
        <f aca="false">'P&amp;L'!AT46</f>
        <v>4042609.18047889</v>
      </c>
      <c r="AU25" s="862" t="n">
        <f aca="false">'P&amp;L'!AU46</f>
        <v>4043334.57521511</v>
      </c>
      <c r="AV25" s="862" t="n">
        <f aca="false">'P&amp;L'!AV46</f>
        <v>4044063.59692501</v>
      </c>
      <c r="AW25" s="863" t="n">
        <f aca="false">'P&amp;L'!AW46</f>
        <v>4044796.26374346</v>
      </c>
      <c r="AX25" s="864" t="n">
        <f aca="false">'P&amp;L'!AX46</f>
        <v>4567260.70190812</v>
      </c>
      <c r="AY25" s="865" t="n">
        <f aca="false">'P&amp;L'!AY46</f>
        <v>4568000.71371142</v>
      </c>
      <c r="AZ25" s="865" t="n">
        <f aca="false">'P&amp;L'!AZ46</f>
        <v>4568744.42557374</v>
      </c>
      <c r="BA25" s="865" t="n">
        <f aca="false">'P&amp;L'!BA46</f>
        <v>4569491.85599538</v>
      </c>
      <c r="BB25" s="865" t="n">
        <f aca="false">'P&amp;L'!BB46</f>
        <v>4570243.02356911</v>
      </c>
      <c r="BC25" s="865" t="n">
        <f aca="false">'P&amp;L'!BC46</f>
        <v>4570997.94698072</v>
      </c>
      <c r="BD25" s="865" t="n">
        <f aca="false">'P&amp;L'!BD46</f>
        <v>4571756.64500939</v>
      </c>
      <c r="BE25" s="865" t="n">
        <f aca="false">'P&amp;L'!BE46</f>
        <v>4572519.1365282</v>
      </c>
      <c r="BF25" s="865" t="n">
        <f aca="false">'P&amp;L'!BF46</f>
        <v>4573285.44050461</v>
      </c>
      <c r="BG25" s="865" t="n">
        <f aca="false">'P&amp;L'!BG46</f>
        <v>4574055.57600089</v>
      </c>
      <c r="BH25" s="865" t="n">
        <f aca="false">'P&amp;L'!BH46</f>
        <v>4574829.56217466</v>
      </c>
      <c r="BI25" s="866" t="n">
        <f aca="false">'P&amp;L'!BI46</f>
        <v>4575607.4182793</v>
      </c>
      <c r="BJ25" s="855" t="n">
        <f aca="false">SUM(B25:M25)</f>
        <v>-3831207.37527624</v>
      </c>
      <c r="BK25" s="869" t="n">
        <f aca="false">SUM(N25:Y25)</f>
        <v>8408716.91682543</v>
      </c>
      <c r="BL25" s="869" t="n">
        <f aca="false">SUM(Z25:AK25)</f>
        <v>42095422.6414667</v>
      </c>
      <c r="BM25" s="869" t="n">
        <f aca="false">SUM(AL25:AW25)</f>
        <v>48489992.1730687</v>
      </c>
      <c r="BN25" s="869" t="n">
        <f aca="false">SUM(AX25:BI25)</f>
        <v>54856792.4462355</v>
      </c>
      <c r="BO25" s="575" t="str">
        <f aca="false">IF('P&amp;L'!BS14="y","Net Surplus","Net Profit")</f>
        <v>Net Profit</v>
      </c>
    </row>
    <row r="26" customFormat="false" ht="12" hidden="false" customHeight="true" outlineLevel="0" collapsed="false">
      <c r="A26" s="854" t="str">
        <f aca="false">IF('P&amp;L'!E14="y","Adjustments to Net Surplus","Adjustments to Net Profit")</f>
        <v>Adjustments to Net Profit</v>
      </c>
      <c r="B26" s="675"/>
      <c r="C26" s="675"/>
      <c r="D26" s="675"/>
      <c r="E26" s="675"/>
      <c r="F26" s="675"/>
      <c r="G26" s="675"/>
      <c r="H26" s="675"/>
      <c r="I26" s="675"/>
      <c r="J26" s="675"/>
      <c r="K26" s="675"/>
      <c r="L26" s="675"/>
      <c r="M26" s="855"/>
      <c r="N26" s="856"/>
      <c r="O26" s="856"/>
      <c r="P26" s="856"/>
      <c r="Q26" s="856"/>
      <c r="R26" s="856"/>
      <c r="S26" s="856"/>
      <c r="T26" s="856"/>
      <c r="U26" s="856"/>
      <c r="V26" s="856"/>
      <c r="W26" s="856"/>
      <c r="X26" s="856"/>
      <c r="Y26" s="857"/>
      <c r="Z26" s="858"/>
      <c r="AA26" s="859"/>
      <c r="AB26" s="859"/>
      <c r="AC26" s="859"/>
      <c r="AD26" s="859"/>
      <c r="AE26" s="859"/>
      <c r="AF26" s="859"/>
      <c r="AG26" s="859"/>
      <c r="AH26" s="859"/>
      <c r="AI26" s="859"/>
      <c r="AJ26" s="859"/>
      <c r="AK26" s="860"/>
      <c r="AL26" s="861"/>
      <c r="AM26" s="862"/>
      <c r="AN26" s="862"/>
      <c r="AO26" s="862"/>
      <c r="AP26" s="862"/>
      <c r="AQ26" s="862"/>
      <c r="AR26" s="862"/>
      <c r="AS26" s="862"/>
      <c r="AT26" s="862"/>
      <c r="AU26" s="862"/>
      <c r="AV26" s="862"/>
      <c r="AW26" s="863"/>
      <c r="AX26" s="864"/>
      <c r="AY26" s="865"/>
      <c r="AZ26" s="865"/>
      <c r="BA26" s="865"/>
      <c r="BB26" s="865"/>
      <c r="BC26" s="865"/>
      <c r="BD26" s="865"/>
      <c r="BE26" s="865"/>
      <c r="BF26" s="865"/>
      <c r="BG26" s="865"/>
      <c r="BH26" s="865"/>
      <c r="BI26" s="866"/>
      <c r="BJ26" s="855"/>
      <c r="BK26" s="869"/>
      <c r="BL26" s="869"/>
      <c r="BM26" s="869"/>
      <c r="BN26" s="869"/>
      <c r="BO26" s="868" t="str">
        <f aca="false">IF('P&amp;L'!BS14="y","Adjustments to Net Surplus","Adjustments to Net Profit")</f>
        <v>Adjustments to Net Profit</v>
      </c>
    </row>
    <row r="27" customFormat="false" ht="12" hidden="false" customHeight="true" outlineLevel="0" collapsed="false">
      <c r="A27" s="593" t="s">
        <v>1760</v>
      </c>
      <c r="B27" s="675" t="n">
        <f aca="false">'P&amp;L'!B38</f>
        <v>0</v>
      </c>
      <c r="C27" s="675" t="n">
        <f aca="false">'P&amp;L'!C38</f>
        <v>0</v>
      </c>
      <c r="D27" s="675" t="n">
        <f aca="false">'P&amp;L'!D38</f>
        <v>0</v>
      </c>
      <c r="E27" s="675" t="n">
        <f aca="false">'P&amp;L'!E38</f>
        <v>0</v>
      </c>
      <c r="F27" s="675" t="n">
        <f aca="false">'P&amp;L'!F38</f>
        <v>0</v>
      </c>
      <c r="G27" s="675" t="n">
        <f aca="false">'P&amp;L'!G38</f>
        <v>0</v>
      </c>
      <c r="H27" s="675" t="n">
        <f aca="false">'P&amp;L'!H38</f>
        <v>42788.5</v>
      </c>
      <c r="I27" s="675" t="n">
        <f aca="false">'P&amp;L'!I38</f>
        <v>72468.455</v>
      </c>
      <c r="J27" s="675" t="n">
        <f aca="false">'P&amp;L'!J38</f>
        <v>96364.48</v>
      </c>
      <c r="K27" s="675" t="n">
        <f aca="false">'P&amp;L'!K38</f>
        <v>122049.945</v>
      </c>
      <c r="L27" s="675" t="n">
        <f aca="false">'P&amp;L'!L38</f>
        <v>142361.49</v>
      </c>
      <c r="M27" s="855" t="n">
        <f aca="false">'P&amp;L'!M38</f>
        <v>168046.955</v>
      </c>
      <c r="N27" s="856" t="n">
        <f aca="false">'P&amp;L'!N38</f>
        <v>187748.5</v>
      </c>
      <c r="O27" s="856" t="n">
        <f aca="false">'P&amp;L'!O38</f>
        <v>191631.96</v>
      </c>
      <c r="P27" s="856" t="n">
        <f aca="false">'P&amp;L'!P38</f>
        <v>195515.42</v>
      </c>
      <c r="Q27" s="856" t="n">
        <f aca="false">'P&amp;L'!Q38</f>
        <v>195515.42</v>
      </c>
      <c r="R27" s="856" t="n">
        <f aca="false">'P&amp;L'!R38</f>
        <v>195515.42</v>
      </c>
      <c r="S27" s="856" t="n">
        <f aca="false">'P&amp;L'!S38</f>
        <v>195515.42</v>
      </c>
      <c r="T27" s="856" t="n">
        <f aca="false">'P&amp;L'!T38</f>
        <v>195515.42</v>
      </c>
      <c r="U27" s="856" t="n">
        <f aca="false">'P&amp;L'!U38</f>
        <v>195515.42</v>
      </c>
      <c r="V27" s="856" t="n">
        <f aca="false">'P&amp;L'!V38</f>
        <v>195515.42</v>
      </c>
      <c r="W27" s="856" t="n">
        <f aca="false">'P&amp;L'!W38</f>
        <v>195515.42</v>
      </c>
      <c r="X27" s="856" t="n">
        <f aca="false">'P&amp;L'!X38</f>
        <v>195515.42</v>
      </c>
      <c r="Y27" s="857" t="n">
        <f aca="false">'P&amp;L'!Y38</f>
        <v>195515.42</v>
      </c>
      <c r="Z27" s="858" t="n">
        <f aca="false">'P&amp;L'!Z38</f>
        <v>195515.42</v>
      </c>
      <c r="AA27" s="859" t="n">
        <f aca="false">'P&amp;L'!AA38</f>
        <v>195515.42</v>
      </c>
      <c r="AB27" s="859" t="n">
        <f aca="false">'P&amp;L'!AB38</f>
        <v>195515.42</v>
      </c>
      <c r="AC27" s="859" t="n">
        <f aca="false">'P&amp;L'!AC38</f>
        <v>195515.42</v>
      </c>
      <c r="AD27" s="859" t="n">
        <f aca="false">'P&amp;L'!AD38</f>
        <v>195515.42</v>
      </c>
      <c r="AE27" s="859" t="n">
        <f aca="false">'P&amp;L'!AE38</f>
        <v>195515.42</v>
      </c>
      <c r="AF27" s="859" t="n">
        <f aca="false">'P&amp;L'!AF38</f>
        <v>195515.42</v>
      </c>
      <c r="AG27" s="859" t="n">
        <f aca="false">'P&amp;L'!AG38</f>
        <v>195515.42</v>
      </c>
      <c r="AH27" s="859" t="n">
        <f aca="false">'P&amp;L'!AH38</f>
        <v>195515.42</v>
      </c>
      <c r="AI27" s="859" t="n">
        <f aca="false">'P&amp;L'!AI38</f>
        <v>195515.42</v>
      </c>
      <c r="AJ27" s="859" t="n">
        <f aca="false">'P&amp;L'!AJ38</f>
        <v>195515.42</v>
      </c>
      <c r="AK27" s="860" t="n">
        <f aca="false">'P&amp;L'!AK38</f>
        <v>195515.42</v>
      </c>
      <c r="AL27" s="861" t="n">
        <f aca="false">'P&amp;L'!AL38</f>
        <v>195515.42</v>
      </c>
      <c r="AM27" s="862" t="n">
        <f aca="false">'P&amp;L'!AM38</f>
        <v>195515.42</v>
      </c>
      <c r="AN27" s="862" t="n">
        <f aca="false">'P&amp;L'!AN38</f>
        <v>195515.42</v>
      </c>
      <c r="AO27" s="862" t="n">
        <f aca="false">'P&amp;L'!AO38</f>
        <v>195515.42</v>
      </c>
      <c r="AP27" s="862" t="n">
        <f aca="false">'P&amp;L'!AP38</f>
        <v>195515.42</v>
      </c>
      <c r="AQ27" s="862" t="n">
        <f aca="false">'P&amp;L'!AQ38</f>
        <v>195515.42</v>
      </c>
      <c r="AR27" s="862" t="n">
        <f aca="false">'P&amp;L'!AR38</f>
        <v>195515.42</v>
      </c>
      <c r="AS27" s="862" t="n">
        <f aca="false">'P&amp;L'!AS38</f>
        <v>195515.42</v>
      </c>
      <c r="AT27" s="862" t="n">
        <f aca="false">'P&amp;L'!AT38</f>
        <v>195515.42</v>
      </c>
      <c r="AU27" s="862" t="n">
        <f aca="false">'P&amp;L'!AU38</f>
        <v>195515.42</v>
      </c>
      <c r="AV27" s="862" t="n">
        <f aca="false">'P&amp;L'!AV38</f>
        <v>195515.42</v>
      </c>
      <c r="AW27" s="863" t="n">
        <f aca="false">'P&amp;L'!AW38</f>
        <v>195515.42</v>
      </c>
      <c r="AX27" s="864" t="n">
        <f aca="false">'P&amp;L'!AX38</f>
        <v>195515.42</v>
      </c>
      <c r="AY27" s="865" t="n">
        <f aca="false">'P&amp;L'!AY38</f>
        <v>195515.42</v>
      </c>
      <c r="AZ27" s="865" t="n">
        <f aca="false">'P&amp;L'!AZ38</f>
        <v>195515.42</v>
      </c>
      <c r="BA27" s="865" t="n">
        <f aca="false">'P&amp;L'!BA38</f>
        <v>195515.42</v>
      </c>
      <c r="BB27" s="865" t="n">
        <f aca="false">'P&amp;L'!BB38</f>
        <v>195515.42</v>
      </c>
      <c r="BC27" s="865" t="n">
        <f aca="false">'P&amp;L'!BC38</f>
        <v>195515.42</v>
      </c>
      <c r="BD27" s="865" t="n">
        <f aca="false">'P&amp;L'!BD38</f>
        <v>195515.42</v>
      </c>
      <c r="BE27" s="865" t="n">
        <f aca="false">'P&amp;L'!BE38</f>
        <v>195515.42</v>
      </c>
      <c r="BF27" s="865" t="n">
        <f aca="false">'P&amp;L'!BF38</f>
        <v>195515.42</v>
      </c>
      <c r="BG27" s="865" t="n">
        <f aca="false">'P&amp;L'!BG38</f>
        <v>195515.42</v>
      </c>
      <c r="BH27" s="865" t="n">
        <f aca="false">'P&amp;L'!BH38</f>
        <v>195515.42</v>
      </c>
      <c r="BI27" s="866" t="n">
        <f aca="false">'P&amp;L'!BI38</f>
        <v>195515.42</v>
      </c>
      <c r="BJ27" s="855" t="n">
        <f aca="false">SUM(B27:M27)</f>
        <v>644079.825</v>
      </c>
      <c r="BK27" s="869" t="n">
        <f aca="false">SUM(N27:Y27)</f>
        <v>2334534.66</v>
      </c>
      <c r="BL27" s="869" t="n">
        <f aca="false">SUM(Z27:AK27)</f>
        <v>2346185.04</v>
      </c>
      <c r="BM27" s="869" t="n">
        <f aca="false">SUM(AL27:AW27)</f>
        <v>2346185.04</v>
      </c>
      <c r="BN27" s="869" t="n">
        <f aca="false">SUM(AX27:BI27)</f>
        <v>2346185.04</v>
      </c>
      <c r="BO27" s="575" t="s">
        <v>1760</v>
      </c>
    </row>
    <row r="28" customFormat="false" ht="12" hidden="false" customHeight="true" outlineLevel="0" collapsed="false">
      <c r="A28" s="593" t="s">
        <v>1494</v>
      </c>
      <c r="B28" s="675" t="n">
        <f aca="false">-'Sources &amp; Uses'!B24+SUM(Existing!D29:D30)+1</f>
        <v>0</v>
      </c>
      <c r="C28" s="675" t="n">
        <f aca="false">-('Balance Sheet'!C4-'Balance Sheet'!B4)</f>
        <v>-0</v>
      </c>
      <c r="D28" s="675" t="n">
        <f aca="false">-('Balance Sheet'!D4-'Balance Sheet'!C4)</f>
        <v>-904.576438356164</v>
      </c>
      <c r="E28" s="675" t="n">
        <f aca="false">-('Balance Sheet'!E4-'Balance Sheet'!D4)</f>
        <v>-131454.168528376</v>
      </c>
      <c r="F28" s="675" t="n">
        <f aca="false">-('Balance Sheet'!F4-'Balance Sheet'!E4)</f>
        <v>-132358.744966732</v>
      </c>
      <c r="G28" s="675" t="n">
        <f aca="false">-('Balance Sheet'!G4-'Balance Sheet'!F4)</f>
        <v>-264717.489933464</v>
      </c>
      <c r="H28" s="675" t="n">
        <f aca="false">-('Balance Sheet'!H4-'Balance Sheet'!G4)</f>
        <v>-264717.489933464</v>
      </c>
      <c r="I28" s="675" t="n">
        <f aca="false">-('Balance Sheet'!I4-'Balance Sheet'!H4)</f>
        <v>-264717.489933463</v>
      </c>
      <c r="J28" s="675" t="n">
        <f aca="false">-('Balance Sheet'!J4-'Balance Sheet'!I4)</f>
        <v>-264717.489933465</v>
      </c>
      <c r="K28" s="675" t="n">
        <f aca="false">-('Balance Sheet'!K4-'Balance Sheet'!J4)</f>
        <v>-264717.489933463</v>
      </c>
      <c r="L28" s="675" t="n">
        <f aca="false">-('Balance Sheet'!L4-'Balance Sheet'!K4)</f>
        <v>-264717.489933464</v>
      </c>
      <c r="M28" s="855" t="n">
        <f aca="false">-('Balance Sheet'!M4-'Balance Sheet'!L4)</f>
        <v>-264717.489933463</v>
      </c>
      <c r="N28" s="856" t="n">
        <f aca="false">-('Balance Sheet'!N4-'Balance Sheet'!M4)</f>
        <v>-1120409.55144658</v>
      </c>
      <c r="O28" s="856" t="n">
        <f aca="false">-('Balance Sheet'!O4-'Balance Sheet'!N4)</f>
        <v>-359794.385657143</v>
      </c>
      <c r="P28" s="856" t="n">
        <f aca="false">-('Balance Sheet'!P4-'Balance Sheet'!O4)</f>
        <v>-359794.385657146</v>
      </c>
      <c r="Q28" s="856" t="n">
        <f aca="false">-('Balance Sheet'!Q4-'Balance Sheet'!P4)</f>
        <v>-359794.385657142</v>
      </c>
      <c r="R28" s="856" t="n">
        <f aca="false">-('Balance Sheet'!R4-'Balance Sheet'!Q4)</f>
        <v>-359794.385657143</v>
      </c>
      <c r="S28" s="856" t="n">
        <f aca="false">-('Balance Sheet'!S4-'Balance Sheet'!R4)</f>
        <v>-359794.385657142</v>
      </c>
      <c r="T28" s="856" t="n">
        <f aca="false">-('Balance Sheet'!T4-'Balance Sheet'!S4)</f>
        <v>-359794.385657146</v>
      </c>
      <c r="U28" s="856" t="n">
        <f aca="false">-('Balance Sheet'!U4-'Balance Sheet'!T4)</f>
        <v>-359794.38565714</v>
      </c>
      <c r="V28" s="856" t="n">
        <f aca="false">-('Balance Sheet'!V4-'Balance Sheet'!U4)</f>
        <v>-359794.38565714</v>
      </c>
      <c r="W28" s="856" t="n">
        <f aca="false">-('Balance Sheet'!W4-'Balance Sheet'!V4)</f>
        <v>-359794.385657138</v>
      </c>
      <c r="X28" s="856" t="n">
        <f aca="false">-('Balance Sheet'!X4-'Balance Sheet'!W4)</f>
        <v>-359794.385657148</v>
      </c>
      <c r="Y28" s="857" t="n">
        <f aca="false">-('Balance Sheet'!Y4-'Balance Sheet'!X4)</f>
        <v>-359794.385657144</v>
      </c>
      <c r="Z28" s="858" t="n">
        <f aca="false">-('Balance Sheet'!Z4-'Balance Sheet'!Y4)</f>
        <v>-6541716.10285714</v>
      </c>
      <c r="AA28" s="859" t="n">
        <f aca="false">-('Balance Sheet'!AA4-'Balance Sheet'!Z4)</f>
        <v>-0</v>
      </c>
      <c r="AB28" s="859" t="n">
        <f aca="false">-('Balance Sheet'!AB4-'Balance Sheet'!AA4)</f>
        <v>-0</v>
      </c>
      <c r="AC28" s="859" t="n">
        <f aca="false">-('Balance Sheet'!AC4-'Balance Sheet'!AB4)</f>
        <v>-0</v>
      </c>
      <c r="AD28" s="859" t="n">
        <f aca="false">-('Balance Sheet'!AD4-'Balance Sheet'!AC4)</f>
        <v>-0</v>
      </c>
      <c r="AE28" s="859" t="n">
        <f aca="false">-('Balance Sheet'!AE4-'Balance Sheet'!AD4)</f>
        <v>-0</v>
      </c>
      <c r="AF28" s="859" t="n">
        <f aca="false">-('Balance Sheet'!AF4-'Balance Sheet'!AE4)</f>
        <v>-0</v>
      </c>
      <c r="AG28" s="859" t="n">
        <f aca="false">-('Balance Sheet'!AG4-'Balance Sheet'!AF4)</f>
        <v>-0</v>
      </c>
      <c r="AH28" s="859" t="n">
        <f aca="false">-('Balance Sheet'!AH4-'Balance Sheet'!AG4)</f>
        <v>-0</v>
      </c>
      <c r="AI28" s="859" t="n">
        <f aca="false">-('Balance Sheet'!AI4-'Balance Sheet'!AH4)</f>
        <v>-0</v>
      </c>
      <c r="AJ28" s="859" t="n">
        <f aca="false">-('Balance Sheet'!AJ4-'Balance Sheet'!AI4)</f>
        <v>-0</v>
      </c>
      <c r="AK28" s="860" t="n">
        <f aca="false">-('Balance Sheet'!AK4-'Balance Sheet'!AJ4)</f>
        <v>-0</v>
      </c>
      <c r="AL28" s="861" t="n">
        <f aca="false">-('Balance Sheet'!AL4-'Balance Sheet'!AK4)</f>
        <v>-1144800.318</v>
      </c>
      <c r="AM28" s="862" t="n">
        <f aca="false">-('Balance Sheet'!AM4-'Balance Sheet'!AL4)</f>
        <v>-0</v>
      </c>
      <c r="AN28" s="862" t="n">
        <f aca="false">-('Balance Sheet'!AN4-'Balance Sheet'!AM4)</f>
        <v>-0</v>
      </c>
      <c r="AO28" s="862" t="n">
        <f aca="false">-('Balance Sheet'!AO4-'Balance Sheet'!AN4)</f>
        <v>-0</v>
      </c>
      <c r="AP28" s="862" t="n">
        <f aca="false">-('Balance Sheet'!AP4-'Balance Sheet'!AO4)</f>
        <v>-0</v>
      </c>
      <c r="AQ28" s="862" t="n">
        <f aca="false">-('Balance Sheet'!AQ4-'Balance Sheet'!AP4)</f>
        <v>-0</v>
      </c>
      <c r="AR28" s="862" t="n">
        <f aca="false">-('Balance Sheet'!AR4-'Balance Sheet'!AQ4)</f>
        <v>-0</v>
      </c>
      <c r="AS28" s="862" t="n">
        <f aca="false">-('Balance Sheet'!AS4-'Balance Sheet'!AR4)</f>
        <v>-0</v>
      </c>
      <c r="AT28" s="862" t="n">
        <f aca="false">-('Balance Sheet'!AT4-'Balance Sheet'!AS4)</f>
        <v>-0</v>
      </c>
      <c r="AU28" s="862" t="n">
        <f aca="false">-('Balance Sheet'!AU4-'Balance Sheet'!AT4)</f>
        <v>-0</v>
      </c>
      <c r="AV28" s="862" t="n">
        <f aca="false">-('Balance Sheet'!AV4-'Balance Sheet'!AU4)</f>
        <v>-0</v>
      </c>
      <c r="AW28" s="863" t="n">
        <f aca="false">-('Balance Sheet'!AW4-'Balance Sheet'!AV4)</f>
        <v>-0</v>
      </c>
      <c r="AX28" s="864" t="n">
        <f aca="false">-('Balance Sheet'!AX4-'Balance Sheet'!AW4)</f>
        <v>-1144800.318</v>
      </c>
      <c r="AY28" s="865" t="n">
        <f aca="false">-('Balance Sheet'!AY4-'Balance Sheet'!AX4)</f>
        <v>-0</v>
      </c>
      <c r="AZ28" s="865" t="n">
        <f aca="false">-('Balance Sheet'!AZ4-'Balance Sheet'!AY4)</f>
        <v>-0</v>
      </c>
      <c r="BA28" s="865" t="n">
        <f aca="false">-('Balance Sheet'!BA4-'Balance Sheet'!AZ4)</f>
        <v>-0</v>
      </c>
      <c r="BB28" s="865" t="n">
        <f aca="false">-('Balance Sheet'!BB4-'Balance Sheet'!BA4)</f>
        <v>-0</v>
      </c>
      <c r="BC28" s="865" t="n">
        <f aca="false">-('Balance Sheet'!BC4-'Balance Sheet'!BB4)</f>
        <v>-0</v>
      </c>
      <c r="BD28" s="865" t="n">
        <f aca="false">-('Balance Sheet'!BD4-'Balance Sheet'!BC4)</f>
        <v>-0</v>
      </c>
      <c r="BE28" s="865" t="n">
        <f aca="false">-('Balance Sheet'!BE4-'Balance Sheet'!BD4)</f>
        <v>-0</v>
      </c>
      <c r="BF28" s="865" t="n">
        <f aca="false">-('Balance Sheet'!BF4-'Balance Sheet'!BE4)</f>
        <v>-0</v>
      </c>
      <c r="BG28" s="865" t="n">
        <f aca="false">-('Balance Sheet'!BG4-'Balance Sheet'!BF4)</f>
        <v>-0</v>
      </c>
      <c r="BH28" s="865" t="n">
        <f aca="false">-('Balance Sheet'!BH4-'Balance Sheet'!BG4)</f>
        <v>-0</v>
      </c>
      <c r="BI28" s="866" t="n">
        <f aca="false">-('Balance Sheet'!BI4-'Balance Sheet'!BH4)</f>
        <v>-0</v>
      </c>
      <c r="BJ28" s="855" t="n">
        <f aca="false">SUM(B28:M28)</f>
        <v>-2117739.91946771</v>
      </c>
      <c r="BK28" s="869" t="n">
        <f aca="false">SUM(N28:Y28)</f>
        <v>-5078147.79367515</v>
      </c>
      <c r="BL28" s="869" t="n">
        <f aca="false">SUM(Z28:AK28)</f>
        <v>-6541716.10285714</v>
      </c>
      <c r="BM28" s="869" t="n">
        <f aca="false">SUM(AL28:AW28)</f>
        <v>-1144800.318</v>
      </c>
      <c r="BN28" s="869" t="n">
        <f aca="false">SUM(AX28:BI28)</f>
        <v>-1144800.318</v>
      </c>
      <c r="BO28" s="575" t="s">
        <v>1494</v>
      </c>
    </row>
    <row r="29" customFormat="false" ht="12" hidden="false" customHeight="true" outlineLevel="0" collapsed="false">
      <c r="A29" s="593" t="s">
        <v>1761</v>
      </c>
      <c r="B29" s="675" t="n">
        <f aca="false">-('Balance Sheet'!B5-Existing!D10-'Sources &amp; Uses'!B28)</f>
        <v>-0</v>
      </c>
      <c r="C29" s="675" t="n">
        <f aca="false">-('Balance Sheet'!C5-'Balance Sheet'!B5)</f>
        <v>-0</v>
      </c>
      <c r="D29" s="675" t="n">
        <f aca="false">-('Balance Sheet'!D5-'Balance Sheet'!C5)</f>
        <v>-0</v>
      </c>
      <c r="E29" s="675" t="n">
        <f aca="false">-('Balance Sheet'!E5-'Balance Sheet'!D5)</f>
        <v>-0</v>
      </c>
      <c r="F29" s="675" t="n">
        <f aca="false">-('Balance Sheet'!F5-'Balance Sheet'!E5)</f>
        <v>-0</v>
      </c>
      <c r="G29" s="675" t="n">
        <f aca="false">-('Balance Sheet'!G5-'Balance Sheet'!F5)</f>
        <v>-0</v>
      </c>
      <c r="H29" s="675" t="n">
        <f aca="false">-('Balance Sheet'!H5-'Balance Sheet'!G5)</f>
        <v>-0</v>
      </c>
      <c r="I29" s="675" t="n">
        <f aca="false">-('Balance Sheet'!I5-'Balance Sheet'!H5)</f>
        <v>-0</v>
      </c>
      <c r="J29" s="675" t="n">
        <f aca="false">-('Balance Sheet'!J5-'Balance Sheet'!I5)</f>
        <v>-0</v>
      </c>
      <c r="K29" s="675" t="n">
        <f aca="false">-('Balance Sheet'!K5-'Balance Sheet'!J5)</f>
        <v>-0</v>
      </c>
      <c r="L29" s="675" t="n">
        <f aca="false">-('Balance Sheet'!L5-'Balance Sheet'!K5)</f>
        <v>-0</v>
      </c>
      <c r="M29" s="855" t="n">
        <f aca="false">-('Balance Sheet'!M5-'Balance Sheet'!L5)</f>
        <v>-0</v>
      </c>
      <c r="N29" s="856" t="n">
        <f aca="false">-('Balance Sheet'!N5-'Balance Sheet'!M5)</f>
        <v>-0</v>
      </c>
      <c r="O29" s="856" t="n">
        <f aca="false">-('Balance Sheet'!O5-'Balance Sheet'!N5)</f>
        <v>-0</v>
      </c>
      <c r="P29" s="856" t="n">
        <f aca="false">-('Balance Sheet'!P5-'Balance Sheet'!O5)</f>
        <v>-0</v>
      </c>
      <c r="Q29" s="856" t="n">
        <f aca="false">-('Balance Sheet'!Q5-'Balance Sheet'!P5)</f>
        <v>-0</v>
      </c>
      <c r="R29" s="856" t="n">
        <f aca="false">-('Balance Sheet'!R5-'Balance Sheet'!Q5)</f>
        <v>-0</v>
      </c>
      <c r="S29" s="856" t="n">
        <f aca="false">-('Balance Sheet'!S5-'Balance Sheet'!R5)</f>
        <v>-0</v>
      </c>
      <c r="T29" s="856" t="n">
        <f aca="false">-('Balance Sheet'!T5-'Balance Sheet'!S5)</f>
        <v>-0</v>
      </c>
      <c r="U29" s="856" t="n">
        <f aca="false">-('Balance Sheet'!U5-'Balance Sheet'!T5)</f>
        <v>-0</v>
      </c>
      <c r="V29" s="856" t="n">
        <f aca="false">-('Balance Sheet'!V5-'Balance Sheet'!U5)</f>
        <v>-0</v>
      </c>
      <c r="W29" s="856" t="n">
        <f aca="false">-('Balance Sheet'!W5-'Balance Sheet'!V5)</f>
        <v>-0</v>
      </c>
      <c r="X29" s="856" t="n">
        <f aca="false">-('Balance Sheet'!X5-'Balance Sheet'!W5)</f>
        <v>-0</v>
      </c>
      <c r="Y29" s="857" t="n">
        <f aca="false">-('Balance Sheet'!Y5-'Balance Sheet'!X5)</f>
        <v>-0</v>
      </c>
      <c r="Z29" s="858" t="n">
        <f aca="false">-('Balance Sheet'!Z5-'Balance Sheet'!Y5)</f>
        <v>-0</v>
      </c>
      <c r="AA29" s="859" t="n">
        <f aca="false">-('Balance Sheet'!AA5-'Balance Sheet'!Z5)</f>
        <v>-0</v>
      </c>
      <c r="AB29" s="859" t="n">
        <f aca="false">-('Balance Sheet'!AB5-'Balance Sheet'!AA5)</f>
        <v>-0</v>
      </c>
      <c r="AC29" s="859" t="n">
        <f aca="false">-('Balance Sheet'!AC5-'Balance Sheet'!AB5)</f>
        <v>-0</v>
      </c>
      <c r="AD29" s="859" t="n">
        <f aca="false">-('Balance Sheet'!AD5-'Balance Sheet'!AC5)</f>
        <v>-0</v>
      </c>
      <c r="AE29" s="859" t="n">
        <f aca="false">-('Balance Sheet'!AE5-'Balance Sheet'!AD5)</f>
        <v>-0</v>
      </c>
      <c r="AF29" s="859" t="n">
        <f aca="false">-('Balance Sheet'!AF5-'Balance Sheet'!AE5)</f>
        <v>-0</v>
      </c>
      <c r="AG29" s="859" t="n">
        <f aca="false">-('Balance Sheet'!AG5-'Balance Sheet'!AF5)</f>
        <v>-0</v>
      </c>
      <c r="AH29" s="859" t="n">
        <f aca="false">-('Balance Sheet'!AH5-'Balance Sheet'!AG5)</f>
        <v>-0</v>
      </c>
      <c r="AI29" s="859" t="n">
        <f aca="false">-('Balance Sheet'!AI5-'Balance Sheet'!AH5)</f>
        <v>-0</v>
      </c>
      <c r="AJ29" s="859" t="n">
        <f aca="false">-('Balance Sheet'!AJ5-'Balance Sheet'!AI5)</f>
        <v>-0</v>
      </c>
      <c r="AK29" s="860" t="n">
        <f aca="false">-('Balance Sheet'!AK5-'Balance Sheet'!AJ5)</f>
        <v>-0</v>
      </c>
      <c r="AL29" s="861" t="n">
        <f aca="false">-('Balance Sheet'!AL5-'Balance Sheet'!AK5)</f>
        <v>-0</v>
      </c>
      <c r="AM29" s="862" t="n">
        <f aca="false">-('Balance Sheet'!AM5-'Balance Sheet'!AL5)</f>
        <v>-0</v>
      </c>
      <c r="AN29" s="862" t="n">
        <f aca="false">-('Balance Sheet'!AN5-'Balance Sheet'!AM5)</f>
        <v>-0</v>
      </c>
      <c r="AO29" s="862" t="n">
        <f aca="false">-('Balance Sheet'!AO5-'Balance Sheet'!AN5)</f>
        <v>-0</v>
      </c>
      <c r="AP29" s="862" t="n">
        <f aca="false">-('Balance Sheet'!AP5-'Balance Sheet'!AO5)</f>
        <v>-0</v>
      </c>
      <c r="AQ29" s="862" t="n">
        <f aca="false">-('Balance Sheet'!AQ5-'Balance Sheet'!AP5)</f>
        <v>-0</v>
      </c>
      <c r="AR29" s="862" t="n">
        <f aca="false">-('Balance Sheet'!AR5-'Balance Sheet'!AQ5)</f>
        <v>-0</v>
      </c>
      <c r="AS29" s="862" t="n">
        <f aca="false">-('Balance Sheet'!AS5-'Balance Sheet'!AR5)</f>
        <v>-0</v>
      </c>
      <c r="AT29" s="862" t="n">
        <f aca="false">-('Balance Sheet'!AT5-'Balance Sheet'!AS5)</f>
        <v>-0</v>
      </c>
      <c r="AU29" s="862" t="n">
        <f aca="false">-('Balance Sheet'!AU5-'Balance Sheet'!AT5)</f>
        <v>-0</v>
      </c>
      <c r="AV29" s="862" t="n">
        <f aca="false">-('Balance Sheet'!AV5-'Balance Sheet'!AU5)</f>
        <v>-0</v>
      </c>
      <c r="AW29" s="863" t="n">
        <f aca="false">-('Balance Sheet'!AW5-'Balance Sheet'!AV5)</f>
        <v>-0</v>
      </c>
      <c r="AX29" s="864" t="n">
        <f aca="false">-('Balance Sheet'!AX5-'Balance Sheet'!AW5)</f>
        <v>-0</v>
      </c>
      <c r="AY29" s="865" t="n">
        <f aca="false">-('Balance Sheet'!AY5-'Balance Sheet'!AX5)</f>
        <v>-0</v>
      </c>
      <c r="AZ29" s="865" t="n">
        <f aca="false">-('Balance Sheet'!AZ5-'Balance Sheet'!AY5)</f>
        <v>-0</v>
      </c>
      <c r="BA29" s="865" t="n">
        <f aca="false">-('Balance Sheet'!BA5-'Balance Sheet'!AZ5)</f>
        <v>-0</v>
      </c>
      <c r="BB29" s="865" t="n">
        <f aca="false">-('Balance Sheet'!BB5-'Balance Sheet'!BA5)</f>
        <v>-0</v>
      </c>
      <c r="BC29" s="865" t="n">
        <f aca="false">-('Balance Sheet'!BC5-'Balance Sheet'!BB5)</f>
        <v>-0</v>
      </c>
      <c r="BD29" s="865" t="n">
        <f aca="false">-('Balance Sheet'!BD5-'Balance Sheet'!BC5)</f>
        <v>-0</v>
      </c>
      <c r="BE29" s="865" t="n">
        <f aca="false">-('Balance Sheet'!BE5-'Balance Sheet'!BD5)</f>
        <v>-0</v>
      </c>
      <c r="BF29" s="865" t="n">
        <f aca="false">-('Balance Sheet'!BF5-'Balance Sheet'!BE5)</f>
        <v>-0</v>
      </c>
      <c r="BG29" s="865" t="n">
        <f aca="false">-('Balance Sheet'!BG5-'Balance Sheet'!BF5)</f>
        <v>-0</v>
      </c>
      <c r="BH29" s="865" t="n">
        <f aca="false">-('Balance Sheet'!BH5-'Balance Sheet'!BG5)</f>
        <v>-0</v>
      </c>
      <c r="BI29" s="866" t="n">
        <f aca="false">-('Balance Sheet'!BI5-'Balance Sheet'!BH5)</f>
        <v>-0</v>
      </c>
      <c r="BJ29" s="855" t="n">
        <f aca="false">SUM(B29:M29)</f>
        <v>0</v>
      </c>
      <c r="BK29" s="869" t="n">
        <f aca="false">SUM(N29:Y29)</f>
        <v>0</v>
      </c>
      <c r="BL29" s="869" t="n">
        <f aca="false">SUM(Z29:AK29)</f>
        <v>0</v>
      </c>
      <c r="BM29" s="869" t="n">
        <f aca="false">SUM(AL29:AW29)</f>
        <v>0</v>
      </c>
      <c r="BN29" s="869" t="n">
        <f aca="false">SUM(AX29:BI29)</f>
        <v>0</v>
      </c>
      <c r="BO29" s="575" t="s">
        <v>1761</v>
      </c>
    </row>
    <row r="30" customFormat="false" ht="12" hidden="false" customHeight="true" outlineLevel="0" collapsed="false">
      <c r="A30" s="593" t="s">
        <v>1502</v>
      </c>
      <c r="B30" s="675" t="n">
        <f aca="false">'Balance Sheet'!B19-Existing!D22</f>
        <v>390383.972186301</v>
      </c>
      <c r="C30" s="675" t="n">
        <f aca="false">'Balance Sheet'!C19-'Balance Sheet'!B19</f>
        <v>16822.3561643835</v>
      </c>
      <c r="D30" s="675" t="n">
        <f aca="false">'Balance Sheet'!D19-'Balance Sheet'!C19</f>
        <v>9188.08553236793</v>
      </c>
      <c r="E30" s="675" t="n">
        <f aca="false">'Balance Sheet'!E19-'Balance Sheet'!D19</f>
        <v>94709.0659023427</v>
      </c>
      <c r="F30" s="675" t="n">
        <f aca="false">'Balance Sheet'!F19-'Balance Sheet'!E19</f>
        <v>95485.973352519</v>
      </c>
      <c r="G30" s="675" t="n">
        <f aca="false">'Balance Sheet'!G19-'Balance Sheet'!F19</f>
        <v>211999.891910517</v>
      </c>
      <c r="H30" s="675" t="n">
        <f aca="false">'Balance Sheet'!H19-'Balance Sheet'!G19</f>
        <v>258349.250814627</v>
      </c>
      <c r="I30" s="675" t="n">
        <f aca="false">'Balance Sheet'!I19-'Balance Sheet'!H19</f>
        <v>229409.407537524</v>
      </c>
      <c r="J30" s="675" t="n">
        <f aca="false">'Balance Sheet'!J19-'Balance Sheet'!I19</f>
        <v>204850.694338573</v>
      </c>
      <c r="K30" s="675" t="n">
        <f aca="false">'Balance Sheet'!K19-'Balance Sheet'!J19</f>
        <v>205822.04793509</v>
      </c>
      <c r="L30" s="675" t="n">
        <f aca="false">'Balance Sheet'!L19-'Balance Sheet'!K19</f>
        <v>202547.362645392</v>
      </c>
      <c r="M30" s="855" t="n">
        <f aca="false">'Balance Sheet'!M19-'Balance Sheet'!L19</f>
        <v>205651.976067296</v>
      </c>
      <c r="N30" s="856" t="n">
        <f aca="false">'Balance Sheet'!N19-'Balance Sheet'!M19</f>
        <v>568934.144597012</v>
      </c>
      <c r="O30" s="856" t="n">
        <f aca="false">'Balance Sheet'!O19-'Balance Sheet'!N19</f>
        <v>266335.77047032</v>
      </c>
      <c r="P30" s="856" t="n">
        <f aca="false">'Balance Sheet'!P19-'Balance Sheet'!O19</f>
        <v>310476.983379997</v>
      </c>
      <c r="Q30" s="856" t="n">
        <f aca="false">'Balance Sheet'!Q19-'Balance Sheet'!P19</f>
        <v>308161.266847371</v>
      </c>
      <c r="R30" s="856" t="n">
        <f aca="false">'Balance Sheet'!R19-'Balance Sheet'!Q19</f>
        <v>308157.64313881</v>
      </c>
      <c r="S30" s="856" t="n">
        <f aca="false">'Balance Sheet'!S19-'Balance Sheet'!R19</f>
        <v>308154.001311706</v>
      </c>
      <c r="T30" s="856" t="n">
        <f aca="false">'Balance Sheet'!T19-'Balance Sheet'!S19</f>
        <v>413223.604706595</v>
      </c>
      <c r="U30" s="856" t="n">
        <f aca="false">'Balance Sheet'!U19-'Balance Sheet'!T19</f>
        <v>278358.939154978</v>
      </c>
      <c r="V30" s="856" t="n">
        <f aca="false">'Balance Sheet'!V19-'Balance Sheet'!U19</f>
        <v>237693.007894994</v>
      </c>
      <c r="W30" s="856" t="n">
        <f aca="false">'Balance Sheet'!W19-'Balance Sheet'!V19</f>
        <v>237689.849965012</v>
      </c>
      <c r="X30" s="856" t="n">
        <f aca="false">'Balance Sheet'!X19-'Balance Sheet'!W19</f>
        <v>237686.676245384</v>
      </c>
      <c r="Y30" s="857" t="n">
        <f aca="false">'Balance Sheet'!Y19-'Balance Sheet'!X19</f>
        <v>237683.48665715</v>
      </c>
      <c r="Z30" s="858" t="n">
        <f aca="false">'Balance Sheet'!Z19-'Balance Sheet'!Y19</f>
        <v>4250714.94861072</v>
      </c>
      <c r="AA30" s="859" t="n">
        <f aca="false">'Balance Sheet'!AA19-'Balance Sheet'!Z19</f>
        <v>-647.53433428146</v>
      </c>
      <c r="AB30" s="859" t="n">
        <f aca="false">'Balance Sheet'!AB19-'Balance Sheet'!AA19</f>
        <v>-650.772005952895</v>
      </c>
      <c r="AC30" s="859" t="n">
        <f aca="false">'Balance Sheet'!AC19-'Balance Sheet'!AB19</f>
        <v>-654.025865981355</v>
      </c>
      <c r="AD30" s="859" t="n">
        <f aca="false">'Balance Sheet'!AD19-'Balance Sheet'!AC19</f>
        <v>-657.295995311812</v>
      </c>
      <c r="AE30" s="859" t="n">
        <f aca="false">'Balance Sheet'!AE19-'Balance Sheet'!AD19</f>
        <v>-660.582475285977</v>
      </c>
      <c r="AF30" s="859" t="n">
        <f aca="false">'Balance Sheet'!AF19-'Balance Sheet'!AE19</f>
        <v>-663.885387668386</v>
      </c>
      <c r="AG30" s="859" t="n">
        <f aca="false">'Balance Sheet'!AG19-'Balance Sheet'!AF19</f>
        <v>-667.204814603552</v>
      </c>
      <c r="AH30" s="859" t="n">
        <f aca="false">'Balance Sheet'!AH19-'Balance Sheet'!AG19</f>
        <v>-670.540838673711</v>
      </c>
      <c r="AI30" s="859" t="n">
        <f aca="false">'Balance Sheet'!AI19-'Balance Sheet'!AH19</f>
        <v>-673.893542870879</v>
      </c>
      <c r="AJ30" s="859" t="n">
        <f aca="false">'Balance Sheet'!AJ19-'Balance Sheet'!AI19</f>
        <v>-677.263010583818</v>
      </c>
      <c r="AK30" s="860" t="n">
        <f aca="false">'Balance Sheet'!AK19-'Balance Sheet'!AJ19</f>
        <v>-680.649325637147</v>
      </c>
      <c r="AL30" s="861" t="n">
        <f aca="false">'Balance Sheet'!AL19-'Balance Sheet'!AK19</f>
        <v>626746.272506809</v>
      </c>
      <c r="AM30" s="862" t="n">
        <f aca="false">'Balance Sheet'!AM19-'Balance Sheet'!AL19</f>
        <v>-687.472835125402</v>
      </c>
      <c r="AN30" s="862" t="n">
        <f aca="false">'Balance Sheet'!AN19-'Balance Sheet'!AM19</f>
        <v>-690.91019930318</v>
      </c>
      <c r="AO30" s="862" t="n">
        <f aca="false">'Balance Sheet'!AO19-'Balance Sheet'!AN19</f>
        <v>-694.364750299603</v>
      </c>
      <c r="AP30" s="862" t="n">
        <f aca="false">'Balance Sheet'!AP19-'Balance Sheet'!AO19</f>
        <v>-697.836574047804</v>
      </c>
      <c r="AQ30" s="862" t="n">
        <f aca="false">'Balance Sheet'!AQ19-'Balance Sheet'!AP19</f>
        <v>-701.325756922364</v>
      </c>
      <c r="AR30" s="862" t="n">
        <f aca="false">'Balance Sheet'!AR19-'Balance Sheet'!AQ19</f>
        <v>-704.832385703921</v>
      </c>
      <c r="AS30" s="862" t="n">
        <f aca="false">'Balance Sheet'!AS19-'Balance Sheet'!AR19</f>
        <v>-708.356547635049</v>
      </c>
      <c r="AT30" s="862" t="n">
        <f aca="false">'Balance Sheet'!AT19-'Balance Sheet'!AS19</f>
        <v>-711.898330369964</v>
      </c>
      <c r="AU30" s="862" t="n">
        <f aca="false">'Balance Sheet'!AU19-'Balance Sheet'!AT19</f>
        <v>-715.457822024822</v>
      </c>
      <c r="AV30" s="862" t="n">
        <f aca="false">'Balance Sheet'!AV19-'Balance Sheet'!AU19</f>
        <v>-719.035111133009</v>
      </c>
      <c r="AW30" s="863" t="n">
        <f aca="false">'Balance Sheet'!AW19-'Balance Sheet'!AV19</f>
        <v>-722.630286689848</v>
      </c>
      <c r="AX30" s="864" t="n">
        <f aca="false">'Balance Sheet'!AX19-'Balance Sheet'!AW19</f>
        <v>629492.926933479</v>
      </c>
      <c r="AY30" s="865" t="n">
        <f aca="false">'Balance Sheet'!AY19-'Balance Sheet'!AX19</f>
        <v>-729.87465531379</v>
      </c>
      <c r="AZ30" s="865" t="n">
        <f aca="false">'Balance Sheet'!AZ19-'Balance Sheet'!AY19</f>
        <v>-733.524028588086</v>
      </c>
      <c r="BA30" s="865" t="n">
        <f aca="false">'Balance Sheet'!BA19-'Balance Sheet'!AZ19</f>
        <v>-737.191648732871</v>
      </c>
      <c r="BB30" s="865" t="n">
        <f aca="false">'Balance Sheet'!BB19-'Balance Sheet'!BA19</f>
        <v>-740.87760697864</v>
      </c>
      <c r="BC30" s="865" t="n">
        <f aca="false">'Balance Sheet'!BC19-'Balance Sheet'!BB19</f>
        <v>-744.581995010376</v>
      </c>
      <c r="BD30" s="865" t="n">
        <f aca="false">'Balance Sheet'!BD19-'Balance Sheet'!BC19</f>
        <v>-748.30490498431</v>
      </c>
      <c r="BE30" s="865" t="n">
        <f aca="false">'Balance Sheet'!BE19-'Balance Sheet'!BD19</f>
        <v>-752.046429514885</v>
      </c>
      <c r="BF30" s="865" t="n">
        <f aca="false">'Balance Sheet'!BF19-'Balance Sheet'!BE19</f>
        <v>-755.806661657989</v>
      </c>
      <c r="BG30" s="865" t="n">
        <f aca="false">'Balance Sheet'!BG19-'Balance Sheet'!BF19</f>
        <v>-759.585694966838</v>
      </c>
      <c r="BH30" s="865" t="n">
        <f aca="false">'Balance Sheet'!BH19-'Balance Sheet'!BG19</f>
        <v>-763.383623441681</v>
      </c>
      <c r="BI30" s="866" t="n">
        <f aca="false">'Balance Sheet'!BI19-'Balance Sheet'!BH19</f>
        <v>-767.200541557744</v>
      </c>
      <c r="BJ30" s="855" t="n">
        <f aca="false">SUM(B30:M30)</f>
        <v>2125220.08438693</v>
      </c>
      <c r="BK30" s="869" t="n">
        <f aca="false">SUM(N30:Y30)</f>
        <v>3712555.37436933</v>
      </c>
      <c r="BL30" s="870" t="n">
        <f aca="false">SUM(Z30:AK30)</f>
        <v>4243411.30101387</v>
      </c>
      <c r="BM30" s="869" t="n">
        <f aca="false">SUM(AL30:AW30)</f>
        <v>618992.151907554</v>
      </c>
      <c r="BN30" s="869" t="n">
        <f aca="false">SUM(AX30:BI30)</f>
        <v>621260.549142731</v>
      </c>
      <c r="BO30" s="575" t="s">
        <v>1502</v>
      </c>
    </row>
    <row r="31" s="887" customFormat="true" ht="10.5" hidden="false" customHeight="true" outlineLevel="0" collapsed="false">
      <c r="A31" s="871" t="s">
        <v>1762</v>
      </c>
      <c r="B31" s="872" t="n">
        <f aca="false">SUM(B25:B30)</f>
        <v>-5421.99961369863</v>
      </c>
      <c r="C31" s="872" t="n">
        <f aca="false">SUM(C25:C30)</f>
        <v>-396039.615635617</v>
      </c>
      <c r="D31" s="872" t="n">
        <f aca="false">SUM(D25:D30)</f>
        <v>-412977.020537417</v>
      </c>
      <c r="E31" s="872" t="n">
        <f aca="false">SUM(E25:E30)</f>
        <v>-420750.180983845</v>
      </c>
      <c r="F31" s="872" t="n">
        <f aca="false">SUM(F25:F30)</f>
        <v>-383492.956529836</v>
      </c>
      <c r="G31" s="872" t="n">
        <f aca="false">SUM(G25:G30)</f>
        <v>-345887.996054194</v>
      </c>
      <c r="H31" s="872" t="n">
        <f aca="false">SUM(H25:H30)</f>
        <v>-293081.950265708</v>
      </c>
      <c r="I31" s="872" t="n">
        <f aca="false">SUM(I25:I30)</f>
        <v>-286223.321113594</v>
      </c>
      <c r="J31" s="872" t="n">
        <f aca="false">SUM(J25:J30)</f>
        <v>-250083.755445504</v>
      </c>
      <c r="K31" s="872" t="n">
        <f aca="false">SUM(K25:K30)</f>
        <v>-189398.967600634</v>
      </c>
      <c r="L31" s="872" t="n">
        <f aca="false">SUM(L25:L30)</f>
        <v>-129640.051612149</v>
      </c>
      <c r="M31" s="873" t="n">
        <f aca="false">SUM(M25:M30)</f>
        <v>-66649.5699648238</v>
      </c>
      <c r="N31" s="874" t="n">
        <f aca="false">SUM(N25:N30)</f>
        <v>75.3245520319324</v>
      </c>
      <c r="O31" s="874" t="n">
        <f aca="false">SUM(O25:O30)</f>
        <v>552848.767723636</v>
      </c>
      <c r="P31" s="874" t="n">
        <f aca="false">SUM(P25:P30)</f>
        <v>646992.346830975</v>
      </c>
      <c r="Q31" s="874" t="n">
        <f aca="false">SUM(Q25:Q30)</f>
        <v>697026.875758259</v>
      </c>
      <c r="R31" s="874" t="n">
        <f aca="false">SUM(R25:R30)</f>
        <v>749377.171547452</v>
      </c>
      <c r="S31" s="874" t="n">
        <f aca="false">SUM(S25:S30)</f>
        <v>801731.141626139</v>
      </c>
      <c r="T31" s="874" t="n">
        <f aca="false">SUM(T25:T30)</f>
        <v>852629.453484775</v>
      </c>
      <c r="U31" s="874" t="n">
        <f aca="false">SUM(U25:U30)</f>
        <v>800331.282303412</v>
      </c>
      <c r="V31" s="874" t="n">
        <f aca="false">SUM(V25:V30)</f>
        <v>883462.581274493</v>
      </c>
      <c r="W31" s="874" t="n">
        <f aca="false">SUM(W25:W30)</f>
        <v>1007259.8553657</v>
      </c>
      <c r="X31" s="874" t="n">
        <f aca="false">SUM(X25:X30)</f>
        <v>1131060.33146632</v>
      </c>
      <c r="Y31" s="875" t="n">
        <f aca="false">SUM(Y25:Y30)</f>
        <v>1254864.02558642</v>
      </c>
      <c r="Z31" s="876" t="n">
        <f aca="false">SUM(Z25:Z30)</f>
        <v>1408794.38506206</v>
      </c>
      <c r="AA31" s="877" t="n">
        <f aca="false">SUM(AA25:AA30)</f>
        <v>3699804.53284089</v>
      </c>
      <c r="AB31" s="877" t="n">
        <f aca="false">SUM(AB25:AB30)</f>
        <v>3700461.10567526</v>
      </c>
      <c r="AC31" s="877" t="n">
        <f aca="false">SUM(AC25:AC30)</f>
        <v>3701120.96137379</v>
      </c>
      <c r="AD31" s="877" t="n">
        <f aca="false">SUM(AD25:AD30)</f>
        <v>3701784.11635082</v>
      </c>
      <c r="AE31" s="877" t="n">
        <f aca="false">SUM(AE25:AE30)</f>
        <v>3702450.58710274</v>
      </c>
      <c r="AF31" s="877" t="n">
        <f aca="false">SUM(AF25:AF30)</f>
        <v>3703120.3902084</v>
      </c>
      <c r="AG31" s="877" t="n">
        <f aca="false">SUM(AG25:AG30)</f>
        <v>3703793.54232961</v>
      </c>
      <c r="AH31" s="877" t="n">
        <f aca="false">SUM(AH25:AH30)</f>
        <v>3704470.06021142</v>
      </c>
      <c r="AI31" s="877" t="n">
        <f aca="false">SUM(AI25:AI30)</f>
        <v>3705149.96068263</v>
      </c>
      <c r="AJ31" s="877" t="n">
        <f aca="false">SUM(AJ25:AJ30)</f>
        <v>3705833.2606562</v>
      </c>
      <c r="AK31" s="878" t="n">
        <f aca="false">SUM(AK25:AK30)</f>
        <v>3706519.97712964</v>
      </c>
      <c r="AL31" s="879" t="n">
        <f aca="false">SUM(AL25:AL30)</f>
        <v>3714395.82153157</v>
      </c>
      <c r="AM31" s="880" t="n">
        <f aca="false">SUM(AM25:AM30)</f>
        <v>4232459.41525859</v>
      </c>
      <c r="AN31" s="880" t="n">
        <f aca="false">SUM(AN25:AN30)</f>
        <v>4233156.4840687</v>
      </c>
      <c r="AO31" s="880" t="n">
        <f aca="false">SUM(AO25:AO30)</f>
        <v>4233857.03822287</v>
      </c>
      <c r="AP31" s="880" t="n">
        <f aca="false">SUM(AP25:AP30)</f>
        <v>4234561.09514781</v>
      </c>
      <c r="AQ31" s="880" t="n">
        <f aca="false">SUM(AQ25:AQ30)</f>
        <v>4235268.67235737</v>
      </c>
      <c r="AR31" s="880" t="n">
        <f aca="false">SUM(AR25:AR30)</f>
        <v>4235979.78745299</v>
      </c>
      <c r="AS31" s="880" t="n">
        <f aca="false">SUM(AS25:AS30)</f>
        <v>4236694.45812407</v>
      </c>
      <c r="AT31" s="880" t="n">
        <f aca="false">SUM(AT25:AT30)</f>
        <v>4237412.70214852</v>
      </c>
      <c r="AU31" s="880" t="n">
        <f aca="false">SUM(AU25:AU30)</f>
        <v>4238134.53739308</v>
      </c>
      <c r="AV31" s="880" t="n">
        <f aca="false">SUM(AV25:AV30)</f>
        <v>4238859.98181387</v>
      </c>
      <c r="AW31" s="881" t="n">
        <f aca="false">SUM(AW25:AW30)</f>
        <v>4239589.05345677</v>
      </c>
      <c r="AX31" s="882" t="n">
        <f aca="false">SUM(AX25:AX30)</f>
        <v>4247468.7308416</v>
      </c>
      <c r="AY31" s="883" t="n">
        <f aca="false">SUM(AY25:AY30)</f>
        <v>4762786.25905611</v>
      </c>
      <c r="AZ31" s="883" t="n">
        <f aca="false">SUM(AZ25:AZ30)</f>
        <v>4763526.32154516</v>
      </c>
      <c r="BA31" s="883" t="n">
        <f aca="false">SUM(BA25:BA30)</f>
        <v>4764270.08434664</v>
      </c>
      <c r="BB31" s="883" t="n">
        <f aca="false">SUM(BB25:BB30)</f>
        <v>4765017.56596214</v>
      </c>
      <c r="BC31" s="883" t="n">
        <f aca="false">SUM(BC25:BC30)</f>
        <v>4765768.78498571</v>
      </c>
      <c r="BD31" s="883" t="n">
        <f aca="false">SUM(BD25:BD30)</f>
        <v>4766523.76010441</v>
      </c>
      <c r="BE31" s="883" t="n">
        <f aca="false">SUM(BE25:BE30)</f>
        <v>4767282.51009869</v>
      </c>
      <c r="BF31" s="883" t="n">
        <f aca="false">SUM(BF25:BF30)</f>
        <v>4768045.05384295</v>
      </c>
      <c r="BG31" s="883" t="n">
        <f aca="false">SUM(BG25:BG30)</f>
        <v>4768811.41030593</v>
      </c>
      <c r="BH31" s="883" t="n">
        <f aca="false">SUM(BH25:BH30)</f>
        <v>4769581.59855122</v>
      </c>
      <c r="BI31" s="884" t="n">
        <f aca="false">SUM(BI25:BI30)</f>
        <v>4770355.63773774</v>
      </c>
      <c r="BJ31" s="885" t="n">
        <f aca="false">SUM(B31:M31)</f>
        <v>-3179647.38535702</v>
      </c>
      <c r="BK31" s="870" t="n">
        <f aca="false">SUM(N31:Y31)</f>
        <v>9377659.15751961</v>
      </c>
      <c r="BL31" s="870" t="n">
        <f aca="false">SUM(Z31:AK31)</f>
        <v>42143302.8796235</v>
      </c>
      <c r="BM31" s="870" t="n">
        <f aca="false">SUM(AL31:AW31)</f>
        <v>50310369.0469762</v>
      </c>
      <c r="BN31" s="870" t="n">
        <f aca="false">SUM(AX31:BI31)</f>
        <v>56679437.7173783</v>
      </c>
      <c r="BO31" s="886" t="s">
        <v>1762</v>
      </c>
    </row>
    <row r="32" customFormat="false" ht="12.75" hidden="false" customHeight="true" outlineLevel="0" collapsed="false">
      <c r="A32" s="888"/>
      <c r="B32" s="660"/>
      <c r="C32" s="660"/>
      <c r="D32" s="660"/>
      <c r="E32" s="660"/>
      <c r="F32" s="660"/>
      <c r="G32" s="660"/>
      <c r="H32" s="660"/>
      <c r="I32" s="660"/>
      <c r="J32" s="660"/>
      <c r="K32" s="660"/>
      <c r="L32" s="660"/>
      <c r="M32" s="889"/>
      <c r="N32" s="890"/>
      <c r="O32" s="890"/>
      <c r="P32" s="890"/>
      <c r="Q32" s="890"/>
      <c r="R32" s="890"/>
      <c r="S32" s="890"/>
      <c r="T32" s="890"/>
      <c r="U32" s="890"/>
      <c r="V32" s="890"/>
      <c r="W32" s="890"/>
      <c r="X32" s="890"/>
      <c r="Y32" s="891"/>
      <c r="Z32" s="892"/>
      <c r="AA32" s="890"/>
      <c r="AB32" s="890"/>
      <c r="AC32" s="890"/>
      <c r="AD32" s="890"/>
      <c r="AE32" s="890"/>
      <c r="AF32" s="890"/>
      <c r="AG32" s="890"/>
      <c r="AH32" s="890"/>
      <c r="AI32" s="890"/>
      <c r="AJ32" s="890"/>
      <c r="AK32" s="891"/>
      <c r="AL32" s="892"/>
      <c r="AM32" s="890"/>
      <c r="AN32" s="890"/>
      <c r="AO32" s="890"/>
      <c r="AP32" s="890"/>
      <c r="AQ32" s="890"/>
      <c r="AR32" s="890"/>
      <c r="AS32" s="890"/>
      <c r="AT32" s="890"/>
      <c r="AU32" s="890"/>
      <c r="AV32" s="890"/>
      <c r="AW32" s="891"/>
      <c r="AX32" s="892"/>
      <c r="AY32" s="890"/>
      <c r="AZ32" s="890"/>
      <c r="BA32" s="890"/>
      <c r="BB32" s="890"/>
      <c r="BC32" s="890"/>
      <c r="BD32" s="890"/>
      <c r="BE32" s="890"/>
      <c r="BF32" s="890"/>
      <c r="BG32" s="890"/>
      <c r="BH32" s="890"/>
      <c r="BI32" s="891"/>
      <c r="BJ32" s="889"/>
      <c r="BK32" s="893"/>
      <c r="BL32" s="893"/>
      <c r="BM32" s="893"/>
      <c r="BN32" s="893"/>
      <c r="BO32" s="646"/>
    </row>
    <row r="33" customFormat="false" ht="12.75" hidden="false" customHeight="true" outlineLevel="0" collapsed="false">
      <c r="A33" s="894" t="s">
        <v>1763</v>
      </c>
      <c r="B33" s="839"/>
      <c r="C33" s="839"/>
      <c r="D33" s="839"/>
      <c r="E33" s="839"/>
      <c r="F33" s="839"/>
      <c r="G33" s="839"/>
      <c r="H33" s="839"/>
      <c r="I33" s="839"/>
      <c r="J33" s="839"/>
      <c r="K33" s="839"/>
      <c r="L33" s="839"/>
      <c r="M33" s="840"/>
      <c r="N33" s="856"/>
      <c r="O33" s="856"/>
      <c r="P33" s="856"/>
      <c r="Q33" s="856"/>
      <c r="R33" s="856"/>
      <c r="S33" s="856"/>
      <c r="T33" s="856"/>
      <c r="U33" s="856"/>
      <c r="V33" s="856"/>
      <c r="W33" s="856"/>
      <c r="X33" s="856"/>
      <c r="Y33" s="857"/>
      <c r="Z33" s="858"/>
      <c r="AA33" s="859"/>
      <c r="AB33" s="859"/>
      <c r="AC33" s="859"/>
      <c r="AD33" s="859"/>
      <c r="AE33" s="859"/>
      <c r="AF33" s="859"/>
      <c r="AG33" s="859"/>
      <c r="AH33" s="859"/>
      <c r="AI33" s="859"/>
      <c r="AJ33" s="859"/>
      <c r="AK33" s="860"/>
      <c r="AL33" s="861"/>
      <c r="AM33" s="862"/>
      <c r="AN33" s="862"/>
      <c r="AO33" s="862"/>
      <c r="AP33" s="862"/>
      <c r="AQ33" s="862"/>
      <c r="AR33" s="862"/>
      <c r="AS33" s="862"/>
      <c r="AT33" s="862"/>
      <c r="AU33" s="862"/>
      <c r="AV33" s="862"/>
      <c r="AW33" s="863"/>
      <c r="AX33" s="864"/>
      <c r="AY33" s="865"/>
      <c r="AZ33" s="865"/>
      <c r="BA33" s="865"/>
      <c r="BB33" s="865"/>
      <c r="BC33" s="865"/>
      <c r="BD33" s="865"/>
      <c r="BE33" s="865"/>
      <c r="BF33" s="865"/>
      <c r="BG33" s="865"/>
      <c r="BH33" s="865"/>
      <c r="BI33" s="866"/>
      <c r="BJ33" s="855"/>
      <c r="BK33" s="869"/>
      <c r="BL33" s="869"/>
      <c r="BM33" s="869"/>
      <c r="BN33" s="869"/>
      <c r="BO33" s="886" t="s">
        <v>1763</v>
      </c>
    </row>
    <row r="34" customFormat="false" ht="12" hidden="false" customHeight="true" outlineLevel="0" collapsed="false">
      <c r="A34" s="895" t="str">
        <f aca="false">A7</f>
        <v>Purchase of Other Current Assets</v>
      </c>
      <c r="B34" s="675" t="n">
        <f aca="false">-B7</f>
        <v>-0</v>
      </c>
      <c r="C34" s="675" t="n">
        <f aca="false">-C7</f>
        <v>-0</v>
      </c>
      <c r="D34" s="675" t="n">
        <f aca="false">-D7</f>
        <v>-0</v>
      </c>
      <c r="E34" s="675" t="n">
        <f aca="false">-E7</f>
        <v>-0</v>
      </c>
      <c r="F34" s="675" t="n">
        <f aca="false">-F7</f>
        <v>-0</v>
      </c>
      <c r="G34" s="675" t="n">
        <f aca="false">-G7</f>
        <v>-0</v>
      </c>
      <c r="H34" s="675" t="n">
        <f aca="false">-H7</f>
        <v>-0</v>
      </c>
      <c r="I34" s="675" t="n">
        <f aca="false">-I7</f>
        <v>-0</v>
      </c>
      <c r="J34" s="675" t="n">
        <f aca="false">-J7</f>
        <v>-0</v>
      </c>
      <c r="K34" s="675" t="n">
        <f aca="false">-K7</f>
        <v>-0</v>
      </c>
      <c r="L34" s="675" t="n">
        <f aca="false">-L7</f>
        <v>-0</v>
      </c>
      <c r="M34" s="855" t="n">
        <f aca="false">-M7</f>
        <v>-0</v>
      </c>
      <c r="N34" s="856" t="n">
        <f aca="false">-N7</f>
        <v>-0</v>
      </c>
      <c r="O34" s="856" t="n">
        <f aca="false">-O7</f>
        <v>-0</v>
      </c>
      <c r="P34" s="856" t="n">
        <f aca="false">-P7</f>
        <v>-0</v>
      </c>
      <c r="Q34" s="856" t="n">
        <f aca="false">-Q7</f>
        <v>-0</v>
      </c>
      <c r="R34" s="856" t="n">
        <f aca="false">-R7</f>
        <v>-0</v>
      </c>
      <c r="S34" s="856" t="n">
        <f aca="false">-S7</f>
        <v>-0</v>
      </c>
      <c r="T34" s="856" t="n">
        <f aca="false">-T7</f>
        <v>-0</v>
      </c>
      <c r="U34" s="856" t="n">
        <f aca="false">-U7</f>
        <v>-0</v>
      </c>
      <c r="V34" s="856" t="n">
        <f aca="false">-V7</f>
        <v>-0</v>
      </c>
      <c r="W34" s="856" t="n">
        <f aca="false">-W7</f>
        <v>-0</v>
      </c>
      <c r="X34" s="856" t="n">
        <f aca="false">-X7</f>
        <v>-0</v>
      </c>
      <c r="Y34" s="857" t="n">
        <f aca="false">-Y7</f>
        <v>-0</v>
      </c>
      <c r="Z34" s="858" t="n">
        <f aca="false">-Z7</f>
        <v>-0</v>
      </c>
      <c r="AA34" s="859" t="n">
        <f aca="false">-AA7</f>
        <v>-0</v>
      </c>
      <c r="AB34" s="859" t="n">
        <f aca="false">-AB7</f>
        <v>-0</v>
      </c>
      <c r="AC34" s="859" t="n">
        <f aca="false">-AC7</f>
        <v>-0</v>
      </c>
      <c r="AD34" s="859" t="n">
        <f aca="false">-AD7</f>
        <v>-0</v>
      </c>
      <c r="AE34" s="859" t="n">
        <f aca="false">-AE7</f>
        <v>-0</v>
      </c>
      <c r="AF34" s="859" t="n">
        <f aca="false">-AF7</f>
        <v>-0</v>
      </c>
      <c r="AG34" s="859" t="n">
        <f aca="false">-AG7</f>
        <v>-0</v>
      </c>
      <c r="AH34" s="859" t="n">
        <f aca="false">-AH7</f>
        <v>-0</v>
      </c>
      <c r="AI34" s="859" t="n">
        <f aca="false">-AI7</f>
        <v>-0</v>
      </c>
      <c r="AJ34" s="859" t="n">
        <f aca="false">-AJ7</f>
        <v>-0</v>
      </c>
      <c r="AK34" s="860" t="n">
        <f aca="false">-AK7</f>
        <v>-0</v>
      </c>
      <c r="AL34" s="861" t="n">
        <f aca="false">-AL7</f>
        <v>-0</v>
      </c>
      <c r="AM34" s="862" t="n">
        <f aca="false">-AM7</f>
        <v>-0</v>
      </c>
      <c r="AN34" s="862" t="n">
        <f aca="false">-AN7</f>
        <v>-0</v>
      </c>
      <c r="AO34" s="862" t="n">
        <f aca="false">-AO7</f>
        <v>-0</v>
      </c>
      <c r="AP34" s="862" t="n">
        <f aca="false">-AP7</f>
        <v>-0</v>
      </c>
      <c r="AQ34" s="862" t="n">
        <f aca="false">-AQ7</f>
        <v>-0</v>
      </c>
      <c r="AR34" s="862" t="n">
        <f aca="false">-AR7</f>
        <v>-0</v>
      </c>
      <c r="AS34" s="862" t="n">
        <f aca="false">-AS7</f>
        <v>-0</v>
      </c>
      <c r="AT34" s="862" t="n">
        <f aca="false">-AT7</f>
        <v>-0</v>
      </c>
      <c r="AU34" s="862" t="n">
        <f aca="false">-AU7</f>
        <v>-0</v>
      </c>
      <c r="AV34" s="862" t="n">
        <f aca="false">-AV7</f>
        <v>-0</v>
      </c>
      <c r="AW34" s="863" t="n">
        <f aca="false">-AW7</f>
        <v>-0</v>
      </c>
      <c r="AX34" s="864" t="n">
        <f aca="false">-AX7</f>
        <v>-0</v>
      </c>
      <c r="AY34" s="865" t="n">
        <f aca="false">-AY7</f>
        <v>-0</v>
      </c>
      <c r="AZ34" s="865" t="n">
        <f aca="false">-AZ7</f>
        <v>-0</v>
      </c>
      <c r="BA34" s="865" t="n">
        <f aca="false">-BA7</f>
        <v>-0</v>
      </c>
      <c r="BB34" s="865" t="n">
        <f aca="false">-BB7</f>
        <v>-0</v>
      </c>
      <c r="BC34" s="865" t="n">
        <f aca="false">-BC7</f>
        <v>-0</v>
      </c>
      <c r="BD34" s="865" t="n">
        <f aca="false">-BD7</f>
        <v>-0</v>
      </c>
      <c r="BE34" s="865" t="n">
        <f aca="false">-BE7</f>
        <v>-0</v>
      </c>
      <c r="BF34" s="865" t="n">
        <f aca="false">-BF7</f>
        <v>-0</v>
      </c>
      <c r="BG34" s="865" t="n">
        <f aca="false">-BG7</f>
        <v>-0</v>
      </c>
      <c r="BH34" s="865" t="n">
        <f aca="false">-BH7</f>
        <v>-0</v>
      </c>
      <c r="BI34" s="866" t="n">
        <f aca="false">-BI7</f>
        <v>-0</v>
      </c>
      <c r="BJ34" s="855" t="n">
        <f aca="false">SUM(B34:M34)</f>
        <v>0</v>
      </c>
      <c r="BK34" s="869" t="n">
        <f aca="false">SUM(N34:Y34)</f>
        <v>0</v>
      </c>
      <c r="BL34" s="869" t="n">
        <f aca="false">SUM(Z34:AK34)</f>
        <v>0</v>
      </c>
      <c r="BM34" s="869" t="n">
        <f aca="false">SUM(AL34:AW34)</f>
        <v>0</v>
      </c>
      <c r="BN34" s="869" t="n">
        <f aca="false">SUM(AX34:BI34)</f>
        <v>0</v>
      </c>
      <c r="BO34" s="896" t="str">
        <f aca="false">BO7</f>
        <v>Purchase of Other Current Assets</v>
      </c>
    </row>
    <row r="35" customFormat="false" ht="12" hidden="false" customHeight="true" outlineLevel="0" collapsed="false">
      <c r="A35" s="897" t="str">
        <f aca="false">A8</f>
        <v>Sale of Other Current Assets</v>
      </c>
      <c r="B35" s="675" t="n">
        <f aca="false">B8</f>
        <v>0</v>
      </c>
      <c r="C35" s="675" t="n">
        <f aca="false">C8</f>
        <v>0</v>
      </c>
      <c r="D35" s="675" t="n">
        <f aca="false">D8</f>
        <v>0</v>
      </c>
      <c r="E35" s="675" t="n">
        <f aca="false">E8</f>
        <v>0</v>
      </c>
      <c r="F35" s="675" t="n">
        <f aca="false">F8</f>
        <v>0</v>
      </c>
      <c r="G35" s="675" t="n">
        <f aca="false">G8</f>
        <v>0</v>
      </c>
      <c r="H35" s="675" t="n">
        <f aca="false">H8</f>
        <v>0</v>
      </c>
      <c r="I35" s="675" t="n">
        <f aca="false">I8</f>
        <v>0</v>
      </c>
      <c r="J35" s="675" t="n">
        <f aca="false">J8</f>
        <v>0</v>
      </c>
      <c r="K35" s="675" t="n">
        <f aca="false">K8</f>
        <v>0</v>
      </c>
      <c r="L35" s="675" t="n">
        <f aca="false">L8</f>
        <v>0</v>
      </c>
      <c r="M35" s="855" t="n">
        <f aca="false">M8</f>
        <v>0</v>
      </c>
      <c r="N35" s="856" t="n">
        <f aca="false">N8</f>
        <v>0</v>
      </c>
      <c r="O35" s="856" t="n">
        <f aca="false">O8</f>
        <v>0</v>
      </c>
      <c r="P35" s="856" t="n">
        <f aca="false">P8</f>
        <v>0</v>
      </c>
      <c r="Q35" s="856" t="n">
        <f aca="false">Q8</f>
        <v>0</v>
      </c>
      <c r="R35" s="856" t="n">
        <f aca="false">R8</f>
        <v>0</v>
      </c>
      <c r="S35" s="856" t="n">
        <f aca="false">S8</f>
        <v>0</v>
      </c>
      <c r="T35" s="856" t="n">
        <f aca="false">T8</f>
        <v>0</v>
      </c>
      <c r="U35" s="856" t="n">
        <f aca="false">U8</f>
        <v>0</v>
      </c>
      <c r="V35" s="856" t="n">
        <f aca="false">V8</f>
        <v>0</v>
      </c>
      <c r="W35" s="856" t="n">
        <f aca="false">W8</f>
        <v>0</v>
      </c>
      <c r="X35" s="856" t="n">
        <f aca="false">X8</f>
        <v>0</v>
      </c>
      <c r="Y35" s="857" t="n">
        <f aca="false">Y8</f>
        <v>0</v>
      </c>
      <c r="Z35" s="858" t="n">
        <f aca="false">Z8</f>
        <v>0</v>
      </c>
      <c r="AA35" s="859" t="n">
        <f aca="false">AA8</f>
        <v>0</v>
      </c>
      <c r="AB35" s="859" t="n">
        <f aca="false">AB8</f>
        <v>0</v>
      </c>
      <c r="AC35" s="859" t="n">
        <f aca="false">AC8</f>
        <v>0</v>
      </c>
      <c r="AD35" s="859" t="n">
        <f aca="false">AD8</f>
        <v>0</v>
      </c>
      <c r="AE35" s="859" t="n">
        <f aca="false">AE8</f>
        <v>0</v>
      </c>
      <c r="AF35" s="859" t="n">
        <f aca="false">AF8</f>
        <v>0</v>
      </c>
      <c r="AG35" s="859" t="n">
        <f aca="false">AG8</f>
        <v>0</v>
      </c>
      <c r="AH35" s="859" t="n">
        <f aca="false">AH8</f>
        <v>0</v>
      </c>
      <c r="AI35" s="859" t="n">
        <f aca="false">AI8</f>
        <v>0</v>
      </c>
      <c r="AJ35" s="859" t="n">
        <f aca="false">AJ8</f>
        <v>0</v>
      </c>
      <c r="AK35" s="860" t="n">
        <f aca="false">AK8</f>
        <v>0</v>
      </c>
      <c r="AL35" s="861" t="n">
        <f aca="false">AL8</f>
        <v>0</v>
      </c>
      <c r="AM35" s="862" t="n">
        <f aca="false">AM8</f>
        <v>0</v>
      </c>
      <c r="AN35" s="862" t="n">
        <f aca="false">AN8</f>
        <v>0</v>
      </c>
      <c r="AO35" s="862" t="n">
        <f aca="false">AO8</f>
        <v>0</v>
      </c>
      <c r="AP35" s="862" t="n">
        <f aca="false">AP8</f>
        <v>0</v>
      </c>
      <c r="AQ35" s="862" t="n">
        <f aca="false">AQ8</f>
        <v>0</v>
      </c>
      <c r="AR35" s="862" t="n">
        <f aca="false">AR8</f>
        <v>0</v>
      </c>
      <c r="AS35" s="862" t="n">
        <f aca="false">AS8</f>
        <v>0</v>
      </c>
      <c r="AT35" s="862" t="n">
        <f aca="false">AT8</f>
        <v>0</v>
      </c>
      <c r="AU35" s="862" t="n">
        <f aca="false">AU8</f>
        <v>0</v>
      </c>
      <c r="AV35" s="862" t="n">
        <f aca="false">AV8</f>
        <v>0</v>
      </c>
      <c r="AW35" s="863" t="n">
        <f aca="false">AW8</f>
        <v>0</v>
      </c>
      <c r="AX35" s="864" t="n">
        <f aca="false">AX8</f>
        <v>0</v>
      </c>
      <c r="AY35" s="865" t="n">
        <f aca="false">AY8</f>
        <v>0</v>
      </c>
      <c r="AZ35" s="865" t="n">
        <f aca="false">AZ8</f>
        <v>0</v>
      </c>
      <c r="BA35" s="865" t="n">
        <f aca="false">BA8</f>
        <v>0</v>
      </c>
      <c r="BB35" s="865" t="n">
        <f aca="false">BB8</f>
        <v>0</v>
      </c>
      <c r="BC35" s="865" t="n">
        <f aca="false">BC8</f>
        <v>0</v>
      </c>
      <c r="BD35" s="865" t="n">
        <f aca="false">BD8</f>
        <v>0</v>
      </c>
      <c r="BE35" s="865" t="n">
        <f aca="false">BE8</f>
        <v>0</v>
      </c>
      <c r="BF35" s="865" t="n">
        <f aca="false">BF8</f>
        <v>0</v>
      </c>
      <c r="BG35" s="865" t="n">
        <f aca="false">BG8</f>
        <v>0</v>
      </c>
      <c r="BH35" s="865" t="n">
        <f aca="false">BH8</f>
        <v>0</v>
      </c>
      <c r="BI35" s="866" t="n">
        <f aca="false">BI8</f>
        <v>0</v>
      </c>
      <c r="BJ35" s="855" t="n">
        <f aca="false">SUM(B35:M35)</f>
        <v>0</v>
      </c>
      <c r="BK35" s="869" t="n">
        <f aca="false">SUM(N35:Y35)</f>
        <v>0</v>
      </c>
      <c r="BL35" s="869" t="n">
        <f aca="false">SUM(Z35:AK35)</f>
        <v>0</v>
      </c>
      <c r="BM35" s="869" t="n">
        <f aca="false">SUM(AL35:AW35)</f>
        <v>0</v>
      </c>
      <c r="BN35" s="869" t="n">
        <f aca="false">SUM(AX35:BI35)</f>
        <v>0</v>
      </c>
      <c r="BO35" s="896" t="str">
        <f aca="false">BO8</f>
        <v>Sale of Other Current Assets</v>
      </c>
    </row>
    <row r="36" customFormat="false" ht="12" hidden="false" customHeight="true" outlineLevel="0" collapsed="false">
      <c r="A36" s="897" t="str">
        <f aca="false">A9</f>
        <v>Purchase of Land</v>
      </c>
      <c r="B36" s="675" t="n">
        <f aca="false">-B9</f>
        <v>-0</v>
      </c>
      <c r="C36" s="675" t="n">
        <f aca="false">-C9</f>
        <v>-0</v>
      </c>
      <c r="D36" s="675" t="n">
        <f aca="false">-D9</f>
        <v>-0</v>
      </c>
      <c r="E36" s="675" t="n">
        <f aca="false">-E9</f>
        <v>-0</v>
      </c>
      <c r="F36" s="675" t="n">
        <f aca="false">-F9</f>
        <v>-0</v>
      </c>
      <c r="G36" s="675" t="n">
        <f aca="false">-G9</f>
        <v>-0</v>
      </c>
      <c r="H36" s="675" t="n">
        <f aca="false">-H9</f>
        <v>-0</v>
      </c>
      <c r="I36" s="675" t="n">
        <f aca="false">-I9</f>
        <v>-0</v>
      </c>
      <c r="J36" s="675" t="n">
        <f aca="false">-J9</f>
        <v>-0</v>
      </c>
      <c r="K36" s="675" t="n">
        <f aca="false">-K9</f>
        <v>-0</v>
      </c>
      <c r="L36" s="675" t="n">
        <f aca="false">-L9</f>
        <v>-0</v>
      </c>
      <c r="M36" s="855" t="n">
        <f aca="false">-M9</f>
        <v>-0</v>
      </c>
      <c r="N36" s="856" t="n">
        <f aca="false">-N9</f>
        <v>-0</v>
      </c>
      <c r="O36" s="856" t="n">
        <f aca="false">-O9</f>
        <v>-0</v>
      </c>
      <c r="P36" s="856" t="n">
        <f aca="false">-P9</f>
        <v>-0</v>
      </c>
      <c r="Q36" s="856" t="n">
        <f aca="false">-Q9</f>
        <v>-0</v>
      </c>
      <c r="R36" s="856" t="n">
        <f aca="false">-R9</f>
        <v>-0</v>
      </c>
      <c r="S36" s="856" t="n">
        <f aca="false">-S9</f>
        <v>-0</v>
      </c>
      <c r="T36" s="856" t="n">
        <f aca="false">-T9</f>
        <v>-0</v>
      </c>
      <c r="U36" s="856" t="n">
        <f aca="false">-U9</f>
        <v>-0</v>
      </c>
      <c r="V36" s="856" t="n">
        <f aca="false">-V9</f>
        <v>-0</v>
      </c>
      <c r="W36" s="856" t="n">
        <f aca="false">-W9</f>
        <v>-0</v>
      </c>
      <c r="X36" s="856" t="n">
        <f aca="false">-X9</f>
        <v>-0</v>
      </c>
      <c r="Y36" s="857" t="n">
        <f aca="false">-Y9</f>
        <v>-0</v>
      </c>
      <c r="Z36" s="858" t="n">
        <f aca="false">-Z9</f>
        <v>-0</v>
      </c>
      <c r="AA36" s="859" t="n">
        <f aca="false">-AA9</f>
        <v>-0</v>
      </c>
      <c r="AB36" s="859" t="n">
        <f aca="false">-AB9</f>
        <v>-0</v>
      </c>
      <c r="AC36" s="859" t="n">
        <f aca="false">-AC9</f>
        <v>-0</v>
      </c>
      <c r="AD36" s="859" t="n">
        <f aca="false">-AD9</f>
        <v>-0</v>
      </c>
      <c r="AE36" s="859" t="n">
        <f aca="false">-AE9</f>
        <v>-0</v>
      </c>
      <c r="AF36" s="859" t="n">
        <f aca="false">-AF9</f>
        <v>-0</v>
      </c>
      <c r="AG36" s="859" t="n">
        <f aca="false">-AG9</f>
        <v>-0</v>
      </c>
      <c r="AH36" s="859" t="n">
        <f aca="false">-AH9</f>
        <v>-0</v>
      </c>
      <c r="AI36" s="859" t="n">
        <f aca="false">-AI9</f>
        <v>-0</v>
      </c>
      <c r="AJ36" s="859" t="n">
        <f aca="false">-AJ9</f>
        <v>-0</v>
      </c>
      <c r="AK36" s="860" t="n">
        <f aca="false">-AK9</f>
        <v>-0</v>
      </c>
      <c r="AL36" s="861" t="n">
        <f aca="false">-AL9</f>
        <v>-0</v>
      </c>
      <c r="AM36" s="862" t="n">
        <f aca="false">-AM9</f>
        <v>-0</v>
      </c>
      <c r="AN36" s="862" t="n">
        <f aca="false">-AN9</f>
        <v>-0</v>
      </c>
      <c r="AO36" s="862" t="n">
        <f aca="false">-AO9</f>
        <v>-0</v>
      </c>
      <c r="AP36" s="862" t="n">
        <f aca="false">-AP9</f>
        <v>-0</v>
      </c>
      <c r="AQ36" s="862" t="n">
        <f aca="false">-AQ9</f>
        <v>-0</v>
      </c>
      <c r="AR36" s="862" t="n">
        <f aca="false">-AR9</f>
        <v>-0</v>
      </c>
      <c r="AS36" s="862" t="n">
        <f aca="false">-AS9</f>
        <v>-0</v>
      </c>
      <c r="AT36" s="862" t="n">
        <f aca="false">-AT9</f>
        <v>-0</v>
      </c>
      <c r="AU36" s="862" t="n">
        <f aca="false">-AU9</f>
        <v>-0</v>
      </c>
      <c r="AV36" s="862" t="n">
        <f aca="false">-AV9</f>
        <v>-0</v>
      </c>
      <c r="AW36" s="863" t="n">
        <f aca="false">-AW9</f>
        <v>-0</v>
      </c>
      <c r="AX36" s="864" t="n">
        <f aca="false">-AX9</f>
        <v>-0</v>
      </c>
      <c r="AY36" s="865" t="n">
        <f aca="false">-AY9</f>
        <v>-0</v>
      </c>
      <c r="AZ36" s="865" t="n">
        <f aca="false">-AZ9</f>
        <v>-0</v>
      </c>
      <c r="BA36" s="865" t="n">
        <f aca="false">-BA9</f>
        <v>-0</v>
      </c>
      <c r="BB36" s="865" t="n">
        <f aca="false">-BB9</f>
        <v>-0</v>
      </c>
      <c r="BC36" s="865" t="n">
        <f aca="false">-BC9</f>
        <v>-0</v>
      </c>
      <c r="BD36" s="865" t="n">
        <f aca="false">-BD9</f>
        <v>-0</v>
      </c>
      <c r="BE36" s="865" t="n">
        <f aca="false">-BE9</f>
        <v>-0</v>
      </c>
      <c r="BF36" s="865" t="n">
        <f aca="false">-BF9</f>
        <v>-0</v>
      </c>
      <c r="BG36" s="865" t="n">
        <f aca="false">-BG9</f>
        <v>-0</v>
      </c>
      <c r="BH36" s="865" t="n">
        <f aca="false">-BH9</f>
        <v>-0</v>
      </c>
      <c r="BI36" s="866" t="n">
        <f aca="false">-BI9</f>
        <v>-0</v>
      </c>
      <c r="BJ36" s="855" t="n">
        <f aca="false">SUM(B36:M36)</f>
        <v>0</v>
      </c>
      <c r="BK36" s="869" t="n">
        <f aca="false">SUM(N36:Y36)</f>
        <v>0</v>
      </c>
      <c r="BL36" s="869" t="n">
        <f aca="false">SUM(Z36:AK36)</f>
        <v>0</v>
      </c>
      <c r="BM36" s="869" t="n">
        <f aca="false">SUM(AL36:AW36)</f>
        <v>0</v>
      </c>
      <c r="BN36" s="869" t="n">
        <f aca="false">SUM(AX36:BI36)</f>
        <v>0</v>
      </c>
      <c r="BO36" s="896" t="str">
        <f aca="false">BO9</f>
        <v>Purchase of Land</v>
      </c>
    </row>
    <row r="37" customFormat="false" ht="12" hidden="false" customHeight="true" outlineLevel="0" collapsed="false">
      <c r="A37" s="897" t="str">
        <f aca="false">A10</f>
        <v>Sale of Land</v>
      </c>
      <c r="B37" s="675" t="n">
        <f aca="false">B10</f>
        <v>0</v>
      </c>
      <c r="C37" s="675" t="n">
        <f aca="false">C10</f>
        <v>0</v>
      </c>
      <c r="D37" s="675" t="n">
        <f aca="false">D10</f>
        <v>0</v>
      </c>
      <c r="E37" s="675" t="n">
        <f aca="false">E10</f>
        <v>0</v>
      </c>
      <c r="F37" s="675" t="n">
        <f aca="false">F10</f>
        <v>0</v>
      </c>
      <c r="G37" s="675" t="n">
        <f aca="false">G10</f>
        <v>0</v>
      </c>
      <c r="H37" s="675" t="n">
        <f aca="false">H10</f>
        <v>0</v>
      </c>
      <c r="I37" s="675" t="n">
        <f aca="false">I10</f>
        <v>0</v>
      </c>
      <c r="J37" s="675" t="n">
        <f aca="false">J10</f>
        <v>0</v>
      </c>
      <c r="K37" s="675" t="n">
        <f aca="false">K10</f>
        <v>0</v>
      </c>
      <c r="L37" s="675" t="n">
        <f aca="false">L10</f>
        <v>0</v>
      </c>
      <c r="M37" s="855" t="n">
        <f aca="false">M10</f>
        <v>0</v>
      </c>
      <c r="N37" s="856" t="n">
        <f aca="false">N10</f>
        <v>0</v>
      </c>
      <c r="O37" s="856" t="n">
        <f aca="false">O10</f>
        <v>0</v>
      </c>
      <c r="P37" s="856" t="n">
        <f aca="false">P10</f>
        <v>0</v>
      </c>
      <c r="Q37" s="856" t="n">
        <f aca="false">Q10</f>
        <v>0</v>
      </c>
      <c r="R37" s="856" t="n">
        <f aca="false">R10</f>
        <v>0</v>
      </c>
      <c r="S37" s="856" t="n">
        <f aca="false">S10</f>
        <v>0</v>
      </c>
      <c r="T37" s="856" t="n">
        <f aca="false">T10</f>
        <v>0</v>
      </c>
      <c r="U37" s="856" t="n">
        <f aca="false">U10</f>
        <v>0</v>
      </c>
      <c r="V37" s="856" t="n">
        <f aca="false">V10</f>
        <v>0</v>
      </c>
      <c r="W37" s="856" t="n">
        <f aca="false">W10</f>
        <v>0</v>
      </c>
      <c r="X37" s="856" t="n">
        <f aca="false">X10</f>
        <v>0</v>
      </c>
      <c r="Y37" s="857" t="n">
        <f aca="false">Y10</f>
        <v>0</v>
      </c>
      <c r="Z37" s="858" t="n">
        <f aca="false">Z10</f>
        <v>0</v>
      </c>
      <c r="AA37" s="859" t="n">
        <f aca="false">AA10</f>
        <v>0</v>
      </c>
      <c r="AB37" s="859" t="n">
        <f aca="false">AB10</f>
        <v>0</v>
      </c>
      <c r="AC37" s="859" t="n">
        <f aca="false">AC10</f>
        <v>0</v>
      </c>
      <c r="AD37" s="859" t="n">
        <f aca="false">AD10</f>
        <v>0</v>
      </c>
      <c r="AE37" s="859" t="n">
        <f aca="false">AE10</f>
        <v>0</v>
      </c>
      <c r="AF37" s="859" t="n">
        <f aca="false">AF10</f>
        <v>0</v>
      </c>
      <c r="AG37" s="859" t="n">
        <f aca="false">AG10</f>
        <v>0</v>
      </c>
      <c r="AH37" s="859" t="n">
        <f aca="false">AH10</f>
        <v>0</v>
      </c>
      <c r="AI37" s="859" t="n">
        <f aca="false">AI10</f>
        <v>0</v>
      </c>
      <c r="AJ37" s="859" t="n">
        <f aca="false">AJ10</f>
        <v>0</v>
      </c>
      <c r="AK37" s="860" t="n">
        <f aca="false">AK10</f>
        <v>0</v>
      </c>
      <c r="AL37" s="861" t="n">
        <f aca="false">AL10</f>
        <v>0</v>
      </c>
      <c r="AM37" s="862" t="n">
        <f aca="false">AM10</f>
        <v>0</v>
      </c>
      <c r="AN37" s="862" t="n">
        <f aca="false">AN10</f>
        <v>0</v>
      </c>
      <c r="AO37" s="862" t="n">
        <f aca="false">AO10</f>
        <v>0</v>
      </c>
      <c r="AP37" s="862" t="n">
        <f aca="false">AP10</f>
        <v>0</v>
      </c>
      <c r="AQ37" s="862" t="n">
        <f aca="false">AQ10</f>
        <v>0</v>
      </c>
      <c r="AR37" s="862" t="n">
        <f aca="false">AR10</f>
        <v>0</v>
      </c>
      <c r="AS37" s="862" t="n">
        <f aca="false">AS10</f>
        <v>0</v>
      </c>
      <c r="AT37" s="862" t="n">
        <f aca="false">AT10</f>
        <v>0</v>
      </c>
      <c r="AU37" s="862" t="n">
        <f aca="false">AU10</f>
        <v>0</v>
      </c>
      <c r="AV37" s="862" t="n">
        <f aca="false">AV10</f>
        <v>0</v>
      </c>
      <c r="AW37" s="863" t="n">
        <f aca="false">AW10</f>
        <v>0</v>
      </c>
      <c r="AX37" s="864" t="n">
        <f aca="false">AX10</f>
        <v>0</v>
      </c>
      <c r="AY37" s="865" t="n">
        <f aca="false">AY10</f>
        <v>0</v>
      </c>
      <c r="AZ37" s="865" t="n">
        <f aca="false">AZ10</f>
        <v>0</v>
      </c>
      <c r="BA37" s="865" t="n">
        <f aca="false">BA10</f>
        <v>0</v>
      </c>
      <c r="BB37" s="865" t="n">
        <f aca="false">BB10</f>
        <v>0</v>
      </c>
      <c r="BC37" s="865" t="n">
        <f aca="false">BC10</f>
        <v>0</v>
      </c>
      <c r="BD37" s="865" t="n">
        <f aca="false">BD10</f>
        <v>0</v>
      </c>
      <c r="BE37" s="865" t="n">
        <f aca="false">BE10</f>
        <v>0</v>
      </c>
      <c r="BF37" s="865" t="n">
        <f aca="false">BF10</f>
        <v>0</v>
      </c>
      <c r="BG37" s="865" t="n">
        <f aca="false">BG10</f>
        <v>0</v>
      </c>
      <c r="BH37" s="865" t="n">
        <f aca="false">BH10</f>
        <v>0</v>
      </c>
      <c r="BI37" s="866" t="n">
        <f aca="false">BI10</f>
        <v>0</v>
      </c>
      <c r="BJ37" s="855" t="n">
        <f aca="false">SUM(B37:M37)</f>
        <v>0</v>
      </c>
      <c r="BK37" s="869" t="n">
        <f aca="false">SUM(N37:Y37)</f>
        <v>0</v>
      </c>
      <c r="BL37" s="869" t="n">
        <f aca="false">SUM(Z37:AK37)</f>
        <v>0</v>
      </c>
      <c r="BM37" s="869" t="n">
        <f aca="false">SUM(AL37:AW37)</f>
        <v>0</v>
      </c>
      <c r="BN37" s="869" t="n">
        <f aca="false">SUM(AX37:BI37)</f>
        <v>0</v>
      </c>
      <c r="BO37" s="896" t="str">
        <f aca="false">BO10</f>
        <v>Sale of Land</v>
      </c>
    </row>
    <row r="38" customFormat="false" ht="12" hidden="false" customHeight="true" outlineLevel="0" collapsed="false">
      <c r="A38" s="897" t="s">
        <v>1764</v>
      </c>
      <c r="B38" s="675" t="n">
        <f aca="false">-B12-B11</f>
        <v>-0</v>
      </c>
      <c r="C38" s="675" t="n">
        <f aca="false">-C12-C11</f>
        <v>-0</v>
      </c>
      <c r="D38" s="675" t="n">
        <f aca="false">-D12-D11</f>
        <v>-0</v>
      </c>
      <c r="E38" s="675" t="n">
        <f aca="false">-E12-E11</f>
        <v>-0</v>
      </c>
      <c r="F38" s="675" t="n">
        <f aca="false">-F12-F11</f>
        <v>-0</v>
      </c>
      <c r="G38" s="675" t="n">
        <f aca="false">-G12-G11</f>
        <v>-0</v>
      </c>
      <c r="H38" s="675" t="n">
        <f aca="false">-H12-H11</f>
        <v>-5134620</v>
      </c>
      <c r="I38" s="675" t="n">
        <f aca="false">-I12-I11</f>
        <v>-3561594.6</v>
      </c>
      <c r="J38" s="675" t="n">
        <f aca="false">-J12-J11</f>
        <v>-2867523</v>
      </c>
      <c r="K38" s="675" t="n">
        <f aca="false">-K12-K11</f>
        <v>-3082255.8</v>
      </c>
      <c r="L38" s="675" t="n">
        <f aca="false">-L12-L11</f>
        <v>-2437385.4</v>
      </c>
      <c r="M38" s="855" t="n">
        <f aca="false">-M12-M11</f>
        <v>-3082255.8</v>
      </c>
      <c r="N38" s="856" t="n">
        <f aca="false">-N12-N11</f>
        <v>-2364185.4</v>
      </c>
      <c r="O38" s="856" t="n">
        <f aca="false">-O12-O11</f>
        <v>-466015.2</v>
      </c>
      <c r="P38" s="856" t="n">
        <f aca="false">-P12-P11</f>
        <v>-466015.2</v>
      </c>
      <c r="Q38" s="856" t="n">
        <f aca="false">-Q12-Q11</f>
        <v>-0</v>
      </c>
      <c r="R38" s="856" t="n">
        <f aca="false">-R12-R11</f>
        <v>-0</v>
      </c>
      <c r="S38" s="856" t="n">
        <f aca="false">-S12-S11</f>
        <v>-0</v>
      </c>
      <c r="T38" s="856" t="n">
        <f aca="false">-T12-T11</f>
        <v>-0</v>
      </c>
      <c r="U38" s="856" t="n">
        <f aca="false">-U12-U11</f>
        <v>-0</v>
      </c>
      <c r="V38" s="856" t="n">
        <f aca="false">-V12-V11</f>
        <v>-0</v>
      </c>
      <c r="W38" s="856" t="n">
        <f aca="false">-W12-W11</f>
        <v>-0</v>
      </c>
      <c r="X38" s="856" t="n">
        <f aca="false">-X12-X11</f>
        <v>-0</v>
      </c>
      <c r="Y38" s="857" t="n">
        <f aca="false">-Y12-Y11</f>
        <v>-0</v>
      </c>
      <c r="Z38" s="858" t="n">
        <f aca="false">-Z12-Z11</f>
        <v>-0</v>
      </c>
      <c r="AA38" s="859" t="n">
        <f aca="false">-AA12-AA11</f>
        <v>-0</v>
      </c>
      <c r="AB38" s="859" t="n">
        <f aca="false">-AB12-AB11</f>
        <v>-0</v>
      </c>
      <c r="AC38" s="859" t="n">
        <f aca="false">-AC12-AC11</f>
        <v>-0</v>
      </c>
      <c r="AD38" s="859" t="n">
        <f aca="false">-AD12-AD11</f>
        <v>-0</v>
      </c>
      <c r="AE38" s="859" t="n">
        <f aca="false">-AE12-AE11</f>
        <v>-0</v>
      </c>
      <c r="AF38" s="859" t="n">
        <f aca="false">-AF12-AF11</f>
        <v>-0</v>
      </c>
      <c r="AG38" s="859" t="n">
        <f aca="false">-AG12-AG11</f>
        <v>-0</v>
      </c>
      <c r="AH38" s="859" t="n">
        <f aca="false">-AH12-AH11</f>
        <v>-0</v>
      </c>
      <c r="AI38" s="859" t="n">
        <f aca="false">-AI12-AI11</f>
        <v>-0</v>
      </c>
      <c r="AJ38" s="859" t="n">
        <f aca="false">-AJ12-AJ11</f>
        <v>-0</v>
      </c>
      <c r="AK38" s="860" t="n">
        <f aca="false">-AK12-AK11</f>
        <v>-0</v>
      </c>
      <c r="AL38" s="861" t="n">
        <f aca="false">-AL12-AL11</f>
        <v>-0</v>
      </c>
      <c r="AM38" s="862" t="n">
        <f aca="false">-AM12-AM11</f>
        <v>-0</v>
      </c>
      <c r="AN38" s="862" t="n">
        <f aca="false">-AN12-AN11</f>
        <v>-0</v>
      </c>
      <c r="AO38" s="862" t="n">
        <f aca="false">-AO12-AO11</f>
        <v>-0</v>
      </c>
      <c r="AP38" s="862" t="n">
        <f aca="false">-AP12-AP11</f>
        <v>-0</v>
      </c>
      <c r="AQ38" s="862" t="n">
        <f aca="false">-AQ12-AQ11</f>
        <v>-0</v>
      </c>
      <c r="AR38" s="862" t="n">
        <f aca="false">-AR12-AR11</f>
        <v>-0</v>
      </c>
      <c r="AS38" s="862" t="n">
        <f aca="false">-AS12-AS11</f>
        <v>-0</v>
      </c>
      <c r="AT38" s="862" t="n">
        <f aca="false">-AT12-AT11</f>
        <v>-0</v>
      </c>
      <c r="AU38" s="862" t="n">
        <f aca="false">-AU12-AU11</f>
        <v>-0</v>
      </c>
      <c r="AV38" s="862" t="n">
        <f aca="false">-AV12-AV11</f>
        <v>-0</v>
      </c>
      <c r="AW38" s="863" t="n">
        <f aca="false">-AW12-AW11</f>
        <v>-0</v>
      </c>
      <c r="AX38" s="864" t="n">
        <f aca="false">-AX12-AX11</f>
        <v>-0</v>
      </c>
      <c r="AY38" s="865" t="n">
        <f aca="false">-AY12-AY11</f>
        <v>-0</v>
      </c>
      <c r="AZ38" s="865" t="n">
        <f aca="false">-AZ12-AZ11</f>
        <v>-0</v>
      </c>
      <c r="BA38" s="865" t="n">
        <f aca="false">-BA12-BA11</f>
        <v>-0</v>
      </c>
      <c r="BB38" s="865" t="n">
        <f aca="false">-BB12-BB11</f>
        <v>-0</v>
      </c>
      <c r="BC38" s="865" t="n">
        <f aca="false">-BC12-BC11</f>
        <v>-0</v>
      </c>
      <c r="BD38" s="865" t="n">
        <f aca="false">-BD12-BD11</f>
        <v>-0</v>
      </c>
      <c r="BE38" s="865" t="n">
        <f aca="false">-BE12-BE11</f>
        <v>-0</v>
      </c>
      <c r="BF38" s="865" t="n">
        <f aca="false">-BF12-BF11</f>
        <v>-0</v>
      </c>
      <c r="BG38" s="865" t="n">
        <f aca="false">-BG12-BG11</f>
        <v>-0</v>
      </c>
      <c r="BH38" s="865" t="n">
        <f aca="false">-BH12-BH11</f>
        <v>-0</v>
      </c>
      <c r="BI38" s="866" t="n">
        <f aca="false">-BI12-BI11</f>
        <v>-0</v>
      </c>
      <c r="BJ38" s="855" t="n">
        <f aca="false">SUM(B38:M38)</f>
        <v>-20165634.6</v>
      </c>
      <c r="BK38" s="869" t="n">
        <f aca="false">SUM(N38:Y38)</f>
        <v>-3296215.8</v>
      </c>
      <c r="BL38" s="869" t="n">
        <f aca="false">SUM(Z38:AK38)</f>
        <v>0</v>
      </c>
      <c r="BM38" s="869" t="n">
        <f aca="false">SUM(AL38:AW38)</f>
        <v>0</v>
      </c>
      <c r="BN38" s="869" t="n">
        <f aca="false">SUM(AX38:BI38)</f>
        <v>0</v>
      </c>
      <c r="BO38" s="896" t="s">
        <v>1764</v>
      </c>
    </row>
    <row r="39" customFormat="false" ht="12" hidden="false" customHeight="true" outlineLevel="0" collapsed="false">
      <c r="A39" s="897" t="str">
        <f aca="false">A13</f>
        <v>Sale of Long-term Assets</v>
      </c>
      <c r="B39" s="675" t="n">
        <f aca="false">B13</f>
        <v>0</v>
      </c>
      <c r="C39" s="675" t="n">
        <f aca="false">C13</f>
        <v>0</v>
      </c>
      <c r="D39" s="675" t="n">
        <f aca="false">D13</f>
        <v>0</v>
      </c>
      <c r="E39" s="675" t="n">
        <f aca="false">E13</f>
        <v>0</v>
      </c>
      <c r="F39" s="675" t="n">
        <f aca="false">F13</f>
        <v>0</v>
      </c>
      <c r="G39" s="675" t="n">
        <f aca="false">G13</f>
        <v>0</v>
      </c>
      <c r="H39" s="675" t="n">
        <f aca="false">H13</f>
        <v>0</v>
      </c>
      <c r="I39" s="675" t="n">
        <f aca="false">I13</f>
        <v>0</v>
      </c>
      <c r="J39" s="675" t="n">
        <f aca="false">J13</f>
        <v>0</v>
      </c>
      <c r="K39" s="675" t="n">
        <f aca="false">K13</f>
        <v>0</v>
      </c>
      <c r="L39" s="675" t="n">
        <f aca="false">L13</f>
        <v>0</v>
      </c>
      <c r="M39" s="855" t="n">
        <f aca="false">M13</f>
        <v>0</v>
      </c>
      <c r="N39" s="856" t="n">
        <f aca="false">N13</f>
        <v>0</v>
      </c>
      <c r="O39" s="856" t="n">
        <f aca="false">O13</f>
        <v>0</v>
      </c>
      <c r="P39" s="856" t="n">
        <f aca="false">P13</f>
        <v>0</v>
      </c>
      <c r="Q39" s="856" t="n">
        <f aca="false">Q13</f>
        <v>0</v>
      </c>
      <c r="R39" s="856" t="n">
        <f aca="false">R13</f>
        <v>0</v>
      </c>
      <c r="S39" s="856" t="n">
        <f aca="false">S13</f>
        <v>0</v>
      </c>
      <c r="T39" s="856" t="n">
        <f aca="false">T13</f>
        <v>0</v>
      </c>
      <c r="U39" s="856" t="n">
        <f aca="false">U13</f>
        <v>0</v>
      </c>
      <c r="V39" s="856" t="n">
        <f aca="false">V13</f>
        <v>0</v>
      </c>
      <c r="W39" s="856" t="n">
        <f aca="false">W13</f>
        <v>0</v>
      </c>
      <c r="X39" s="856" t="n">
        <f aca="false">X13</f>
        <v>0</v>
      </c>
      <c r="Y39" s="857" t="n">
        <f aca="false">Y13</f>
        <v>0</v>
      </c>
      <c r="Z39" s="858" t="n">
        <f aca="false">Z13</f>
        <v>0</v>
      </c>
      <c r="AA39" s="859" t="n">
        <f aca="false">AA13</f>
        <v>0</v>
      </c>
      <c r="AB39" s="859" t="n">
        <f aca="false">AB13</f>
        <v>0</v>
      </c>
      <c r="AC39" s="859" t="n">
        <f aca="false">AC13</f>
        <v>0</v>
      </c>
      <c r="AD39" s="859" t="n">
        <f aca="false">AD13</f>
        <v>0</v>
      </c>
      <c r="AE39" s="859" t="n">
        <f aca="false">AE13</f>
        <v>0</v>
      </c>
      <c r="AF39" s="859" t="n">
        <f aca="false">AF13</f>
        <v>0</v>
      </c>
      <c r="AG39" s="859" t="n">
        <f aca="false">AG13</f>
        <v>0</v>
      </c>
      <c r="AH39" s="859" t="n">
        <f aca="false">AH13</f>
        <v>0</v>
      </c>
      <c r="AI39" s="859" t="n">
        <f aca="false">AI13</f>
        <v>0</v>
      </c>
      <c r="AJ39" s="859" t="n">
        <f aca="false">AJ13</f>
        <v>0</v>
      </c>
      <c r="AK39" s="860" t="n">
        <f aca="false">AK13</f>
        <v>0</v>
      </c>
      <c r="AL39" s="861" t="n">
        <f aca="false">AL13</f>
        <v>0</v>
      </c>
      <c r="AM39" s="862" t="n">
        <f aca="false">AM13</f>
        <v>0</v>
      </c>
      <c r="AN39" s="862" t="n">
        <f aca="false">AN13</f>
        <v>0</v>
      </c>
      <c r="AO39" s="862" t="n">
        <f aca="false">AO13</f>
        <v>0</v>
      </c>
      <c r="AP39" s="862" t="n">
        <f aca="false">AP13</f>
        <v>0</v>
      </c>
      <c r="AQ39" s="862" t="n">
        <f aca="false">AQ13</f>
        <v>0</v>
      </c>
      <c r="AR39" s="862" t="n">
        <f aca="false">AR13</f>
        <v>0</v>
      </c>
      <c r="AS39" s="862" t="n">
        <f aca="false">AS13</f>
        <v>0</v>
      </c>
      <c r="AT39" s="862" t="n">
        <f aca="false">AT13</f>
        <v>0</v>
      </c>
      <c r="AU39" s="862" t="n">
        <f aca="false">AU13</f>
        <v>0</v>
      </c>
      <c r="AV39" s="862" t="n">
        <f aca="false">AV13</f>
        <v>0</v>
      </c>
      <c r="AW39" s="863" t="n">
        <f aca="false">AW13</f>
        <v>0</v>
      </c>
      <c r="AX39" s="864" t="n">
        <f aca="false">AX13</f>
        <v>0</v>
      </c>
      <c r="AY39" s="865" t="n">
        <f aca="false">AY13</f>
        <v>0</v>
      </c>
      <c r="AZ39" s="865" t="n">
        <f aca="false">AZ13</f>
        <v>0</v>
      </c>
      <c r="BA39" s="865" t="n">
        <f aca="false">BA13</f>
        <v>0</v>
      </c>
      <c r="BB39" s="865" t="n">
        <f aca="false">BB13</f>
        <v>0</v>
      </c>
      <c r="BC39" s="865" t="n">
        <f aca="false">BC13</f>
        <v>0</v>
      </c>
      <c r="BD39" s="865" t="n">
        <f aca="false">BD13</f>
        <v>0</v>
      </c>
      <c r="BE39" s="865" t="n">
        <f aca="false">BE13</f>
        <v>0</v>
      </c>
      <c r="BF39" s="865" t="n">
        <f aca="false">BF13</f>
        <v>0</v>
      </c>
      <c r="BG39" s="865" t="n">
        <f aca="false">BG13</f>
        <v>0</v>
      </c>
      <c r="BH39" s="865" t="n">
        <f aca="false">BH13</f>
        <v>0</v>
      </c>
      <c r="BI39" s="866" t="n">
        <f aca="false">BI13</f>
        <v>0</v>
      </c>
      <c r="BJ39" s="855" t="n">
        <f aca="false">SUM(B39:M39)</f>
        <v>0</v>
      </c>
      <c r="BK39" s="869" t="n">
        <f aca="false">SUM(N39:Y39)</f>
        <v>0</v>
      </c>
      <c r="BL39" s="869" t="n">
        <f aca="false">SUM(Z39:AK39)</f>
        <v>0</v>
      </c>
      <c r="BM39" s="869" t="n">
        <f aca="false">SUM(AL39:AW39)</f>
        <v>0</v>
      </c>
      <c r="BN39" s="869" t="n">
        <f aca="false">SUM(AX39:BI39)</f>
        <v>0</v>
      </c>
      <c r="BO39" s="896" t="str">
        <f aca="false">BO13</f>
        <v>Sale of Long-term Assets</v>
      </c>
    </row>
    <row r="40" s="887" customFormat="true" ht="10.5" hidden="false" customHeight="true" outlineLevel="0" collapsed="false">
      <c r="A40" s="898" t="s">
        <v>1765</v>
      </c>
      <c r="B40" s="872" t="n">
        <f aca="false">SUM(B34:B39)</f>
        <v>0</v>
      </c>
      <c r="C40" s="872" t="n">
        <f aca="false">SUM(C34:C39)</f>
        <v>0</v>
      </c>
      <c r="D40" s="872" t="n">
        <f aca="false">SUM(D34:D39)</f>
        <v>0</v>
      </c>
      <c r="E40" s="872" t="n">
        <f aca="false">SUM(E34:E39)</f>
        <v>0</v>
      </c>
      <c r="F40" s="872" t="n">
        <f aca="false">SUM(F34:F39)</f>
        <v>0</v>
      </c>
      <c r="G40" s="872" t="n">
        <f aca="false">SUM(G34:G39)</f>
        <v>0</v>
      </c>
      <c r="H40" s="872" t="n">
        <f aca="false">SUM(H34:H39)</f>
        <v>-5134620</v>
      </c>
      <c r="I40" s="872" t="n">
        <f aca="false">SUM(I34:I39)</f>
        <v>-3561594.6</v>
      </c>
      <c r="J40" s="872" t="n">
        <f aca="false">SUM(J34:J39)</f>
        <v>-2867523</v>
      </c>
      <c r="K40" s="872" t="n">
        <f aca="false">SUM(K34:K39)</f>
        <v>-3082255.8</v>
      </c>
      <c r="L40" s="872" t="n">
        <f aca="false">SUM(L34:L39)</f>
        <v>-2437385.4</v>
      </c>
      <c r="M40" s="873" t="n">
        <f aca="false">SUM(M34:M39)</f>
        <v>-3082255.8</v>
      </c>
      <c r="N40" s="874" t="n">
        <f aca="false">SUM(N34:N39)</f>
        <v>-2364185.4</v>
      </c>
      <c r="O40" s="874" t="n">
        <f aca="false">SUM(O34:O39)</f>
        <v>-466015.2</v>
      </c>
      <c r="P40" s="874" t="n">
        <f aca="false">SUM(P34:P39)</f>
        <v>-466015.2</v>
      </c>
      <c r="Q40" s="874" t="n">
        <f aca="false">SUM(Q34:Q39)</f>
        <v>0</v>
      </c>
      <c r="R40" s="874" t="n">
        <f aca="false">SUM(R34:R39)</f>
        <v>0</v>
      </c>
      <c r="S40" s="874" t="n">
        <f aca="false">SUM(S34:S39)</f>
        <v>0</v>
      </c>
      <c r="T40" s="874" t="n">
        <f aca="false">SUM(T34:T39)</f>
        <v>0</v>
      </c>
      <c r="U40" s="874" t="n">
        <f aca="false">SUM(U34:U39)</f>
        <v>0</v>
      </c>
      <c r="V40" s="874" t="n">
        <f aca="false">SUM(V34:V39)</f>
        <v>0</v>
      </c>
      <c r="W40" s="874" t="n">
        <f aca="false">SUM(W34:W39)</f>
        <v>0</v>
      </c>
      <c r="X40" s="874" t="n">
        <f aca="false">SUM(X34:X39)</f>
        <v>0</v>
      </c>
      <c r="Y40" s="875" t="n">
        <f aca="false">SUM(Y34:Y39)</f>
        <v>0</v>
      </c>
      <c r="Z40" s="876" t="n">
        <f aca="false">SUM(Z34:Z39)</f>
        <v>0</v>
      </c>
      <c r="AA40" s="877" t="n">
        <f aca="false">SUM(AA34:AA39)</f>
        <v>0</v>
      </c>
      <c r="AB40" s="877" t="n">
        <f aca="false">SUM(AB34:AB39)</f>
        <v>0</v>
      </c>
      <c r="AC40" s="877" t="n">
        <f aca="false">SUM(AC34:AC39)</f>
        <v>0</v>
      </c>
      <c r="AD40" s="877" t="n">
        <f aca="false">SUM(AD34:AD39)</f>
        <v>0</v>
      </c>
      <c r="AE40" s="877" t="n">
        <f aca="false">SUM(AE34:AE39)</f>
        <v>0</v>
      </c>
      <c r="AF40" s="877" t="n">
        <f aca="false">SUM(AF34:AF39)</f>
        <v>0</v>
      </c>
      <c r="AG40" s="877" t="n">
        <f aca="false">SUM(AG34:AG39)</f>
        <v>0</v>
      </c>
      <c r="AH40" s="877" t="n">
        <f aca="false">SUM(AH34:AH39)</f>
        <v>0</v>
      </c>
      <c r="AI40" s="877" t="n">
        <f aca="false">SUM(AI34:AI39)</f>
        <v>0</v>
      </c>
      <c r="AJ40" s="877" t="n">
        <f aca="false">SUM(AJ34:AJ39)</f>
        <v>0</v>
      </c>
      <c r="AK40" s="878" t="n">
        <f aca="false">SUM(AK34:AK39)</f>
        <v>0</v>
      </c>
      <c r="AL40" s="879" t="n">
        <f aca="false">SUM(AL34:AL39)</f>
        <v>0</v>
      </c>
      <c r="AM40" s="880" t="n">
        <f aca="false">SUM(AM34:AM39)</f>
        <v>0</v>
      </c>
      <c r="AN40" s="880" t="n">
        <f aca="false">SUM(AN34:AN39)</f>
        <v>0</v>
      </c>
      <c r="AO40" s="880" t="n">
        <f aca="false">SUM(AO34:AO39)</f>
        <v>0</v>
      </c>
      <c r="AP40" s="880" t="n">
        <f aca="false">SUM(AP34:AP39)</f>
        <v>0</v>
      </c>
      <c r="AQ40" s="880" t="n">
        <f aca="false">SUM(AQ34:AQ39)</f>
        <v>0</v>
      </c>
      <c r="AR40" s="880" t="n">
        <f aca="false">SUM(AR34:AR39)</f>
        <v>0</v>
      </c>
      <c r="AS40" s="880" t="n">
        <f aca="false">SUM(AS34:AS39)</f>
        <v>0</v>
      </c>
      <c r="AT40" s="880" t="n">
        <f aca="false">SUM(AT34:AT39)</f>
        <v>0</v>
      </c>
      <c r="AU40" s="880" t="n">
        <f aca="false">SUM(AU34:AU39)</f>
        <v>0</v>
      </c>
      <c r="AV40" s="880" t="n">
        <f aca="false">SUM(AV34:AV39)</f>
        <v>0</v>
      </c>
      <c r="AW40" s="881" t="n">
        <f aca="false">SUM(AW34:AW39)</f>
        <v>0</v>
      </c>
      <c r="AX40" s="882" t="n">
        <f aca="false">SUM(AX34:AX39)</f>
        <v>0</v>
      </c>
      <c r="AY40" s="883" t="n">
        <f aca="false">SUM(AY34:AY39)</f>
        <v>0</v>
      </c>
      <c r="AZ40" s="883" t="n">
        <f aca="false">SUM(AZ34:AZ39)</f>
        <v>0</v>
      </c>
      <c r="BA40" s="883" t="n">
        <f aca="false">SUM(BA34:BA39)</f>
        <v>0</v>
      </c>
      <c r="BB40" s="883" t="n">
        <f aca="false">SUM(BB34:BB39)</f>
        <v>0</v>
      </c>
      <c r="BC40" s="883" t="n">
        <f aca="false">SUM(BC34:BC39)</f>
        <v>0</v>
      </c>
      <c r="BD40" s="883" t="n">
        <f aca="false">SUM(BD34:BD39)</f>
        <v>0</v>
      </c>
      <c r="BE40" s="883" t="n">
        <f aca="false">SUM(BE34:BE39)</f>
        <v>0</v>
      </c>
      <c r="BF40" s="883" t="n">
        <f aca="false">SUM(BF34:BF39)</f>
        <v>0</v>
      </c>
      <c r="BG40" s="883" t="n">
        <f aca="false">SUM(BG34:BG39)</f>
        <v>0</v>
      </c>
      <c r="BH40" s="883" t="n">
        <f aca="false">SUM(BH34:BH39)</f>
        <v>0</v>
      </c>
      <c r="BI40" s="884" t="n">
        <f aca="false">SUM(BI34:BI39)</f>
        <v>0</v>
      </c>
      <c r="BJ40" s="885" t="n">
        <f aca="false">SUM(B40:M40)</f>
        <v>-20165634.6</v>
      </c>
      <c r="BK40" s="870" t="n">
        <f aca="false">SUM(N40:Y40)</f>
        <v>-3296215.8</v>
      </c>
      <c r="BL40" s="870" t="n">
        <f aca="false">SUM(Z40:AK40)</f>
        <v>0</v>
      </c>
      <c r="BM40" s="870" t="n">
        <f aca="false">SUM(AL40:AW40)</f>
        <v>0</v>
      </c>
      <c r="BN40" s="870" t="n">
        <f aca="false">SUM(AX40:BI40)</f>
        <v>0</v>
      </c>
      <c r="BO40" s="899" t="s">
        <v>1765</v>
      </c>
    </row>
    <row r="41" customFormat="false" ht="12.75" hidden="false" customHeight="true" outlineLevel="0" collapsed="false">
      <c r="A41" s="836"/>
      <c r="B41" s="675"/>
      <c r="C41" s="675"/>
      <c r="D41" s="675"/>
      <c r="E41" s="675"/>
      <c r="F41" s="675"/>
      <c r="G41" s="675"/>
      <c r="H41" s="675"/>
      <c r="I41" s="675"/>
      <c r="J41" s="675"/>
      <c r="K41" s="675"/>
      <c r="L41" s="675"/>
      <c r="M41" s="835"/>
      <c r="N41" s="736"/>
      <c r="O41" s="736"/>
      <c r="P41" s="736"/>
      <c r="Q41" s="736"/>
      <c r="R41" s="736"/>
      <c r="S41" s="736"/>
      <c r="T41" s="736"/>
      <c r="U41" s="736"/>
      <c r="V41" s="736"/>
      <c r="W41" s="736"/>
      <c r="X41" s="736"/>
      <c r="Y41" s="737"/>
      <c r="Z41" s="738"/>
      <c r="AA41" s="736"/>
      <c r="AB41" s="736"/>
      <c r="AC41" s="736"/>
      <c r="AD41" s="736"/>
      <c r="AE41" s="736"/>
      <c r="AF41" s="736"/>
      <c r="AG41" s="736"/>
      <c r="AH41" s="736"/>
      <c r="AI41" s="736"/>
      <c r="AJ41" s="736"/>
      <c r="AK41" s="737"/>
      <c r="AL41" s="738"/>
      <c r="AM41" s="736"/>
      <c r="AN41" s="736"/>
      <c r="AO41" s="736"/>
      <c r="AP41" s="736"/>
      <c r="AQ41" s="736"/>
      <c r="AR41" s="736"/>
      <c r="AS41" s="736"/>
      <c r="AT41" s="736"/>
      <c r="AU41" s="736"/>
      <c r="AV41" s="736"/>
      <c r="AW41" s="737"/>
      <c r="AX41" s="738"/>
      <c r="AY41" s="736"/>
      <c r="AZ41" s="736"/>
      <c r="BA41" s="736"/>
      <c r="BB41" s="736"/>
      <c r="BC41" s="736"/>
      <c r="BD41" s="736"/>
      <c r="BE41" s="736"/>
      <c r="BF41" s="736"/>
      <c r="BG41" s="736"/>
      <c r="BH41" s="736"/>
      <c r="BI41" s="737"/>
      <c r="BJ41" s="835"/>
      <c r="BK41" s="900"/>
      <c r="BL41" s="900"/>
      <c r="BM41" s="900"/>
      <c r="BN41" s="900"/>
      <c r="BO41" s="835"/>
    </row>
    <row r="42" customFormat="false" ht="12.75" hidden="false" customHeight="true" outlineLevel="0" collapsed="false">
      <c r="A42" s="894" t="s">
        <v>1766</v>
      </c>
      <c r="B42" s="901"/>
      <c r="C42" s="667"/>
      <c r="D42" s="667"/>
      <c r="E42" s="667"/>
      <c r="F42" s="667"/>
      <c r="G42" s="667"/>
      <c r="H42" s="667"/>
      <c r="I42" s="667"/>
      <c r="J42" s="667"/>
      <c r="K42" s="667"/>
      <c r="L42" s="667"/>
      <c r="M42" s="902"/>
      <c r="N42" s="856"/>
      <c r="O42" s="856"/>
      <c r="P42" s="856"/>
      <c r="Q42" s="856"/>
      <c r="R42" s="856"/>
      <c r="S42" s="856"/>
      <c r="T42" s="856"/>
      <c r="U42" s="856"/>
      <c r="V42" s="856"/>
      <c r="W42" s="856"/>
      <c r="X42" s="856"/>
      <c r="Y42" s="857"/>
      <c r="Z42" s="858"/>
      <c r="AA42" s="859"/>
      <c r="AB42" s="859"/>
      <c r="AC42" s="859"/>
      <c r="AD42" s="859"/>
      <c r="AE42" s="859"/>
      <c r="AF42" s="859"/>
      <c r="AG42" s="859"/>
      <c r="AH42" s="859"/>
      <c r="AI42" s="859"/>
      <c r="AJ42" s="859"/>
      <c r="AK42" s="860"/>
      <c r="AL42" s="861"/>
      <c r="AM42" s="862"/>
      <c r="AN42" s="862"/>
      <c r="AO42" s="862"/>
      <c r="AP42" s="862"/>
      <c r="AQ42" s="862"/>
      <c r="AR42" s="862"/>
      <c r="AS42" s="862"/>
      <c r="AT42" s="862"/>
      <c r="AU42" s="862"/>
      <c r="AV42" s="862"/>
      <c r="AW42" s="863"/>
      <c r="AX42" s="864"/>
      <c r="AY42" s="865"/>
      <c r="AZ42" s="865"/>
      <c r="BA42" s="865"/>
      <c r="BB42" s="865"/>
      <c r="BC42" s="865"/>
      <c r="BD42" s="865"/>
      <c r="BE42" s="865"/>
      <c r="BF42" s="865"/>
      <c r="BG42" s="865"/>
      <c r="BH42" s="865"/>
      <c r="BI42" s="866"/>
      <c r="BJ42" s="855"/>
      <c r="BK42" s="869"/>
      <c r="BL42" s="869"/>
      <c r="BM42" s="869"/>
      <c r="BN42" s="869"/>
      <c r="BO42" s="886" t="s">
        <v>1766</v>
      </c>
    </row>
    <row r="43" customFormat="false" ht="12" hidden="false" customHeight="true" outlineLevel="0" collapsed="false">
      <c r="A43" s="903" t="s">
        <v>1767</v>
      </c>
      <c r="B43" s="904" t="n">
        <f aca="false">B19</f>
        <v>10000000</v>
      </c>
      <c r="C43" s="905" t="n">
        <f aca="false">C19</f>
        <v>0</v>
      </c>
      <c r="D43" s="905" t="n">
        <f aca="false">D19</f>
        <v>0</v>
      </c>
      <c r="E43" s="905" t="n">
        <f aca="false">E19</f>
        <v>0</v>
      </c>
      <c r="F43" s="905" t="n">
        <f aca="false">F19</f>
        <v>0</v>
      </c>
      <c r="G43" s="905" t="n">
        <f aca="false">G19</f>
        <v>0</v>
      </c>
      <c r="H43" s="905" t="n">
        <f aca="false">H19</f>
        <v>0</v>
      </c>
      <c r="I43" s="905" t="n">
        <f aca="false">I19</f>
        <v>0</v>
      </c>
      <c r="J43" s="905" t="n">
        <f aca="false">J19</f>
        <v>0</v>
      </c>
      <c r="K43" s="905" t="n">
        <f aca="false">K19</f>
        <v>0</v>
      </c>
      <c r="L43" s="905" t="n">
        <f aca="false">L19</f>
        <v>0</v>
      </c>
      <c r="M43" s="885" t="n">
        <f aca="false">M19</f>
        <v>0</v>
      </c>
      <c r="N43" s="856" t="n">
        <f aca="false">N19</f>
        <v>0</v>
      </c>
      <c r="O43" s="856" t="n">
        <f aca="false">O19</f>
        <v>0</v>
      </c>
      <c r="P43" s="856" t="n">
        <f aca="false">P19</f>
        <v>0</v>
      </c>
      <c r="Q43" s="856" t="n">
        <f aca="false">Q19</f>
        <v>0</v>
      </c>
      <c r="R43" s="856" t="n">
        <f aca="false">R19</f>
        <v>0</v>
      </c>
      <c r="S43" s="856" t="n">
        <f aca="false">S19</f>
        <v>0</v>
      </c>
      <c r="T43" s="856" t="n">
        <f aca="false">T19</f>
        <v>0</v>
      </c>
      <c r="U43" s="856" t="n">
        <f aca="false">U19</f>
        <v>0</v>
      </c>
      <c r="V43" s="856" t="n">
        <f aca="false">V19</f>
        <v>0</v>
      </c>
      <c r="W43" s="856" t="n">
        <f aca="false">W19</f>
        <v>0</v>
      </c>
      <c r="X43" s="856" t="n">
        <f aca="false">X19</f>
        <v>0</v>
      </c>
      <c r="Y43" s="857" t="n">
        <f aca="false">Y19</f>
        <v>0</v>
      </c>
      <c r="Z43" s="858" t="n">
        <f aca="false">Z19</f>
        <v>0</v>
      </c>
      <c r="AA43" s="859" t="n">
        <f aca="false">AA19</f>
        <v>0</v>
      </c>
      <c r="AB43" s="859" t="n">
        <f aca="false">AB19</f>
        <v>0</v>
      </c>
      <c r="AC43" s="859" t="n">
        <f aca="false">AC19</f>
        <v>0</v>
      </c>
      <c r="AD43" s="859" t="n">
        <f aca="false">AD19</f>
        <v>0</v>
      </c>
      <c r="AE43" s="859" t="n">
        <f aca="false">AE19</f>
        <v>0</v>
      </c>
      <c r="AF43" s="859" t="n">
        <f aca="false">AF19</f>
        <v>0</v>
      </c>
      <c r="AG43" s="859" t="n">
        <f aca="false">AG19</f>
        <v>0</v>
      </c>
      <c r="AH43" s="859" t="n">
        <f aca="false">AH19</f>
        <v>0</v>
      </c>
      <c r="AI43" s="859" t="n">
        <f aca="false">AI19</f>
        <v>0</v>
      </c>
      <c r="AJ43" s="859" t="n">
        <f aca="false">AJ19</f>
        <v>0</v>
      </c>
      <c r="AK43" s="860" t="n">
        <f aca="false">AK19</f>
        <v>0</v>
      </c>
      <c r="AL43" s="861" t="n">
        <f aca="false">AL19</f>
        <v>0</v>
      </c>
      <c r="AM43" s="862" t="n">
        <f aca="false">AM19</f>
        <v>0</v>
      </c>
      <c r="AN43" s="862" t="n">
        <f aca="false">AN19</f>
        <v>0</v>
      </c>
      <c r="AO43" s="862" t="n">
        <f aca="false">AO19</f>
        <v>0</v>
      </c>
      <c r="AP43" s="862" t="n">
        <f aca="false">AP19</f>
        <v>0</v>
      </c>
      <c r="AQ43" s="862" t="n">
        <f aca="false">AQ19</f>
        <v>0</v>
      </c>
      <c r="AR43" s="862" t="n">
        <f aca="false">AR19</f>
        <v>0</v>
      </c>
      <c r="AS43" s="862" t="n">
        <f aca="false">AS19</f>
        <v>0</v>
      </c>
      <c r="AT43" s="862" t="n">
        <f aca="false">AT19</f>
        <v>0</v>
      </c>
      <c r="AU43" s="862" t="n">
        <f aca="false">AU19</f>
        <v>0</v>
      </c>
      <c r="AV43" s="862" t="n">
        <f aca="false">AV19</f>
        <v>0</v>
      </c>
      <c r="AW43" s="863" t="n">
        <f aca="false">AW19</f>
        <v>0</v>
      </c>
      <c r="AX43" s="864" t="n">
        <f aca="false">AX19</f>
        <v>0</v>
      </c>
      <c r="AY43" s="865" t="n">
        <f aca="false">AY19</f>
        <v>0</v>
      </c>
      <c r="AZ43" s="865" t="n">
        <f aca="false">AZ19</f>
        <v>0</v>
      </c>
      <c r="BA43" s="865" t="n">
        <f aca="false">BA19</f>
        <v>0</v>
      </c>
      <c r="BB43" s="865" t="n">
        <f aca="false">BB19</f>
        <v>0</v>
      </c>
      <c r="BC43" s="865" t="n">
        <f aca="false">BC19</f>
        <v>0</v>
      </c>
      <c r="BD43" s="865" t="n">
        <f aca="false">BD19</f>
        <v>0</v>
      </c>
      <c r="BE43" s="865" t="n">
        <f aca="false">BE19</f>
        <v>0</v>
      </c>
      <c r="BF43" s="865" t="n">
        <f aca="false">BF19</f>
        <v>0</v>
      </c>
      <c r="BG43" s="865" t="n">
        <f aca="false">BG19</f>
        <v>0</v>
      </c>
      <c r="BH43" s="865" t="n">
        <f aca="false">BH19</f>
        <v>0</v>
      </c>
      <c r="BI43" s="866" t="n">
        <f aca="false">BI19</f>
        <v>0</v>
      </c>
      <c r="BJ43" s="855" t="n">
        <f aca="false">SUM(B43:M43)</f>
        <v>10000000</v>
      </c>
      <c r="BK43" s="869" t="n">
        <f aca="false">SUM(N43:Y43)</f>
        <v>0</v>
      </c>
      <c r="BL43" s="869" t="n">
        <f aca="false">SUM(Z43:AK43)</f>
        <v>0</v>
      </c>
      <c r="BM43" s="869" t="n">
        <f aca="false">SUM(AL43:AW43)</f>
        <v>0</v>
      </c>
      <c r="BN43" s="869" t="n">
        <f aca="false">SUM(AX43:BI43)</f>
        <v>0</v>
      </c>
      <c r="BO43" s="575" t="s">
        <v>1767</v>
      </c>
    </row>
    <row r="44" customFormat="false" ht="12" hidden="false" customHeight="true" outlineLevel="0" collapsed="false">
      <c r="A44" s="593" t="s">
        <v>1768</v>
      </c>
      <c r="B44" s="904" t="n">
        <f aca="false">-B20</f>
        <v>-0</v>
      </c>
      <c r="C44" s="905" t="n">
        <f aca="false">-C20</f>
        <v>-0</v>
      </c>
      <c r="D44" s="905" t="n">
        <f aca="false">-D20</f>
        <v>-0</v>
      </c>
      <c r="E44" s="905" t="n">
        <f aca="false">-E20</f>
        <v>-0</v>
      </c>
      <c r="F44" s="905" t="n">
        <f aca="false">-F20</f>
        <v>-0</v>
      </c>
      <c r="G44" s="905" t="n">
        <f aca="false">-G20</f>
        <v>-0</v>
      </c>
      <c r="H44" s="905" t="n">
        <f aca="false">-H20</f>
        <v>-0</v>
      </c>
      <c r="I44" s="905" t="n">
        <f aca="false">-I20</f>
        <v>-0</v>
      </c>
      <c r="J44" s="905" t="n">
        <f aca="false">-J20</f>
        <v>-0</v>
      </c>
      <c r="K44" s="905" t="n">
        <f aca="false">-K20</f>
        <v>-0</v>
      </c>
      <c r="L44" s="905" t="n">
        <f aca="false">-L20</f>
        <v>-0</v>
      </c>
      <c r="M44" s="885" t="n">
        <f aca="false">-M20</f>
        <v>-0</v>
      </c>
      <c r="N44" s="856" t="n">
        <f aca="false">-N20</f>
        <v>-0</v>
      </c>
      <c r="O44" s="856" t="n">
        <f aca="false">-O20</f>
        <v>-0</v>
      </c>
      <c r="P44" s="856" t="n">
        <f aca="false">-P20</f>
        <v>-0</v>
      </c>
      <c r="Q44" s="856" t="n">
        <f aca="false">-Q20</f>
        <v>-0</v>
      </c>
      <c r="R44" s="856" t="n">
        <f aca="false">-R20</f>
        <v>-0</v>
      </c>
      <c r="S44" s="856" t="n">
        <f aca="false">-S20</f>
        <v>-0</v>
      </c>
      <c r="T44" s="856" t="n">
        <f aca="false">-T20</f>
        <v>-0</v>
      </c>
      <c r="U44" s="856" t="n">
        <f aca="false">-U20</f>
        <v>-0</v>
      </c>
      <c r="V44" s="856" t="n">
        <f aca="false">-V20</f>
        <v>-0</v>
      </c>
      <c r="W44" s="856" t="n">
        <f aca="false">-W20</f>
        <v>-0</v>
      </c>
      <c r="X44" s="856" t="n">
        <f aca="false">-X20</f>
        <v>-0</v>
      </c>
      <c r="Y44" s="857" t="n">
        <f aca="false">-Y20</f>
        <v>-0</v>
      </c>
      <c r="Z44" s="858" t="n">
        <f aca="false">-Z20</f>
        <v>-0</v>
      </c>
      <c r="AA44" s="859" t="n">
        <f aca="false">-AA20</f>
        <v>-0</v>
      </c>
      <c r="AB44" s="859" t="n">
        <f aca="false">-AB20</f>
        <v>-0</v>
      </c>
      <c r="AC44" s="859" t="n">
        <f aca="false">-AC20</f>
        <v>-0</v>
      </c>
      <c r="AD44" s="859" t="n">
        <f aca="false">-AD20</f>
        <v>-0</v>
      </c>
      <c r="AE44" s="859" t="n">
        <f aca="false">-AE20</f>
        <v>-0</v>
      </c>
      <c r="AF44" s="859" t="n">
        <f aca="false">-AF20</f>
        <v>-0</v>
      </c>
      <c r="AG44" s="859" t="n">
        <f aca="false">-AG20</f>
        <v>-0</v>
      </c>
      <c r="AH44" s="859" t="n">
        <f aca="false">-AH20</f>
        <v>-0</v>
      </c>
      <c r="AI44" s="859" t="n">
        <f aca="false">-AI20</f>
        <v>-0</v>
      </c>
      <c r="AJ44" s="859" t="n">
        <f aca="false">-AJ20</f>
        <v>-0</v>
      </c>
      <c r="AK44" s="860" t="n">
        <f aca="false">-AK20</f>
        <v>-0</v>
      </c>
      <c r="AL44" s="861" t="n">
        <f aca="false">-AL20</f>
        <v>-0</v>
      </c>
      <c r="AM44" s="862" t="n">
        <f aca="false">-AM20</f>
        <v>-0</v>
      </c>
      <c r="AN44" s="862" t="n">
        <f aca="false">-AN20</f>
        <v>-0</v>
      </c>
      <c r="AO44" s="862" t="n">
        <f aca="false">-AO20</f>
        <v>-0</v>
      </c>
      <c r="AP44" s="862" t="n">
        <f aca="false">-AP20</f>
        <v>-0</v>
      </c>
      <c r="AQ44" s="862" t="n">
        <f aca="false">-AQ20</f>
        <v>-0</v>
      </c>
      <c r="AR44" s="862" t="n">
        <f aca="false">-AR20</f>
        <v>-0</v>
      </c>
      <c r="AS44" s="862" t="n">
        <f aca="false">-AS20</f>
        <v>-0</v>
      </c>
      <c r="AT44" s="862" t="n">
        <f aca="false">-AT20</f>
        <v>-0</v>
      </c>
      <c r="AU44" s="862" t="n">
        <f aca="false">-AU20</f>
        <v>-0</v>
      </c>
      <c r="AV44" s="862" t="n">
        <f aca="false">-AV20</f>
        <v>-0</v>
      </c>
      <c r="AW44" s="863" t="n">
        <f aca="false">-AW20</f>
        <v>-0</v>
      </c>
      <c r="AX44" s="864" t="n">
        <f aca="false">-AX20</f>
        <v>-0</v>
      </c>
      <c r="AY44" s="865" t="n">
        <f aca="false">-AY20</f>
        <v>-0</v>
      </c>
      <c r="AZ44" s="865" t="n">
        <f aca="false">-AZ20</f>
        <v>-0</v>
      </c>
      <c r="BA44" s="865" t="n">
        <f aca="false">-BA20</f>
        <v>-0</v>
      </c>
      <c r="BB44" s="865" t="n">
        <f aca="false">-BB20</f>
        <v>-0</v>
      </c>
      <c r="BC44" s="865" t="n">
        <f aca="false">-BC20</f>
        <v>-0</v>
      </c>
      <c r="BD44" s="865" t="n">
        <f aca="false">-BD20</f>
        <v>-0</v>
      </c>
      <c r="BE44" s="865" t="n">
        <f aca="false">-BE20</f>
        <v>-0</v>
      </c>
      <c r="BF44" s="865" t="n">
        <f aca="false">-BF20</f>
        <v>-0</v>
      </c>
      <c r="BG44" s="865" t="n">
        <f aca="false">-BG20</f>
        <v>-0</v>
      </c>
      <c r="BH44" s="865" t="n">
        <f aca="false">-BH20</f>
        <v>-0</v>
      </c>
      <c r="BI44" s="866" t="n">
        <f aca="false">-BI20</f>
        <v>-0</v>
      </c>
      <c r="BJ44" s="855" t="n">
        <f aca="false">SUM(B44:M44)</f>
        <v>0</v>
      </c>
      <c r="BK44" s="869" t="n">
        <f aca="false">SUM(N44:Y44)</f>
        <v>0</v>
      </c>
      <c r="BL44" s="869" t="n">
        <f aca="false">SUM(Z44:AK44)</f>
        <v>0</v>
      </c>
      <c r="BM44" s="869" t="n">
        <f aca="false">SUM(AL44:AW44)</f>
        <v>0</v>
      </c>
      <c r="BN44" s="869" t="n">
        <f aca="false">SUM(AX44:BI44)</f>
        <v>0</v>
      </c>
      <c r="BO44" s="575" t="s">
        <v>1768</v>
      </c>
    </row>
    <row r="45" customFormat="false" ht="12" hidden="false" customHeight="true" outlineLevel="0" collapsed="false">
      <c r="A45" s="593" t="str">
        <f aca="false">A15</f>
        <v>New Current Borrowing</v>
      </c>
      <c r="B45" s="904" t="n">
        <f aca="false">B15</f>
        <v>0</v>
      </c>
      <c r="C45" s="905" t="n">
        <f aca="false">C15</f>
        <v>0</v>
      </c>
      <c r="D45" s="905" t="n">
        <f aca="false">D15</f>
        <v>0</v>
      </c>
      <c r="E45" s="905" t="n">
        <f aca="false">E15</f>
        <v>0</v>
      </c>
      <c r="F45" s="905" t="n">
        <f aca="false">F15</f>
        <v>0</v>
      </c>
      <c r="G45" s="905" t="n">
        <f aca="false">G15</f>
        <v>0</v>
      </c>
      <c r="H45" s="905" t="n">
        <f aca="false">H15</f>
        <v>0</v>
      </c>
      <c r="I45" s="905" t="n">
        <f aca="false">I15</f>
        <v>0</v>
      </c>
      <c r="J45" s="905" t="n">
        <f aca="false">J15</f>
        <v>0</v>
      </c>
      <c r="K45" s="905" t="n">
        <f aca="false">K15</f>
        <v>0</v>
      </c>
      <c r="L45" s="905" t="n">
        <f aca="false">L15</f>
        <v>0</v>
      </c>
      <c r="M45" s="885" t="n">
        <f aca="false">M15</f>
        <v>0</v>
      </c>
      <c r="N45" s="856" t="n">
        <f aca="false">N15</f>
        <v>0</v>
      </c>
      <c r="O45" s="856" t="n">
        <f aca="false">O15</f>
        <v>0</v>
      </c>
      <c r="P45" s="856" t="n">
        <f aca="false">P15</f>
        <v>0</v>
      </c>
      <c r="Q45" s="856" t="n">
        <f aca="false">Q15</f>
        <v>0</v>
      </c>
      <c r="R45" s="856" t="n">
        <f aca="false">R15</f>
        <v>0</v>
      </c>
      <c r="S45" s="856" t="n">
        <f aca="false">S15</f>
        <v>0</v>
      </c>
      <c r="T45" s="856" t="n">
        <f aca="false">T15</f>
        <v>0</v>
      </c>
      <c r="U45" s="856" t="n">
        <f aca="false">U15</f>
        <v>0</v>
      </c>
      <c r="V45" s="856" t="n">
        <f aca="false">V15</f>
        <v>0</v>
      </c>
      <c r="W45" s="856" t="n">
        <f aca="false">W15</f>
        <v>0</v>
      </c>
      <c r="X45" s="856" t="n">
        <f aca="false">X15</f>
        <v>0</v>
      </c>
      <c r="Y45" s="857" t="n">
        <f aca="false">Y15</f>
        <v>0</v>
      </c>
      <c r="Z45" s="858" t="n">
        <f aca="false">Z15</f>
        <v>0</v>
      </c>
      <c r="AA45" s="859" t="n">
        <f aca="false">AA15</f>
        <v>0</v>
      </c>
      <c r="AB45" s="859" t="n">
        <f aca="false">AB15</f>
        <v>0</v>
      </c>
      <c r="AC45" s="859" t="n">
        <f aca="false">AC15</f>
        <v>0</v>
      </c>
      <c r="AD45" s="859" t="n">
        <f aca="false">AD15</f>
        <v>0</v>
      </c>
      <c r="AE45" s="859" t="n">
        <f aca="false">AE15</f>
        <v>0</v>
      </c>
      <c r="AF45" s="859" t="n">
        <f aca="false">AF15</f>
        <v>0</v>
      </c>
      <c r="AG45" s="859" t="n">
        <f aca="false">AG15</f>
        <v>0</v>
      </c>
      <c r="AH45" s="859" t="n">
        <f aca="false">AH15</f>
        <v>0</v>
      </c>
      <c r="AI45" s="859" t="n">
        <f aca="false">AI15</f>
        <v>0</v>
      </c>
      <c r="AJ45" s="859" t="n">
        <f aca="false">AJ15</f>
        <v>0</v>
      </c>
      <c r="AK45" s="860" t="n">
        <f aca="false">AK15</f>
        <v>0</v>
      </c>
      <c r="AL45" s="861" t="n">
        <f aca="false">AL15</f>
        <v>0</v>
      </c>
      <c r="AM45" s="862" t="n">
        <f aca="false">AM15</f>
        <v>0</v>
      </c>
      <c r="AN45" s="862" t="n">
        <f aca="false">AN15</f>
        <v>0</v>
      </c>
      <c r="AO45" s="862" t="n">
        <f aca="false">AO15</f>
        <v>0</v>
      </c>
      <c r="AP45" s="862" t="n">
        <f aca="false">AP15</f>
        <v>0</v>
      </c>
      <c r="AQ45" s="862" t="n">
        <f aca="false">AQ15</f>
        <v>0</v>
      </c>
      <c r="AR45" s="862" t="n">
        <f aca="false">AR15</f>
        <v>0</v>
      </c>
      <c r="AS45" s="862" t="n">
        <f aca="false">AS15</f>
        <v>0</v>
      </c>
      <c r="AT45" s="862" t="n">
        <f aca="false">AT15</f>
        <v>0</v>
      </c>
      <c r="AU45" s="862" t="n">
        <f aca="false">AU15</f>
        <v>0</v>
      </c>
      <c r="AV45" s="862" t="n">
        <f aca="false">AV15</f>
        <v>0</v>
      </c>
      <c r="AW45" s="863" t="n">
        <f aca="false">AW15</f>
        <v>0</v>
      </c>
      <c r="AX45" s="864" t="n">
        <f aca="false">AX15</f>
        <v>0</v>
      </c>
      <c r="AY45" s="865" t="n">
        <f aca="false">AY15</f>
        <v>0</v>
      </c>
      <c r="AZ45" s="865" t="n">
        <f aca="false">AZ15</f>
        <v>0</v>
      </c>
      <c r="BA45" s="865" t="n">
        <f aca="false">BA15</f>
        <v>0</v>
      </c>
      <c r="BB45" s="865" t="n">
        <f aca="false">BB15</f>
        <v>0</v>
      </c>
      <c r="BC45" s="865" t="n">
        <f aca="false">BC15</f>
        <v>0</v>
      </c>
      <c r="BD45" s="865" t="n">
        <f aca="false">BD15</f>
        <v>0</v>
      </c>
      <c r="BE45" s="865" t="n">
        <f aca="false">BE15</f>
        <v>0</v>
      </c>
      <c r="BF45" s="865" t="n">
        <f aca="false">BF15</f>
        <v>0</v>
      </c>
      <c r="BG45" s="865" t="n">
        <f aca="false">BG15</f>
        <v>0</v>
      </c>
      <c r="BH45" s="865" t="n">
        <f aca="false">BH15</f>
        <v>0</v>
      </c>
      <c r="BI45" s="866" t="n">
        <f aca="false">BI15</f>
        <v>0</v>
      </c>
      <c r="BJ45" s="855" t="n">
        <f aca="false">SUM(B45:M45)</f>
        <v>0</v>
      </c>
      <c r="BK45" s="869" t="n">
        <f aca="false">SUM(N45:Y45)</f>
        <v>0</v>
      </c>
      <c r="BL45" s="869" t="n">
        <f aca="false">SUM(Z45:AK45)</f>
        <v>0</v>
      </c>
      <c r="BM45" s="869" t="n">
        <f aca="false">SUM(AL45:AW45)</f>
        <v>0</v>
      </c>
      <c r="BN45" s="869" t="n">
        <f aca="false">SUM(AX45:BI45)</f>
        <v>0</v>
      </c>
      <c r="BO45" s="575" t="str">
        <f aca="false">BO15</f>
        <v>New Current Borrowing</v>
      </c>
    </row>
    <row r="46" customFormat="false" ht="12" hidden="false" customHeight="true" outlineLevel="0" collapsed="false">
      <c r="A46" s="593" t="str">
        <f aca="false">A16</f>
        <v>Current Borrowing Repay.</v>
      </c>
      <c r="B46" s="904" t="n">
        <f aca="false">+-B16</f>
        <v>-0</v>
      </c>
      <c r="C46" s="905" t="n">
        <f aca="false">-C16</f>
        <v>-0</v>
      </c>
      <c r="D46" s="905" t="n">
        <f aca="false">-D16</f>
        <v>-0</v>
      </c>
      <c r="E46" s="905" t="n">
        <f aca="false">-E16</f>
        <v>-0</v>
      </c>
      <c r="F46" s="905" t="n">
        <f aca="false">-F16</f>
        <v>-0</v>
      </c>
      <c r="G46" s="905" t="n">
        <f aca="false">-G16</f>
        <v>-0</v>
      </c>
      <c r="H46" s="905" t="n">
        <f aca="false">-H16</f>
        <v>-0</v>
      </c>
      <c r="I46" s="905" t="n">
        <f aca="false">-I16</f>
        <v>-0</v>
      </c>
      <c r="J46" s="905" t="n">
        <f aca="false">-J16</f>
        <v>-0</v>
      </c>
      <c r="K46" s="905" t="n">
        <f aca="false">-K16</f>
        <v>-0</v>
      </c>
      <c r="L46" s="905" t="n">
        <f aca="false">-L16</f>
        <v>-0</v>
      </c>
      <c r="M46" s="885" t="n">
        <f aca="false">-M16</f>
        <v>-0</v>
      </c>
      <c r="N46" s="856" t="n">
        <f aca="false">-N16</f>
        <v>-0</v>
      </c>
      <c r="O46" s="856" t="n">
        <f aca="false">-O16</f>
        <v>-0</v>
      </c>
      <c r="P46" s="856" t="n">
        <f aca="false">-P16</f>
        <v>-0</v>
      </c>
      <c r="Q46" s="856" t="n">
        <f aca="false">-Q16</f>
        <v>-0</v>
      </c>
      <c r="R46" s="856" t="n">
        <f aca="false">-R16</f>
        <v>-0</v>
      </c>
      <c r="S46" s="856" t="n">
        <f aca="false">-S16</f>
        <v>-0</v>
      </c>
      <c r="T46" s="856" t="n">
        <f aca="false">-T16</f>
        <v>-0</v>
      </c>
      <c r="U46" s="856" t="n">
        <f aca="false">-U16</f>
        <v>-0</v>
      </c>
      <c r="V46" s="856" t="n">
        <f aca="false">-V16</f>
        <v>-0</v>
      </c>
      <c r="W46" s="856" t="n">
        <f aca="false">-W16</f>
        <v>-0</v>
      </c>
      <c r="X46" s="856" t="n">
        <f aca="false">-X16</f>
        <v>-0</v>
      </c>
      <c r="Y46" s="857" t="n">
        <f aca="false">-Y16</f>
        <v>-0</v>
      </c>
      <c r="Z46" s="858" t="n">
        <f aca="false">-Z16</f>
        <v>-0</v>
      </c>
      <c r="AA46" s="859" t="n">
        <f aca="false">-AA16</f>
        <v>-0</v>
      </c>
      <c r="AB46" s="859" t="n">
        <f aca="false">-AB16</f>
        <v>-0</v>
      </c>
      <c r="AC46" s="859" t="n">
        <f aca="false">-AC16</f>
        <v>-0</v>
      </c>
      <c r="AD46" s="859" t="n">
        <f aca="false">-AD16</f>
        <v>-0</v>
      </c>
      <c r="AE46" s="859" t="n">
        <f aca="false">-AE16</f>
        <v>-0</v>
      </c>
      <c r="AF46" s="859" t="n">
        <f aca="false">-AF16</f>
        <v>-0</v>
      </c>
      <c r="AG46" s="859" t="n">
        <f aca="false">-AG16</f>
        <v>-0</v>
      </c>
      <c r="AH46" s="859" t="n">
        <f aca="false">-AH16</f>
        <v>-0</v>
      </c>
      <c r="AI46" s="859" t="n">
        <f aca="false">-AI16</f>
        <v>-0</v>
      </c>
      <c r="AJ46" s="859" t="n">
        <f aca="false">-AJ16</f>
        <v>-0</v>
      </c>
      <c r="AK46" s="860" t="n">
        <f aca="false">-AK16</f>
        <v>-0</v>
      </c>
      <c r="AL46" s="861" t="n">
        <f aca="false">-AL16</f>
        <v>-0</v>
      </c>
      <c r="AM46" s="862" t="n">
        <f aca="false">-AM16</f>
        <v>-0</v>
      </c>
      <c r="AN46" s="862" t="n">
        <f aca="false">-AN16</f>
        <v>-0</v>
      </c>
      <c r="AO46" s="862" t="n">
        <f aca="false">-AO16</f>
        <v>-0</v>
      </c>
      <c r="AP46" s="862" t="n">
        <f aca="false">-AP16</f>
        <v>-0</v>
      </c>
      <c r="AQ46" s="862" t="n">
        <f aca="false">-AQ16</f>
        <v>-0</v>
      </c>
      <c r="AR46" s="862" t="n">
        <f aca="false">-AR16</f>
        <v>-0</v>
      </c>
      <c r="AS46" s="862" t="n">
        <f aca="false">-AS16</f>
        <v>-0</v>
      </c>
      <c r="AT46" s="862" t="n">
        <f aca="false">-AT16</f>
        <v>-0</v>
      </c>
      <c r="AU46" s="862" t="n">
        <f aca="false">-AU16</f>
        <v>-0</v>
      </c>
      <c r="AV46" s="862" t="n">
        <f aca="false">-AV16</f>
        <v>-0</v>
      </c>
      <c r="AW46" s="863" t="n">
        <f aca="false">-AW16</f>
        <v>-0</v>
      </c>
      <c r="AX46" s="864" t="n">
        <f aca="false">-AX16</f>
        <v>-0</v>
      </c>
      <c r="AY46" s="865" t="n">
        <f aca="false">-AY16</f>
        <v>-0</v>
      </c>
      <c r="AZ46" s="865" t="n">
        <f aca="false">-AZ16</f>
        <v>-0</v>
      </c>
      <c r="BA46" s="865" t="n">
        <f aca="false">-BA16</f>
        <v>-0</v>
      </c>
      <c r="BB46" s="865" t="n">
        <f aca="false">-BB16</f>
        <v>-0</v>
      </c>
      <c r="BC46" s="865" t="n">
        <f aca="false">-BC16</f>
        <v>-0</v>
      </c>
      <c r="BD46" s="865" t="n">
        <f aca="false">-BD16</f>
        <v>-0</v>
      </c>
      <c r="BE46" s="865" t="n">
        <f aca="false">-BE16</f>
        <v>-0</v>
      </c>
      <c r="BF46" s="865" t="n">
        <f aca="false">-BF16</f>
        <v>-0</v>
      </c>
      <c r="BG46" s="865" t="n">
        <f aca="false">-BG16</f>
        <v>-0</v>
      </c>
      <c r="BH46" s="865" t="n">
        <f aca="false">-BH16</f>
        <v>-0</v>
      </c>
      <c r="BI46" s="866" t="n">
        <f aca="false">-BI16</f>
        <v>-0</v>
      </c>
      <c r="BJ46" s="855" t="n">
        <f aca="false">SUM(B46:M46)</f>
        <v>0</v>
      </c>
      <c r="BK46" s="869" t="n">
        <f aca="false">SUM(N46:Y46)</f>
        <v>0</v>
      </c>
      <c r="BL46" s="869" t="n">
        <f aca="false">SUM(Z46:AK46)</f>
        <v>0</v>
      </c>
      <c r="BM46" s="869" t="n">
        <f aca="false">SUM(AL46:AW46)</f>
        <v>0</v>
      </c>
      <c r="BN46" s="869" t="n">
        <f aca="false">SUM(AX46:BI46)</f>
        <v>0</v>
      </c>
      <c r="BO46" s="575" t="str">
        <f aca="false">BO16</f>
        <v>Current Borrowing Repay.</v>
      </c>
    </row>
    <row r="47" customFormat="false" ht="12" hidden="false" customHeight="true" outlineLevel="0" collapsed="false">
      <c r="A47" s="593" t="str">
        <f aca="false">A17</f>
        <v>New Long Term Liabilities/Equipment</v>
      </c>
      <c r="B47" s="904" t="n">
        <f aca="false">B17</f>
        <v>0</v>
      </c>
      <c r="C47" s="905" t="n">
        <f aca="false">C17</f>
        <v>0</v>
      </c>
      <c r="D47" s="905" t="n">
        <f aca="false">D17</f>
        <v>0</v>
      </c>
      <c r="E47" s="905" t="n">
        <f aca="false">E17</f>
        <v>0</v>
      </c>
      <c r="F47" s="905" t="n">
        <f aca="false">F17</f>
        <v>0</v>
      </c>
      <c r="G47" s="905" t="n">
        <f aca="false">G17</f>
        <v>0</v>
      </c>
      <c r="H47" s="905" t="n">
        <f aca="false">H17</f>
        <v>5134620</v>
      </c>
      <c r="I47" s="905" t="n">
        <f aca="false">I17</f>
        <v>3561594.6</v>
      </c>
      <c r="J47" s="905" t="n">
        <f aca="false">J17</f>
        <v>2867523</v>
      </c>
      <c r="K47" s="905" t="n">
        <f aca="false">K17</f>
        <v>3082255.8</v>
      </c>
      <c r="L47" s="905" t="n">
        <f aca="false">L17</f>
        <v>2437385.4</v>
      </c>
      <c r="M47" s="885" t="n">
        <f aca="false">M17</f>
        <v>3082255.8</v>
      </c>
      <c r="N47" s="856" t="n">
        <f aca="false">N17</f>
        <v>2364185.4</v>
      </c>
      <c r="O47" s="856" t="n">
        <f aca="false">O17</f>
        <v>466015.2</v>
      </c>
      <c r="P47" s="856" t="n">
        <f aca="false">P17</f>
        <v>466015.2</v>
      </c>
      <c r="Q47" s="856" t="n">
        <f aca="false">Q17</f>
        <v>0</v>
      </c>
      <c r="R47" s="856" t="n">
        <f aca="false">R17</f>
        <v>0</v>
      </c>
      <c r="S47" s="856" t="n">
        <f aca="false">S17</f>
        <v>0</v>
      </c>
      <c r="T47" s="856" t="n">
        <f aca="false">T17</f>
        <v>0</v>
      </c>
      <c r="U47" s="856" t="n">
        <f aca="false">U17</f>
        <v>0</v>
      </c>
      <c r="V47" s="856" t="n">
        <f aca="false">V17</f>
        <v>0</v>
      </c>
      <c r="W47" s="856" t="n">
        <f aca="false">W17</f>
        <v>0</v>
      </c>
      <c r="X47" s="856" t="n">
        <f aca="false">X17</f>
        <v>0</v>
      </c>
      <c r="Y47" s="857" t="n">
        <f aca="false">Y17</f>
        <v>0</v>
      </c>
      <c r="Z47" s="858" t="n">
        <f aca="false">Z17</f>
        <v>0</v>
      </c>
      <c r="AA47" s="859" t="n">
        <f aca="false">AA17</f>
        <v>0</v>
      </c>
      <c r="AB47" s="859" t="n">
        <f aca="false">AB17</f>
        <v>0</v>
      </c>
      <c r="AC47" s="859" t="n">
        <f aca="false">AC17</f>
        <v>0</v>
      </c>
      <c r="AD47" s="859" t="n">
        <f aca="false">AD17</f>
        <v>0</v>
      </c>
      <c r="AE47" s="859" t="n">
        <f aca="false">AE17</f>
        <v>0</v>
      </c>
      <c r="AF47" s="859" t="n">
        <f aca="false">AF17</f>
        <v>0</v>
      </c>
      <c r="AG47" s="859" t="n">
        <f aca="false">AG17</f>
        <v>0</v>
      </c>
      <c r="AH47" s="859" t="n">
        <f aca="false">AH17</f>
        <v>0</v>
      </c>
      <c r="AI47" s="859" t="n">
        <f aca="false">AI17</f>
        <v>0</v>
      </c>
      <c r="AJ47" s="859" t="n">
        <f aca="false">AJ17</f>
        <v>0</v>
      </c>
      <c r="AK47" s="860" t="n">
        <f aca="false">AK17</f>
        <v>0</v>
      </c>
      <c r="AL47" s="861" t="n">
        <f aca="false">AL17</f>
        <v>0</v>
      </c>
      <c r="AM47" s="862" t="n">
        <f aca="false">AM17</f>
        <v>0</v>
      </c>
      <c r="AN47" s="862" t="n">
        <f aca="false">AN17</f>
        <v>0</v>
      </c>
      <c r="AO47" s="862" t="n">
        <f aca="false">AO17</f>
        <v>0</v>
      </c>
      <c r="AP47" s="862" t="n">
        <f aca="false">AP17</f>
        <v>0</v>
      </c>
      <c r="AQ47" s="862" t="n">
        <f aca="false">AQ17</f>
        <v>0</v>
      </c>
      <c r="AR47" s="862" t="n">
        <f aca="false">AR17</f>
        <v>0</v>
      </c>
      <c r="AS47" s="862" t="n">
        <f aca="false">AS17</f>
        <v>0</v>
      </c>
      <c r="AT47" s="862" t="n">
        <f aca="false">AT17</f>
        <v>0</v>
      </c>
      <c r="AU47" s="862" t="n">
        <f aca="false">AU17</f>
        <v>0</v>
      </c>
      <c r="AV47" s="862" t="n">
        <f aca="false">AV17</f>
        <v>0</v>
      </c>
      <c r="AW47" s="863" t="n">
        <f aca="false">AW17</f>
        <v>0</v>
      </c>
      <c r="AX47" s="864" t="n">
        <f aca="false">AX17</f>
        <v>0</v>
      </c>
      <c r="AY47" s="865" t="n">
        <f aca="false">AY17</f>
        <v>0</v>
      </c>
      <c r="AZ47" s="865" t="n">
        <f aca="false">AZ17</f>
        <v>0</v>
      </c>
      <c r="BA47" s="865" t="n">
        <f aca="false">BA17</f>
        <v>0</v>
      </c>
      <c r="BB47" s="865" t="n">
        <f aca="false">BB17</f>
        <v>0</v>
      </c>
      <c r="BC47" s="865" t="n">
        <f aca="false">BC17</f>
        <v>0</v>
      </c>
      <c r="BD47" s="865" t="n">
        <f aca="false">BD17</f>
        <v>0</v>
      </c>
      <c r="BE47" s="865" t="n">
        <f aca="false">BE17</f>
        <v>0</v>
      </c>
      <c r="BF47" s="865" t="n">
        <f aca="false">BF17</f>
        <v>0</v>
      </c>
      <c r="BG47" s="865" t="n">
        <f aca="false">BG17</f>
        <v>0</v>
      </c>
      <c r="BH47" s="865" t="n">
        <f aca="false">BH17</f>
        <v>0</v>
      </c>
      <c r="BI47" s="866" t="n">
        <f aca="false">BI17</f>
        <v>0</v>
      </c>
      <c r="BJ47" s="855" t="n">
        <f aca="false">SUM(B47:M47)</f>
        <v>20165634.6</v>
      </c>
      <c r="BK47" s="869" t="n">
        <f aca="false">SUM(N47:Y47)</f>
        <v>3296215.8</v>
      </c>
      <c r="BL47" s="869" t="n">
        <f aca="false">SUM(Z47:AK47)</f>
        <v>0</v>
      </c>
      <c r="BM47" s="869" t="n">
        <f aca="false">SUM(AL47:AW47)</f>
        <v>0</v>
      </c>
      <c r="BN47" s="869" t="n">
        <f aca="false">SUM(AX47:BI47)</f>
        <v>0</v>
      </c>
      <c r="BO47" s="575" t="str">
        <f aca="false">BO17</f>
        <v>New Long Term Liabilities/Equipment</v>
      </c>
    </row>
    <row r="48" customFormat="false" ht="12" hidden="false" customHeight="true" outlineLevel="0" collapsed="false">
      <c r="A48" s="593" t="s">
        <v>1769</v>
      </c>
      <c r="B48" s="904" t="n">
        <f aca="false">-SUM(B18)</f>
        <v>-0</v>
      </c>
      <c r="C48" s="905" t="n">
        <f aca="false">-SUM(C18)</f>
        <v>-0</v>
      </c>
      <c r="D48" s="905" t="n">
        <f aca="false">-SUM(D18)</f>
        <v>-0</v>
      </c>
      <c r="E48" s="905" t="n">
        <f aca="false">-SUM(E18)</f>
        <v>-0</v>
      </c>
      <c r="F48" s="905" t="n">
        <f aca="false">-SUM(F18)</f>
        <v>-0</v>
      </c>
      <c r="G48" s="905" t="n">
        <f aca="false">-SUM(G18)</f>
        <v>-0</v>
      </c>
      <c r="H48" s="905" t="n">
        <f aca="false">-SUM(H18)</f>
        <v>-31331.7089679632</v>
      </c>
      <c r="I48" s="905" t="n">
        <f aca="false">-SUM(I18)</f>
        <v>-53221.3965332699</v>
      </c>
      <c r="J48" s="905" t="n">
        <f aca="false">-SUM(J18)</f>
        <v>-70985.2727948587</v>
      </c>
      <c r="K48" s="905" t="n">
        <f aca="false">-SUM(K18)</f>
        <v>-90148.278761689</v>
      </c>
      <c r="L48" s="905" t="n">
        <f aca="false">-SUM(L18)</f>
        <v>-105472.068208822</v>
      </c>
      <c r="M48" s="885" t="n">
        <f aca="false">-SUM(M18)</f>
        <v>-124807.508152722</v>
      </c>
      <c r="N48" s="856" t="n">
        <f aca="false">-SUM(N18)</f>
        <v>-139857.923672598</v>
      </c>
      <c r="O48" s="856" t="n">
        <f aca="false">-SUM(O18)</f>
        <v>-143400.861432605</v>
      </c>
      <c r="P48" s="856" t="n">
        <f aca="false">-SUM(P18)</f>
        <v>-146961.513881412</v>
      </c>
      <c r="Q48" s="856" t="n">
        <f aca="false">-SUM(Q18)</f>
        <v>-147696.321450819</v>
      </c>
      <c r="R48" s="856" t="n">
        <f aca="false">-SUM(R18)</f>
        <v>-148434.803058073</v>
      </c>
      <c r="S48" s="856" t="n">
        <f aca="false">-SUM(S18)</f>
        <v>-149176.977073363</v>
      </c>
      <c r="T48" s="856" t="n">
        <f aca="false">-SUM(T18)</f>
        <v>-149922.86195873</v>
      </c>
      <c r="U48" s="856" t="n">
        <f aca="false">-SUM(U18)</f>
        <v>-150672.476268524</v>
      </c>
      <c r="V48" s="856" t="n">
        <f aca="false">-SUM(V18)</f>
        <v>-151425.838649866</v>
      </c>
      <c r="W48" s="856" t="n">
        <f aca="false">-SUM(W18)</f>
        <v>-152182.967843116</v>
      </c>
      <c r="X48" s="856" t="n">
        <f aca="false">-SUM(X18)</f>
        <v>-152943.882682331</v>
      </c>
      <c r="Y48" s="857" t="n">
        <f aca="false">-SUM(Y18)</f>
        <v>-153708.602095743</v>
      </c>
      <c r="Z48" s="858" t="n">
        <f aca="false">-SUM(Z18)</f>
        <v>-154477.145106221</v>
      </c>
      <c r="AA48" s="859" t="n">
        <f aca="false">-SUM(AA18)</f>
        <v>-155249.530831753</v>
      </c>
      <c r="AB48" s="859" t="n">
        <f aca="false">-SUM(AB18)</f>
        <v>-156025.778485911</v>
      </c>
      <c r="AC48" s="859" t="n">
        <f aca="false">-SUM(AC18)</f>
        <v>-156805.907378341</v>
      </c>
      <c r="AD48" s="859" t="n">
        <f aca="false">-SUM(AD18)</f>
        <v>-157589.936915233</v>
      </c>
      <c r="AE48" s="859" t="n">
        <f aca="false">-SUM(AE18)</f>
        <v>-158377.886599809</v>
      </c>
      <c r="AF48" s="859" t="n">
        <f aca="false">-SUM(AF18)</f>
        <v>-159169.776032808</v>
      </c>
      <c r="AG48" s="859" t="n">
        <f aca="false">-SUM(AG18)</f>
        <v>-159965.624912972</v>
      </c>
      <c r="AH48" s="859" t="n">
        <f aca="false">-SUM(AH18)</f>
        <v>-160765.453037537</v>
      </c>
      <c r="AI48" s="859" t="n">
        <f aca="false">-SUM(AI18)</f>
        <v>-161569.280302724</v>
      </c>
      <c r="AJ48" s="859" t="n">
        <f aca="false">-SUM(AJ18)</f>
        <v>-162377.126704238</v>
      </c>
      <c r="AK48" s="860" t="n">
        <f aca="false">-SUM(AK18)</f>
        <v>-163189.012337759</v>
      </c>
      <c r="AL48" s="861" t="n">
        <f aca="false">-SUM(AL18)</f>
        <v>-164004.957399448</v>
      </c>
      <c r="AM48" s="862" t="n">
        <f aca="false">-SUM(AM18)</f>
        <v>-164824.982186445</v>
      </c>
      <c r="AN48" s="862" t="n">
        <f aca="false">-SUM(AN18)</f>
        <v>-165649.107097377</v>
      </c>
      <c r="AO48" s="862" t="n">
        <f aca="false">-SUM(AO18)</f>
        <v>-166477.352632864</v>
      </c>
      <c r="AP48" s="862" t="n">
        <f aca="false">-SUM(AP18)</f>
        <v>-167309.739396029</v>
      </c>
      <c r="AQ48" s="862" t="n">
        <f aca="false">-SUM(AQ18)</f>
        <v>-168146.288093009</v>
      </c>
      <c r="AR48" s="862" t="n">
        <f aca="false">-SUM(AR18)</f>
        <v>-168987.019533474</v>
      </c>
      <c r="AS48" s="862" t="n">
        <f aca="false">-SUM(AS18)</f>
        <v>-169831.954631141</v>
      </c>
      <c r="AT48" s="862" t="n">
        <f aca="false">-SUM(AT18)</f>
        <v>-170681.114404297</v>
      </c>
      <c r="AU48" s="862" t="n">
        <f aca="false">-SUM(AU18)</f>
        <v>-171534.519976318</v>
      </c>
      <c r="AV48" s="862" t="n">
        <f aca="false">-SUM(AV18)</f>
        <v>-172392.1925762</v>
      </c>
      <c r="AW48" s="863" t="n">
        <f aca="false">-SUM(AW18)</f>
        <v>-173254.153539081</v>
      </c>
      <c r="AX48" s="864" t="n">
        <f aca="false">-SUM(AX18)</f>
        <v>-174120.424306776</v>
      </c>
      <c r="AY48" s="865" t="n">
        <f aca="false">-SUM(AY18)</f>
        <v>-174991.02642831</v>
      </c>
      <c r="AZ48" s="865" t="n">
        <f aca="false">-SUM(AZ18)</f>
        <v>-175865.981560452</v>
      </c>
      <c r="BA48" s="865" t="n">
        <f aca="false">-SUM(BA18)</f>
        <v>-176745.311468254</v>
      </c>
      <c r="BB48" s="865" t="n">
        <f aca="false">-SUM(BB18)</f>
        <v>-177629.038025595</v>
      </c>
      <c r="BC48" s="865" t="n">
        <f aca="false">-SUM(BC18)</f>
        <v>-178517.183215723</v>
      </c>
      <c r="BD48" s="865" t="n">
        <f aca="false">-SUM(BD18)</f>
        <v>-179409.769131802</v>
      </c>
      <c r="BE48" s="865" t="n">
        <f aca="false">-SUM(BE18)</f>
        <v>-180306.817977461</v>
      </c>
      <c r="BF48" s="865" t="n">
        <f aca="false">-SUM(BF18)</f>
        <v>-181208.352067348</v>
      </c>
      <c r="BG48" s="865" t="n">
        <f aca="false">-SUM(BG18)</f>
        <v>-182114.393827685</v>
      </c>
      <c r="BH48" s="865" t="n">
        <f aca="false">-SUM(BH18)</f>
        <v>-183024.965796823</v>
      </c>
      <c r="BI48" s="866" t="n">
        <f aca="false">-SUM(BI18)</f>
        <v>-183940.090625808</v>
      </c>
      <c r="BJ48" s="855" t="n">
        <f aca="false">SUM(B48:M48)</f>
        <v>-475966.233419325</v>
      </c>
      <c r="BK48" s="869" t="n">
        <f aca="false">SUM(N48:Y48)</f>
        <v>-1786385.03006718</v>
      </c>
      <c r="BL48" s="869" t="n">
        <f aca="false">SUM(Z48:AK48)</f>
        <v>-1905562.45864531</v>
      </c>
      <c r="BM48" s="869" t="n">
        <f aca="false">SUM(AL48:AW48)</f>
        <v>-2023093.38146568</v>
      </c>
      <c r="BN48" s="869" t="n">
        <f aca="false">SUM(AX48:BI48)</f>
        <v>-2147873.35443204</v>
      </c>
      <c r="BO48" s="575" t="s">
        <v>1769</v>
      </c>
    </row>
    <row r="49" s="887" customFormat="true" ht="10.5" hidden="false" customHeight="true" outlineLevel="0" collapsed="false">
      <c r="A49" s="898" t="s">
        <v>1770</v>
      </c>
      <c r="B49" s="906" t="n">
        <f aca="false">SUM(B43:B48)</f>
        <v>10000000</v>
      </c>
      <c r="C49" s="872" t="n">
        <f aca="false">SUM(C43:C48)</f>
        <v>0</v>
      </c>
      <c r="D49" s="872" t="n">
        <f aca="false">SUM(D43:D48)</f>
        <v>0</v>
      </c>
      <c r="E49" s="872" t="n">
        <f aca="false">SUM(E43:E48)</f>
        <v>0</v>
      </c>
      <c r="F49" s="872" t="n">
        <f aca="false">SUM(F43:F48)</f>
        <v>0</v>
      </c>
      <c r="G49" s="872" t="n">
        <f aca="false">SUM(G43:G48)</f>
        <v>0</v>
      </c>
      <c r="H49" s="872" t="n">
        <f aca="false">SUM(H43:H48)</f>
        <v>5103288.29103204</v>
      </c>
      <c r="I49" s="872" t="n">
        <f aca="false">SUM(I43:I48)</f>
        <v>3508373.20346673</v>
      </c>
      <c r="J49" s="872" t="n">
        <f aca="false">SUM(J43:J48)</f>
        <v>2796537.72720514</v>
      </c>
      <c r="K49" s="872" t="n">
        <f aca="false">SUM(K43:K48)</f>
        <v>2992107.52123831</v>
      </c>
      <c r="L49" s="872" t="n">
        <f aca="false">SUM(L43:L48)</f>
        <v>2331913.33179118</v>
      </c>
      <c r="M49" s="873" t="n">
        <f aca="false">SUM(M43:M48)</f>
        <v>2957448.29184728</v>
      </c>
      <c r="N49" s="907" t="n">
        <f aca="false">SUM(N43:N48)</f>
        <v>2224327.4763274</v>
      </c>
      <c r="O49" s="907" t="n">
        <f aca="false">SUM(O43:O48)</f>
        <v>322614.338567395</v>
      </c>
      <c r="P49" s="907" t="n">
        <f aca="false">SUM(P43:P48)</f>
        <v>319053.686118588</v>
      </c>
      <c r="Q49" s="907" t="n">
        <f aca="false">SUM(Q43:Q48)</f>
        <v>-147696.321450819</v>
      </c>
      <c r="R49" s="907" t="n">
        <f aca="false">SUM(R43:R48)</f>
        <v>-148434.803058073</v>
      </c>
      <c r="S49" s="907" t="n">
        <f aca="false">SUM(S43:S48)</f>
        <v>-149176.977073363</v>
      </c>
      <c r="T49" s="907" t="n">
        <f aca="false">SUM(T43:T48)</f>
        <v>-149922.86195873</v>
      </c>
      <c r="U49" s="907" t="n">
        <f aca="false">SUM(U43:U48)</f>
        <v>-150672.476268524</v>
      </c>
      <c r="V49" s="907" t="n">
        <f aca="false">SUM(V43:V48)</f>
        <v>-151425.838649866</v>
      </c>
      <c r="W49" s="907" t="n">
        <f aca="false">SUM(W43:W48)</f>
        <v>-152182.967843116</v>
      </c>
      <c r="X49" s="907" t="n">
        <f aca="false">SUM(X43:X48)</f>
        <v>-152943.882682331</v>
      </c>
      <c r="Y49" s="908" t="n">
        <f aca="false">SUM(Y43:Y48)</f>
        <v>-153708.602095743</v>
      </c>
      <c r="Z49" s="909" t="n">
        <f aca="false">SUM(Z43:Z48)</f>
        <v>-154477.145106221</v>
      </c>
      <c r="AA49" s="910" t="n">
        <f aca="false">SUM(AA43:AA48)</f>
        <v>-155249.530831753</v>
      </c>
      <c r="AB49" s="910" t="n">
        <f aca="false">SUM(AB43:AB48)</f>
        <v>-156025.778485911</v>
      </c>
      <c r="AC49" s="910" t="n">
        <f aca="false">SUM(AC43:AC48)</f>
        <v>-156805.907378341</v>
      </c>
      <c r="AD49" s="910" t="n">
        <f aca="false">SUM(AD43:AD48)</f>
        <v>-157589.936915233</v>
      </c>
      <c r="AE49" s="910" t="n">
        <f aca="false">SUM(AE43:AE48)</f>
        <v>-158377.886599809</v>
      </c>
      <c r="AF49" s="910" t="n">
        <f aca="false">SUM(AF43:AF48)</f>
        <v>-159169.776032808</v>
      </c>
      <c r="AG49" s="910" t="n">
        <f aca="false">SUM(AG43:AG48)</f>
        <v>-159965.624912972</v>
      </c>
      <c r="AH49" s="910" t="n">
        <f aca="false">SUM(AH43:AH48)</f>
        <v>-160765.453037537</v>
      </c>
      <c r="AI49" s="910" t="n">
        <f aca="false">SUM(AI43:AI48)</f>
        <v>-161569.280302724</v>
      </c>
      <c r="AJ49" s="910" t="n">
        <f aca="false">SUM(AJ43:AJ48)</f>
        <v>-162377.126704238</v>
      </c>
      <c r="AK49" s="911" t="n">
        <f aca="false">SUM(AK43:AK48)</f>
        <v>-163189.012337759</v>
      </c>
      <c r="AL49" s="912" t="n">
        <f aca="false">SUM(AL43:AL48)</f>
        <v>-164004.957399448</v>
      </c>
      <c r="AM49" s="913" t="n">
        <f aca="false">SUM(AM43:AM48)</f>
        <v>-164824.982186445</v>
      </c>
      <c r="AN49" s="913" t="n">
        <f aca="false">SUM(AN43:AN48)</f>
        <v>-165649.107097377</v>
      </c>
      <c r="AO49" s="913" t="n">
        <f aca="false">SUM(AO43:AO48)</f>
        <v>-166477.352632864</v>
      </c>
      <c r="AP49" s="913" t="n">
        <f aca="false">SUM(AP43:AP48)</f>
        <v>-167309.739396029</v>
      </c>
      <c r="AQ49" s="913" t="n">
        <f aca="false">SUM(AQ43:AQ48)</f>
        <v>-168146.288093009</v>
      </c>
      <c r="AR49" s="913" t="n">
        <f aca="false">SUM(AR43:AR48)</f>
        <v>-168987.019533474</v>
      </c>
      <c r="AS49" s="913" t="n">
        <f aca="false">SUM(AS43:AS48)</f>
        <v>-169831.954631141</v>
      </c>
      <c r="AT49" s="913" t="n">
        <f aca="false">SUM(AT43:AT48)</f>
        <v>-170681.114404297</v>
      </c>
      <c r="AU49" s="913" t="n">
        <f aca="false">SUM(AU43:AU48)</f>
        <v>-171534.519976318</v>
      </c>
      <c r="AV49" s="913" t="n">
        <f aca="false">SUM(AV43:AV48)</f>
        <v>-172392.1925762</v>
      </c>
      <c r="AW49" s="914" t="n">
        <f aca="false">SUM(AW43:AW48)</f>
        <v>-173254.153539081</v>
      </c>
      <c r="AX49" s="915" t="n">
        <f aca="false">SUM(AX43:AX48)</f>
        <v>-174120.424306776</v>
      </c>
      <c r="AY49" s="916" t="n">
        <f aca="false">SUM(AY43:AY48)</f>
        <v>-174991.02642831</v>
      </c>
      <c r="AZ49" s="916" t="n">
        <f aca="false">SUM(AZ43:AZ48)</f>
        <v>-175865.981560452</v>
      </c>
      <c r="BA49" s="916" t="n">
        <f aca="false">SUM(BA43:BA48)</f>
        <v>-176745.311468254</v>
      </c>
      <c r="BB49" s="916" t="n">
        <f aca="false">SUM(BB43:BB48)</f>
        <v>-177629.038025595</v>
      </c>
      <c r="BC49" s="916" t="n">
        <f aca="false">SUM(BC43:BC48)</f>
        <v>-178517.183215723</v>
      </c>
      <c r="BD49" s="916" t="n">
        <f aca="false">SUM(BD43:BD48)</f>
        <v>-179409.769131802</v>
      </c>
      <c r="BE49" s="916" t="n">
        <f aca="false">SUM(BE43:BE48)</f>
        <v>-180306.817977461</v>
      </c>
      <c r="BF49" s="916" t="n">
        <f aca="false">SUM(BF43:BF48)</f>
        <v>-181208.352067348</v>
      </c>
      <c r="BG49" s="916" t="n">
        <f aca="false">SUM(BG43:BG48)</f>
        <v>-182114.393827685</v>
      </c>
      <c r="BH49" s="917" t="n">
        <f aca="false">SUM(BH43:BH48)</f>
        <v>-183024.965796823</v>
      </c>
      <c r="BI49" s="866" t="n">
        <f aca="false">SUM(BI43:BI48)</f>
        <v>-183940.090625808</v>
      </c>
      <c r="BJ49" s="843" t="n">
        <f aca="false">SUM(B49:M49)</f>
        <v>29689668.3665807</v>
      </c>
      <c r="BK49" s="918" t="n">
        <f aca="false">SUM(N49:Y49)</f>
        <v>1509830.76993282</v>
      </c>
      <c r="BL49" s="918" t="n">
        <f aca="false">SUM(Z49:AK49)</f>
        <v>-1905562.45864531</v>
      </c>
      <c r="BM49" s="918" t="n">
        <f aca="false">SUM(AL49:AW49)</f>
        <v>-2023093.38146568</v>
      </c>
      <c r="BN49" s="918" t="n">
        <f aca="false">SUM(AX49:BI49)</f>
        <v>-2147873.35443204</v>
      </c>
      <c r="BO49" s="899" t="s">
        <v>1770</v>
      </c>
    </row>
    <row r="50" customFormat="false" ht="12" hidden="false" customHeight="true" outlineLevel="0" collapsed="false">
      <c r="A50" s="919" t="s">
        <v>1771</v>
      </c>
      <c r="B50" s="839" t="n">
        <f aca="false">B31+B40+B49</f>
        <v>9994578.0003863</v>
      </c>
      <c r="C50" s="839" t="n">
        <f aca="false">C31+C40+C49</f>
        <v>-396039.615635617</v>
      </c>
      <c r="D50" s="839" t="n">
        <f aca="false">D31+D40+D49</f>
        <v>-412977.020537417</v>
      </c>
      <c r="E50" s="839" t="n">
        <f aca="false">E31+E40+E49</f>
        <v>-420750.180983845</v>
      </c>
      <c r="F50" s="839" t="n">
        <f aca="false">F31+F40+F49</f>
        <v>-383492.956529836</v>
      </c>
      <c r="G50" s="839" t="n">
        <f aca="false">G31+G40+G49</f>
        <v>-345887.996054194</v>
      </c>
      <c r="H50" s="839" t="n">
        <f aca="false">H31+H40+H49</f>
        <v>-324413.659233671</v>
      </c>
      <c r="I50" s="839" t="n">
        <f aca="false">I31+I40+I49</f>
        <v>-339444.717646863</v>
      </c>
      <c r="J50" s="839" t="n">
        <f aca="false">J31+J40+J49</f>
        <v>-321069.028240363</v>
      </c>
      <c r="K50" s="839" t="n">
        <f aca="false">K31+K40+K49</f>
        <v>-279547.246362323</v>
      </c>
      <c r="L50" s="839" t="n">
        <f aca="false">L31+L40+L49</f>
        <v>-235112.119820971</v>
      </c>
      <c r="M50" s="840" t="n">
        <f aca="false">M31+M40+M49</f>
        <v>-191457.078117546</v>
      </c>
      <c r="N50" s="834" t="n">
        <f aca="false">N31+N40+N49</f>
        <v>-139782.599120566</v>
      </c>
      <c r="O50" s="834" t="n">
        <f aca="false">O31+O40+O49</f>
        <v>409447.906291031</v>
      </c>
      <c r="P50" s="834" t="n">
        <f aca="false">P31+P40+P49</f>
        <v>500030.832949563</v>
      </c>
      <c r="Q50" s="834" t="n">
        <f aca="false">Q31+Q40+Q49</f>
        <v>549330.55430744</v>
      </c>
      <c r="R50" s="834" t="n">
        <f aca="false">R31+R40+R49</f>
        <v>600942.368489379</v>
      </c>
      <c r="S50" s="834" t="n">
        <f aca="false">S31+S40+S49</f>
        <v>652554.164552776</v>
      </c>
      <c r="T50" s="834" t="n">
        <f aca="false">T31+T40+T49</f>
        <v>702706.591526045</v>
      </c>
      <c r="U50" s="834" t="n">
        <f aca="false">U31+U40+U49</f>
        <v>649658.806034889</v>
      </c>
      <c r="V50" s="834" t="n">
        <f aca="false">V31+V40+V49</f>
        <v>732036.742624627</v>
      </c>
      <c r="W50" s="834" t="n">
        <f aca="false">W31+W40+W49</f>
        <v>855076.887522583</v>
      </c>
      <c r="X50" s="834" t="n">
        <f aca="false">X31+X40+X49</f>
        <v>978116.44878399</v>
      </c>
      <c r="Y50" s="835" t="n">
        <f aca="false">Y31+Y40+Y49</f>
        <v>1101155.42349067</v>
      </c>
      <c r="Z50" s="836" t="n">
        <f aca="false">Z31+Z40+Z49</f>
        <v>1254317.23995584</v>
      </c>
      <c r="AA50" s="834" t="n">
        <f aca="false">AA31+AA40+AA49</f>
        <v>3544555.00200914</v>
      </c>
      <c r="AB50" s="834" t="n">
        <f aca="false">AB31+AB40+AB49</f>
        <v>3544435.32718935</v>
      </c>
      <c r="AC50" s="834" t="n">
        <f aca="false">AC31+AC40+AC49</f>
        <v>3544315.05399545</v>
      </c>
      <c r="AD50" s="834" t="n">
        <f aca="false">AD31+AD40+AD49</f>
        <v>3544194.17943559</v>
      </c>
      <c r="AE50" s="834" t="n">
        <f aca="false">AE31+AE40+AE49</f>
        <v>3544072.70050293</v>
      </c>
      <c r="AF50" s="834" t="n">
        <f aca="false">AF31+AF40+AF49</f>
        <v>3543950.6141756</v>
      </c>
      <c r="AG50" s="834" t="n">
        <f aca="false">AG31+AG40+AG49</f>
        <v>3543827.91741664</v>
      </c>
      <c r="AH50" s="834" t="n">
        <f aca="false">AH31+AH40+AH49</f>
        <v>3543704.60717388</v>
      </c>
      <c r="AI50" s="834" t="n">
        <f aca="false">AI31+AI40+AI49</f>
        <v>3543580.68037991</v>
      </c>
      <c r="AJ50" s="834" t="n">
        <f aca="false">AJ31+AJ40+AJ49</f>
        <v>3543456.13395197</v>
      </c>
      <c r="AK50" s="835" t="n">
        <f aca="false">AK31+AK40+AK49</f>
        <v>3543330.96479188</v>
      </c>
      <c r="AL50" s="836" t="n">
        <f aca="false">AL31+AL40+AL49</f>
        <v>3550390.86413212</v>
      </c>
      <c r="AM50" s="834" t="n">
        <f aca="false">AM31+AM40+AM49</f>
        <v>4067634.43307214</v>
      </c>
      <c r="AN50" s="834" t="n">
        <f aca="false">AN31+AN40+AN49</f>
        <v>4067507.37697133</v>
      </c>
      <c r="AO50" s="834" t="n">
        <f aca="false">AO31+AO40+AO49</f>
        <v>4067379.68559001</v>
      </c>
      <c r="AP50" s="834" t="n">
        <f aca="false">AP31+AP40+AP49</f>
        <v>4067251.35575179</v>
      </c>
      <c r="AQ50" s="834" t="n">
        <f aca="false">AQ31+AQ40+AQ49</f>
        <v>4067122.38426436</v>
      </c>
      <c r="AR50" s="834" t="n">
        <f aca="false">AR31+AR40+AR49</f>
        <v>4066992.76791951</v>
      </c>
      <c r="AS50" s="834" t="n">
        <f aca="false">AS31+AS40+AS49</f>
        <v>4066862.50349293</v>
      </c>
      <c r="AT50" s="834" t="n">
        <f aca="false">AT31+AT40+AT49</f>
        <v>4066731.58774422</v>
      </c>
      <c r="AU50" s="834" t="n">
        <f aca="false">AU31+AU40+AU49</f>
        <v>4066600.01741676</v>
      </c>
      <c r="AV50" s="834" t="n">
        <f aca="false">AV31+AV40+AV49</f>
        <v>4066467.78923767</v>
      </c>
      <c r="AW50" s="835" t="n">
        <f aca="false">AW31+AW40+AW49</f>
        <v>4066334.89991768</v>
      </c>
      <c r="AX50" s="836" t="n">
        <f aca="false">AX31+AX40+AX49</f>
        <v>4073348.30653482</v>
      </c>
      <c r="AY50" s="834" t="n">
        <f aca="false">AY31+AY40+AY49</f>
        <v>4587795.2326278</v>
      </c>
      <c r="AZ50" s="834" t="n">
        <f aca="false">AZ31+AZ40+AZ49</f>
        <v>4587660.3399847</v>
      </c>
      <c r="BA50" s="834" t="n">
        <f aca="false">BA31+BA40+BA49</f>
        <v>4587524.77287839</v>
      </c>
      <c r="BB50" s="834" t="n">
        <f aca="false">BB31+BB40+BB49</f>
        <v>4587388.52793654</v>
      </c>
      <c r="BC50" s="834" t="n">
        <f aca="false">BC31+BC40+BC49</f>
        <v>4587251.60176999</v>
      </c>
      <c r="BD50" s="834" t="n">
        <f aca="false">BD31+BD40+BD49</f>
        <v>4587113.99097261</v>
      </c>
      <c r="BE50" s="834" t="n">
        <f aca="false">BE31+BE40+BE49</f>
        <v>4586975.69212122</v>
      </c>
      <c r="BF50" s="834" t="n">
        <f aca="false">BF31+BF40+BF49</f>
        <v>4586836.7017756</v>
      </c>
      <c r="BG50" s="834" t="n">
        <f aca="false">BG31+BG40+BG49</f>
        <v>4586697.01647824</v>
      </c>
      <c r="BH50" s="834" t="n">
        <f aca="false">BH31+BH40+BH49</f>
        <v>4586556.63275439</v>
      </c>
      <c r="BI50" s="665" t="n">
        <f aca="false">BI31+BI40+BI49</f>
        <v>4586415.54711193</v>
      </c>
      <c r="BJ50" s="675" t="n">
        <f aca="false">SUM(B50:M50)</f>
        <v>6344386.38122366</v>
      </c>
      <c r="BK50" s="675" t="n">
        <f aca="false">SUM(N50:Y50)</f>
        <v>7591274.12745243</v>
      </c>
      <c r="BL50" s="675" t="n">
        <f aca="false">SUM(Z50:AK50)</f>
        <v>40237740.4209782</v>
      </c>
      <c r="BM50" s="675" t="n">
        <f aca="false">SUM(AL50:AW50)</f>
        <v>48287275.6655105</v>
      </c>
      <c r="BN50" s="675" t="n">
        <f aca="false">SUM(AX50:BI50)</f>
        <v>54531564.3629462</v>
      </c>
      <c r="BO50" s="920" t="s">
        <v>1771</v>
      </c>
    </row>
    <row r="51" customFormat="false" ht="12" hidden="false" customHeight="true" outlineLevel="0" collapsed="false">
      <c r="A51" s="861" t="s">
        <v>1772</v>
      </c>
      <c r="B51" s="675" t="n">
        <f aca="false">Existing!D8</f>
        <v>0</v>
      </c>
      <c r="C51" s="675" t="n">
        <f aca="false">B52</f>
        <v>9994578.0003863</v>
      </c>
      <c r="D51" s="675" t="n">
        <f aca="false">C52</f>
        <v>9598538.38475069</v>
      </c>
      <c r="E51" s="675" t="n">
        <f aca="false">D52</f>
        <v>9185561.36421327</v>
      </c>
      <c r="F51" s="675" t="n">
        <f aca="false">E52</f>
        <v>8764811.18322942</v>
      </c>
      <c r="G51" s="675" t="n">
        <f aca="false">F52</f>
        <v>8381318.22669959</v>
      </c>
      <c r="H51" s="675" t="n">
        <f aca="false">G52</f>
        <v>8035430.23064539</v>
      </c>
      <c r="I51" s="675" t="n">
        <f aca="false">H52</f>
        <v>7711016.57141172</v>
      </c>
      <c r="J51" s="675" t="n">
        <f aca="false">I52</f>
        <v>7371571.85376486</v>
      </c>
      <c r="K51" s="675" t="n">
        <f aca="false">J52</f>
        <v>7050502.8255245</v>
      </c>
      <c r="L51" s="675" t="n">
        <f aca="false">K52</f>
        <v>6770955.57916217</v>
      </c>
      <c r="M51" s="855" t="n">
        <f aca="false">L52</f>
        <v>6535843.4593412</v>
      </c>
      <c r="N51" s="834" t="n">
        <f aca="false">M52</f>
        <v>6344386.38122366</v>
      </c>
      <c r="O51" s="834" t="n">
        <f aca="false">N52</f>
        <v>6204603.78210309</v>
      </c>
      <c r="P51" s="834" t="n">
        <f aca="false">O52</f>
        <v>6614051.68839412</v>
      </c>
      <c r="Q51" s="834" t="n">
        <f aca="false">P52</f>
        <v>7114082.52134368</v>
      </c>
      <c r="R51" s="834" t="n">
        <f aca="false">Q52</f>
        <v>7663413.07565112</v>
      </c>
      <c r="S51" s="834" t="n">
        <f aca="false">R52</f>
        <v>8264355.4441405</v>
      </c>
      <c r="T51" s="834" t="n">
        <f aca="false">S52</f>
        <v>8916909.60869328</v>
      </c>
      <c r="U51" s="834" t="n">
        <f aca="false">T52</f>
        <v>9619616.20021932</v>
      </c>
      <c r="V51" s="834" t="n">
        <f aca="false">U52</f>
        <v>10269275.0062542</v>
      </c>
      <c r="W51" s="834" t="n">
        <f aca="false">V52</f>
        <v>11001311.7488788</v>
      </c>
      <c r="X51" s="834" t="n">
        <f aca="false">W52</f>
        <v>11856388.6364014</v>
      </c>
      <c r="Y51" s="835" t="n">
        <f aca="false">X52</f>
        <v>12834505.0851854</v>
      </c>
      <c r="Z51" s="836" t="n">
        <f aca="false">Y52</f>
        <v>13935660.5086761</v>
      </c>
      <c r="AA51" s="834" t="n">
        <f aca="false">Z52</f>
        <v>15189977.7486319</v>
      </c>
      <c r="AB51" s="834" t="n">
        <f aca="false">AA52</f>
        <v>18734532.7506411</v>
      </c>
      <c r="AC51" s="834" t="n">
        <f aca="false">AB52</f>
        <v>22278968.0778304</v>
      </c>
      <c r="AD51" s="834" t="n">
        <f aca="false">AC52</f>
        <v>25823283.1318259</v>
      </c>
      <c r="AE51" s="834" t="n">
        <f aca="false">AD52</f>
        <v>29367477.3112615</v>
      </c>
      <c r="AF51" s="834" t="n">
        <f aca="false">AE52</f>
        <v>32911550.0117644</v>
      </c>
      <c r="AG51" s="834" t="n">
        <f aca="false">AF52</f>
        <v>36455500.62594</v>
      </c>
      <c r="AH51" s="834" t="n">
        <f aca="false">AG52</f>
        <v>39999328.5433566</v>
      </c>
      <c r="AI51" s="834" t="n">
        <f aca="false">AH52</f>
        <v>43543033.1505305</v>
      </c>
      <c r="AJ51" s="834" t="n">
        <f aca="false">AI52</f>
        <v>47086613.8309104</v>
      </c>
      <c r="AK51" s="835" t="n">
        <f aca="false">AJ52</f>
        <v>50630069.9648624</v>
      </c>
      <c r="AL51" s="836" t="n">
        <f aca="false">AK52</f>
        <v>54173400.9296542</v>
      </c>
      <c r="AM51" s="834" t="n">
        <f aca="false">AL52</f>
        <v>57723791.7937864</v>
      </c>
      <c r="AN51" s="834" t="n">
        <f aca="false">AM52</f>
        <v>61791426.2268585</v>
      </c>
      <c r="AO51" s="834" t="n">
        <f aca="false">AN52</f>
        <v>65858933.6038298</v>
      </c>
      <c r="AP51" s="834" t="n">
        <f aca="false">AO52</f>
        <v>69926313.2894198</v>
      </c>
      <c r="AQ51" s="834" t="n">
        <f aca="false">AP52</f>
        <v>73993564.6451716</v>
      </c>
      <c r="AR51" s="834" t="n">
        <f aca="false">AQ52</f>
        <v>78060687.029436</v>
      </c>
      <c r="AS51" s="834" t="n">
        <f aca="false">AR52</f>
        <v>82127679.7973555</v>
      </c>
      <c r="AT51" s="834" t="n">
        <f aca="false">AS52</f>
        <v>86194542.3008484</v>
      </c>
      <c r="AU51" s="834" t="n">
        <f aca="false">AT52</f>
        <v>90261273.8885927</v>
      </c>
      <c r="AV51" s="834" t="n">
        <f aca="false">AU52</f>
        <v>94327873.9060094</v>
      </c>
      <c r="AW51" s="835" t="n">
        <f aca="false">AV52</f>
        <v>98394341.6952471</v>
      </c>
      <c r="AX51" s="836" t="n">
        <f aca="false">AW52</f>
        <v>102460676.595165</v>
      </c>
      <c r="AY51" s="834" t="n">
        <f aca="false">AX52</f>
        <v>106534024.9017</v>
      </c>
      <c r="AZ51" s="834" t="n">
        <f aca="false">AY52</f>
        <v>111121820.134327</v>
      </c>
      <c r="BA51" s="834" t="n">
        <f aca="false">AZ52</f>
        <v>115709480.474312</v>
      </c>
      <c r="BB51" s="834" t="n">
        <f aca="false">BA52</f>
        <v>120297005.24719</v>
      </c>
      <c r="BC51" s="834" t="n">
        <f aca="false">BB52</f>
        <v>124884393.775127</v>
      </c>
      <c r="BD51" s="834" t="n">
        <f aca="false">BC52</f>
        <v>129471645.376897</v>
      </c>
      <c r="BE51" s="834" t="n">
        <f aca="false">BD52</f>
        <v>134058759.36787</v>
      </c>
      <c r="BF51" s="834" t="n">
        <f aca="false">BE52</f>
        <v>138645735.059991</v>
      </c>
      <c r="BG51" s="834" t="n">
        <f aca="false">BF52</f>
        <v>143232571.761766</v>
      </c>
      <c r="BH51" s="834" t="n">
        <f aca="false">BG52</f>
        <v>147819268.778245</v>
      </c>
      <c r="BI51" s="835" t="n">
        <f aca="false">BH52</f>
        <v>152405825.410999</v>
      </c>
      <c r="BJ51" s="675" t="n">
        <f aca="false">B51</f>
        <v>0</v>
      </c>
      <c r="BK51" s="675" t="n">
        <f aca="false">M52</f>
        <v>6344386.38122366</v>
      </c>
      <c r="BL51" s="675" t="n">
        <f aca="false">Y52</f>
        <v>13935660.5086761</v>
      </c>
      <c r="BM51" s="675" t="n">
        <f aca="false">AK52</f>
        <v>54173400.9296542</v>
      </c>
      <c r="BN51" s="675" t="n">
        <f aca="false">AW52</f>
        <v>102460676.595165</v>
      </c>
      <c r="BO51" s="921" t="s">
        <v>1772</v>
      </c>
    </row>
    <row r="52" s="887" customFormat="true" ht="10.5" hidden="false" customHeight="true" outlineLevel="0" collapsed="false">
      <c r="A52" s="922" t="s">
        <v>1773</v>
      </c>
      <c r="B52" s="675" t="n">
        <f aca="false">B51+B50</f>
        <v>9994578.0003863</v>
      </c>
      <c r="C52" s="675" t="n">
        <f aca="false">C51+C50</f>
        <v>9598538.38475069</v>
      </c>
      <c r="D52" s="675" t="n">
        <f aca="false">D51+D50</f>
        <v>9185561.36421327</v>
      </c>
      <c r="E52" s="675" t="n">
        <f aca="false">E51+E50</f>
        <v>8764811.18322942</v>
      </c>
      <c r="F52" s="675" t="n">
        <f aca="false">F51+F50</f>
        <v>8381318.22669959</v>
      </c>
      <c r="G52" s="675" t="n">
        <f aca="false">G51+G50</f>
        <v>8035430.23064539</v>
      </c>
      <c r="H52" s="675" t="n">
        <f aca="false">H51+H50</f>
        <v>7711016.57141172</v>
      </c>
      <c r="I52" s="675" t="n">
        <f aca="false">I51+I50</f>
        <v>7371571.85376486</v>
      </c>
      <c r="J52" s="675" t="n">
        <f aca="false">J51+J50</f>
        <v>7050502.8255245</v>
      </c>
      <c r="K52" s="675" t="n">
        <f aca="false">K51+K50</f>
        <v>6770955.57916217</v>
      </c>
      <c r="L52" s="675" t="n">
        <f aca="false">L51+L50</f>
        <v>6535843.4593412</v>
      </c>
      <c r="M52" s="855" t="n">
        <f aca="false">M51+M50</f>
        <v>6344386.38122366</v>
      </c>
      <c r="N52" s="923" t="n">
        <f aca="false">N51+N50</f>
        <v>6204603.78210309</v>
      </c>
      <c r="O52" s="923" t="n">
        <f aca="false">O51+O50</f>
        <v>6614051.68839412</v>
      </c>
      <c r="P52" s="923" t="n">
        <f aca="false">P51+P50</f>
        <v>7114082.52134368</v>
      </c>
      <c r="Q52" s="923" t="n">
        <f aca="false">Q51+Q50</f>
        <v>7663413.07565112</v>
      </c>
      <c r="R52" s="923" t="n">
        <f aca="false">R51+R50</f>
        <v>8264355.4441405</v>
      </c>
      <c r="S52" s="923" t="n">
        <f aca="false">S51+S50</f>
        <v>8916909.60869328</v>
      </c>
      <c r="T52" s="923" t="n">
        <f aca="false">T51+T50</f>
        <v>9619616.20021932</v>
      </c>
      <c r="U52" s="923" t="n">
        <f aca="false">U51+U50</f>
        <v>10269275.0062542</v>
      </c>
      <c r="V52" s="923" t="n">
        <f aca="false">V51+V50</f>
        <v>11001311.7488788</v>
      </c>
      <c r="W52" s="923" t="n">
        <f aca="false">W51+W50</f>
        <v>11856388.6364014</v>
      </c>
      <c r="X52" s="923" t="n">
        <f aca="false">X51+X50</f>
        <v>12834505.0851854</v>
      </c>
      <c r="Y52" s="924" t="n">
        <f aca="false">Y51+Y50</f>
        <v>13935660.5086761</v>
      </c>
      <c r="Z52" s="925" t="n">
        <f aca="false">Z51+Z50</f>
        <v>15189977.7486319</v>
      </c>
      <c r="AA52" s="923" t="n">
        <f aca="false">AA51+AA50</f>
        <v>18734532.7506411</v>
      </c>
      <c r="AB52" s="923" t="n">
        <f aca="false">AB51+AB50</f>
        <v>22278968.0778304</v>
      </c>
      <c r="AC52" s="923" t="n">
        <f aca="false">AC51+AC50</f>
        <v>25823283.1318259</v>
      </c>
      <c r="AD52" s="923" t="n">
        <f aca="false">AD51+AD50</f>
        <v>29367477.3112615</v>
      </c>
      <c r="AE52" s="923" t="n">
        <f aca="false">AE51+AE50</f>
        <v>32911550.0117644</v>
      </c>
      <c r="AF52" s="923" t="n">
        <f aca="false">AF51+AF50</f>
        <v>36455500.62594</v>
      </c>
      <c r="AG52" s="923" t="n">
        <f aca="false">AG51+AG50</f>
        <v>39999328.5433566</v>
      </c>
      <c r="AH52" s="923" t="n">
        <f aca="false">AH51+AH50</f>
        <v>43543033.1505305</v>
      </c>
      <c r="AI52" s="923" t="n">
        <f aca="false">AI51+AI50</f>
        <v>47086613.8309104</v>
      </c>
      <c r="AJ52" s="923" t="n">
        <f aca="false">AJ51+AJ50</f>
        <v>50630069.9648624</v>
      </c>
      <c r="AK52" s="924" t="n">
        <f aca="false">AK51+AK50</f>
        <v>54173400.9296542</v>
      </c>
      <c r="AL52" s="925" t="n">
        <f aca="false">AL51+AL50</f>
        <v>57723791.7937864</v>
      </c>
      <c r="AM52" s="923" t="n">
        <f aca="false">AM51+AM50</f>
        <v>61791426.2268585</v>
      </c>
      <c r="AN52" s="923" t="n">
        <f aca="false">AN51+AN50</f>
        <v>65858933.6038298</v>
      </c>
      <c r="AO52" s="923" t="n">
        <f aca="false">AO51+AO50</f>
        <v>69926313.2894198</v>
      </c>
      <c r="AP52" s="923" t="n">
        <f aca="false">AP51+AP50</f>
        <v>73993564.6451716</v>
      </c>
      <c r="AQ52" s="923" t="n">
        <f aca="false">AQ51+AQ50</f>
        <v>78060687.029436</v>
      </c>
      <c r="AR52" s="923" t="n">
        <f aca="false">AR51+AR50</f>
        <v>82127679.7973555</v>
      </c>
      <c r="AS52" s="923" t="n">
        <f aca="false">AS51+AS50</f>
        <v>86194542.3008484</v>
      </c>
      <c r="AT52" s="923" t="n">
        <f aca="false">AT51+AT50</f>
        <v>90261273.8885927</v>
      </c>
      <c r="AU52" s="923" t="n">
        <f aca="false">AU51+AU50</f>
        <v>94327873.9060094</v>
      </c>
      <c r="AV52" s="923" t="n">
        <f aca="false">AV51+AV50</f>
        <v>98394341.6952471</v>
      </c>
      <c r="AW52" s="924" t="n">
        <f aca="false">AW51+AW50</f>
        <v>102460676.595165</v>
      </c>
      <c r="AX52" s="925" t="n">
        <f aca="false">AX51+AX50</f>
        <v>106534024.9017</v>
      </c>
      <c r="AY52" s="923" t="n">
        <f aca="false">AY51+AY50</f>
        <v>111121820.134327</v>
      </c>
      <c r="AZ52" s="923" t="n">
        <f aca="false">AZ51+AZ50</f>
        <v>115709480.474312</v>
      </c>
      <c r="BA52" s="923" t="n">
        <f aca="false">BA51+BA50</f>
        <v>120297005.24719</v>
      </c>
      <c r="BB52" s="923" t="n">
        <f aca="false">BB51+BB50</f>
        <v>124884393.775127</v>
      </c>
      <c r="BC52" s="923" t="n">
        <f aca="false">BC51+BC50</f>
        <v>129471645.376897</v>
      </c>
      <c r="BD52" s="923" t="n">
        <f aca="false">BD51+BD50</f>
        <v>134058759.36787</v>
      </c>
      <c r="BE52" s="923" t="n">
        <f aca="false">BE51+BE50</f>
        <v>138645735.059991</v>
      </c>
      <c r="BF52" s="923" t="n">
        <f aca="false">BF51+BF50</f>
        <v>143232571.761766</v>
      </c>
      <c r="BG52" s="923" t="n">
        <f aca="false">BG51+BG50</f>
        <v>147819268.778245</v>
      </c>
      <c r="BH52" s="834" t="n">
        <f aca="false">BH51+BH50</f>
        <v>152405825.410999</v>
      </c>
      <c r="BI52" s="835" t="n">
        <f aca="false">BI51+BI50</f>
        <v>156992240.958111</v>
      </c>
      <c r="BJ52" s="675" t="n">
        <f aca="false">M52</f>
        <v>6344386.38122366</v>
      </c>
      <c r="BK52" s="675" t="n">
        <f aca="false">Y52</f>
        <v>13935660.5086761</v>
      </c>
      <c r="BL52" s="675" t="n">
        <f aca="false">AK52</f>
        <v>54173400.9296542</v>
      </c>
      <c r="BM52" s="675" t="n">
        <f aca="false">AW52</f>
        <v>102460676.595165</v>
      </c>
      <c r="BN52" s="675" t="n">
        <f aca="false">BI52</f>
        <v>156992240.958111</v>
      </c>
      <c r="BO52" s="926" t="s">
        <v>1773</v>
      </c>
    </row>
    <row r="53" customFormat="false" ht="10.5" hidden="false" customHeight="true" outlineLevel="0" collapsed="false">
      <c r="A53" s="927" t="s">
        <v>1774</v>
      </c>
      <c r="B53" s="928" t="n">
        <f aca="false">IFERROR(B52/'P&amp;L'!B41,0)</f>
        <v>25.2512056726535</v>
      </c>
      <c r="C53" s="928" t="n">
        <f aca="false">IFERROR(C52/'P&amp;L'!C41,0)</f>
        <v>23.2487829840634</v>
      </c>
      <c r="D53" s="928" t="n">
        <f aca="false">IFERROR(D52/'P&amp;L'!D41,0)</f>
        <v>21.7935005806444</v>
      </c>
      <c r="E53" s="928" t="n">
        <f aca="false">IFERROR(E52/'P&amp;L'!E41,0)</f>
        <v>20.1578107134708</v>
      </c>
      <c r="F53" s="928" t="n">
        <f aca="false">F52/'P&amp;L'!F41</f>
        <v>18.6987255328832</v>
      </c>
      <c r="G53" s="928" t="n">
        <f aca="false">G52/'P&amp;L'!G41</f>
        <v>16.1877751734263</v>
      </c>
      <c r="H53" s="928" t="n">
        <f aca="false">H52/'P&amp;L'!H41</f>
        <v>12.6689091995345</v>
      </c>
      <c r="I53" s="928" t="n">
        <f aca="false">I52/'P&amp;L'!I41</f>
        <v>10.7379664893889</v>
      </c>
      <c r="J53" s="928" t="n">
        <f aca="false">J52/'P&amp;L'!J41</f>
        <v>9.5634854240008</v>
      </c>
      <c r="K53" s="928" t="n">
        <f aca="false">K52/'P&amp;L'!K41</f>
        <v>8.57347362584738</v>
      </c>
      <c r="L53" s="928" t="n">
        <f aca="false">L52/'P&amp;L'!L41</f>
        <v>7.80951855977797</v>
      </c>
      <c r="M53" s="929" t="n">
        <f aca="false">M52/'P&amp;L'!M41</f>
        <v>7.13307457125027</v>
      </c>
      <c r="N53" s="928" t="n">
        <f aca="false">N52/('P&amp;L'!N41)</f>
        <v>5.35685557903912</v>
      </c>
      <c r="O53" s="928" t="n">
        <f aca="false">O52/('P&amp;L'!O41)</f>
        <v>5.30345869225728</v>
      </c>
      <c r="P53" s="928" t="n">
        <f aca="false">P52/('P&amp;L'!P41)</f>
        <v>5.15230206620505</v>
      </c>
      <c r="Q53" s="928" t="n">
        <f aca="false">Q52/('P&amp;L'!Q41)</f>
        <v>5.07338708855297</v>
      </c>
      <c r="R53" s="928" t="n">
        <f aca="false">R52/('P&amp;L'!R41)</f>
        <v>5.03842284266111</v>
      </c>
      <c r="S53" s="928" t="n">
        <f aca="false">S52/('P&amp;L'!S41)</f>
        <v>5.03774368453746</v>
      </c>
      <c r="T53" s="928" t="n">
        <f aca="false">T52/('P&amp;L'!T41)</f>
        <v>5.06355644428323</v>
      </c>
      <c r="U53" s="928" t="n">
        <f aca="false">U52/('P&amp;L'!U41)</f>
        <v>5.17407218941585</v>
      </c>
      <c r="V53" s="928" t="n">
        <f aca="false">V52/('P&amp;L'!V41)</f>
        <v>5.44286365264044</v>
      </c>
      <c r="W53" s="928" t="n">
        <f aca="false">W52/('P&amp;L'!W41)</f>
        <v>5.76191939897448</v>
      </c>
      <c r="X53" s="928" t="n">
        <f aca="false">X52/('P&amp;L'!X41)</f>
        <v>6.12861246150179</v>
      </c>
      <c r="Y53" s="929" t="n">
        <f aca="false">Y52/('P&amp;L'!Y41)</f>
        <v>6.54049577661294</v>
      </c>
      <c r="Z53" s="930" t="n">
        <f aca="false">Z52/('P&amp;L'!Z41)</f>
        <v>5.20386257617153</v>
      </c>
      <c r="AA53" s="928" t="n">
        <f aca="false">AA52/('P&amp;L'!AA41)</f>
        <v>6.41817489639848</v>
      </c>
      <c r="AB53" s="928" t="n">
        <f aca="false">AB52/('P&amp;L'!AB41)</f>
        <v>7.63244621779539</v>
      </c>
      <c r="AC53" s="928" t="n">
        <f aca="false">AC52/('P&amp;L'!AC41)</f>
        <v>8.84667633536811</v>
      </c>
      <c r="AD53" s="928" t="n">
        <f aca="false">AD52/('P&amp;L'!AD41)</f>
        <v>10.0608650430975</v>
      </c>
      <c r="AE53" s="928" t="n">
        <f aca="false">AE52/('P&amp;L'!AE41)</f>
        <v>11.2750121339344</v>
      </c>
      <c r="AF53" s="928" t="n">
        <f aca="false">AF52/('P&amp;L'!AF41)</f>
        <v>12.4891173997943</v>
      </c>
      <c r="AG53" s="928" t="n">
        <f aca="false">AG52/('P&amp;L'!AG41)</f>
        <v>13.7031806315523</v>
      </c>
      <c r="AH53" s="928" t="n">
        <f aca="false">AH52/('P&amp;L'!AH41)</f>
        <v>14.9172016190379</v>
      </c>
      <c r="AI53" s="928" t="n">
        <f aca="false">AI52/('P&amp;L'!AI41)</f>
        <v>16.1311801510298</v>
      </c>
      <c r="AJ53" s="928" t="n">
        <f aca="false">AJ52/('P&amp;L'!AJ41)</f>
        <v>17.3451160152504</v>
      </c>
      <c r="AK53" s="929" t="n">
        <f aca="false">AK52/('P&amp;L'!AK41)</f>
        <v>18.559008998361</v>
      </c>
      <c r="AL53" s="930" t="n">
        <f aca="false">AL52/('P&amp;L'!AL41)</f>
        <v>18.6110764583758</v>
      </c>
      <c r="AM53" s="928" t="n">
        <f aca="false">AM52/('P&amp;L'!AM41)</f>
        <v>19.9225470511094</v>
      </c>
      <c r="AN53" s="928" t="n">
        <f aca="false">AN52/('P&amp;L'!AN41)</f>
        <v>21.2339766789179</v>
      </c>
      <c r="AO53" s="928" t="n">
        <f aca="false">AO52/('P&amp;L'!AO41)</f>
        <v>22.5453651369767</v>
      </c>
      <c r="AP53" s="928" t="n">
        <f aca="false">AP52/('P&amp;L'!AP41)</f>
        <v>23.8567122194371</v>
      </c>
      <c r="AQ53" s="928" t="n">
        <f aca="false">AQ52/('P&amp;L'!AQ41)</f>
        <v>25.1680177194209</v>
      </c>
      <c r="AR53" s="928" t="n">
        <f aca="false">AR52/('P&amp;L'!AR41)</f>
        <v>26.479281429016</v>
      </c>
      <c r="AS53" s="928" t="n">
        <f aca="false">AS52/('P&amp;L'!AS41)</f>
        <v>27.7905031392702</v>
      </c>
      <c r="AT53" s="928" t="n">
        <f aca="false">AT52/('P&amp;L'!AT41)</f>
        <v>29.101682640187</v>
      </c>
      <c r="AU53" s="928" t="n">
        <f aca="false">AU52/('P&amp;L'!AU41)</f>
        <v>30.4128197207196</v>
      </c>
      <c r="AV53" s="928" t="n">
        <f aca="false">AV52/('P&amp;L'!AV41)</f>
        <v>31.7239141687661</v>
      </c>
      <c r="AW53" s="929" t="n">
        <f aca="false">AW52/('P&amp;L'!AW41)</f>
        <v>33.034965771164</v>
      </c>
      <c r="AX53" s="930" t="n">
        <f aca="false">AX52/('P&amp;L'!AX41)</f>
        <v>32.4056833430316</v>
      </c>
      <c r="AY53" s="928" t="n">
        <f aca="false">AY52/('P&amp;L'!AY41)</f>
        <v>33.8012059442699</v>
      </c>
      <c r="AZ53" s="928" t="n">
        <f aca="false">AZ52/('P&amp;L'!AZ41)</f>
        <v>35.1966875136569</v>
      </c>
      <c r="BA53" s="928" t="n">
        <f aca="false">BA52/('P&amp;L'!BA41)</f>
        <v>36.5921278460331</v>
      </c>
      <c r="BB53" s="928" t="n">
        <f aca="false">BB52/('P&amp;L'!BB41)</f>
        <v>37.9875267352137</v>
      </c>
      <c r="BC53" s="928" t="n">
        <f aca="false">BC52/('P&amp;L'!BC41)</f>
        <v>39.3828839739826</v>
      </c>
      <c r="BD53" s="928" t="n">
        <f aca="false">BD52/('P&amp;L'!BD41)</f>
        <v>40.7781993540878</v>
      </c>
      <c r="BE53" s="928" t="n">
        <f aca="false">BE52/('P&amp;L'!BE41)</f>
        <v>42.1734726662359</v>
      </c>
      <c r="BF53" s="928" t="n">
        <f aca="false">BF52/('P&amp;L'!BF41)</f>
        <v>43.5687037000872</v>
      </c>
      <c r="BG53" s="928" t="n">
        <f aca="false">BG52/('P&amp;L'!BG41)</f>
        <v>44.9638922442501</v>
      </c>
      <c r="BH53" s="928" t="n">
        <f aca="false">BH52/('P&amp;L'!BH41)</f>
        <v>46.3590380862763</v>
      </c>
      <c r="BI53" s="929" t="n">
        <f aca="false">BI52/('P&amp;L'!BI41)</f>
        <v>47.754141012655</v>
      </c>
      <c r="BJ53" s="928" t="n">
        <f aca="false">M53</f>
        <v>7.13307457125027</v>
      </c>
      <c r="BK53" s="928" t="n">
        <f aca="false">Y53</f>
        <v>6.54049577661294</v>
      </c>
      <c r="BL53" s="928" t="n">
        <f aca="false">AK53</f>
        <v>18.559008998361</v>
      </c>
      <c r="BM53" s="928" t="n">
        <f aca="false">AW53</f>
        <v>33.034965771164</v>
      </c>
      <c r="BN53" s="928" t="n">
        <f aca="false">BI53</f>
        <v>47.754141012655</v>
      </c>
      <c r="BO53" s="651" t="s">
        <v>1774</v>
      </c>
    </row>
    <row r="54" s="939" customFormat="true" ht="10.5" hidden="false" customHeight="true" outlineLevel="0" collapsed="false">
      <c r="A54" s="931"/>
      <c r="B54" s="932" t="s">
        <v>1476</v>
      </c>
      <c r="C54" s="932" t="s">
        <v>1477</v>
      </c>
      <c r="D54" s="932" t="s">
        <v>1478</v>
      </c>
      <c r="E54" s="932" t="s">
        <v>1479</v>
      </c>
      <c r="F54" s="932" t="s">
        <v>1480</v>
      </c>
      <c r="G54" s="932" t="s">
        <v>1481</v>
      </c>
      <c r="H54" s="932" t="s">
        <v>1482</v>
      </c>
      <c r="I54" s="932" t="s">
        <v>1483</v>
      </c>
      <c r="J54" s="932" t="s">
        <v>1484</v>
      </c>
      <c r="K54" s="932" t="s">
        <v>1485</v>
      </c>
      <c r="L54" s="932" t="s">
        <v>1486</v>
      </c>
      <c r="M54" s="933" t="s">
        <v>1487</v>
      </c>
      <c r="N54" s="934" t="s">
        <v>1622</v>
      </c>
      <c r="O54" s="934" t="s">
        <v>1623</v>
      </c>
      <c r="P54" s="934" t="s">
        <v>1624</v>
      </c>
      <c r="Q54" s="934" t="s">
        <v>1625</v>
      </c>
      <c r="R54" s="934" t="s">
        <v>1626</v>
      </c>
      <c r="S54" s="934" t="s">
        <v>1627</v>
      </c>
      <c r="T54" s="934" t="s">
        <v>1628</v>
      </c>
      <c r="U54" s="934" t="s">
        <v>1629</v>
      </c>
      <c r="V54" s="934" t="s">
        <v>1630</v>
      </c>
      <c r="W54" s="934" t="s">
        <v>1631</v>
      </c>
      <c r="X54" s="934" t="s">
        <v>1632</v>
      </c>
      <c r="Y54" s="935" t="s">
        <v>1633</v>
      </c>
      <c r="Z54" s="936" t="s">
        <v>1634</v>
      </c>
      <c r="AA54" s="934" t="s">
        <v>1635</v>
      </c>
      <c r="AB54" s="934" t="s">
        <v>1636</v>
      </c>
      <c r="AC54" s="934" t="s">
        <v>1637</v>
      </c>
      <c r="AD54" s="934" t="s">
        <v>1638</v>
      </c>
      <c r="AE54" s="934" t="s">
        <v>1639</v>
      </c>
      <c r="AF54" s="934" t="s">
        <v>1640</v>
      </c>
      <c r="AG54" s="934" t="s">
        <v>1641</v>
      </c>
      <c r="AH54" s="934" t="s">
        <v>1642</v>
      </c>
      <c r="AI54" s="934" t="s">
        <v>1643</v>
      </c>
      <c r="AJ54" s="934" t="s">
        <v>1644</v>
      </c>
      <c r="AK54" s="935" t="s">
        <v>1645</v>
      </c>
      <c r="AL54" s="936" t="s">
        <v>1646</v>
      </c>
      <c r="AM54" s="934" t="s">
        <v>1647</v>
      </c>
      <c r="AN54" s="934" t="s">
        <v>1648</v>
      </c>
      <c r="AO54" s="934" t="s">
        <v>1649</v>
      </c>
      <c r="AP54" s="934" t="s">
        <v>1650</v>
      </c>
      <c r="AQ54" s="934" t="s">
        <v>1651</v>
      </c>
      <c r="AR54" s="934" t="s">
        <v>1652</v>
      </c>
      <c r="AS54" s="934" t="s">
        <v>1653</v>
      </c>
      <c r="AT54" s="934" t="s">
        <v>1654</v>
      </c>
      <c r="AU54" s="934" t="s">
        <v>1655</v>
      </c>
      <c r="AV54" s="934" t="s">
        <v>1656</v>
      </c>
      <c r="AW54" s="935" t="s">
        <v>1657</v>
      </c>
      <c r="AX54" s="936" t="s">
        <v>1658</v>
      </c>
      <c r="AY54" s="934" t="s">
        <v>1659</v>
      </c>
      <c r="AZ54" s="934" t="s">
        <v>1660</v>
      </c>
      <c r="BA54" s="934" t="s">
        <v>1661</v>
      </c>
      <c r="BB54" s="934" t="s">
        <v>1662</v>
      </c>
      <c r="BC54" s="934" t="s">
        <v>1663</v>
      </c>
      <c r="BD54" s="934" t="s">
        <v>1664</v>
      </c>
      <c r="BE54" s="934" t="s">
        <v>1665</v>
      </c>
      <c r="BF54" s="934" t="s">
        <v>1666</v>
      </c>
      <c r="BG54" s="934" t="s">
        <v>1667</v>
      </c>
      <c r="BH54" s="934" t="s">
        <v>1668</v>
      </c>
      <c r="BI54" s="935" t="s">
        <v>1669</v>
      </c>
      <c r="BJ54" s="932" t="s">
        <v>1488</v>
      </c>
      <c r="BK54" s="937" t="s">
        <v>1672</v>
      </c>
      <c r="BL54" s="937" t="s">
        <v>1673</v>
      </c>
      <c r="BM54" s="937" t="s">
        <v>1674</v>
      </c>
      <c r="BN54" s="937" t="s">
        <v>1675</v>
      </c>
      <c r="BO54" s="938"/>
    </row>
    <row r="55" s="946" customFormat="true" ht="12" hidden="false" customHeight="true" outlineLevel="0" collapsed="false">
      <c r="A55" s="940" t="s">
        <v>1775</v>
      </c>
      <c r="B55" s="941" t="n">
        <f aca="false">B62+B75+B85+B95+B105+B115</f>
        <v>0</v>
      </c>
      <c r="C55" s="941" t="n">
        <f aca="false">C62+C75+C85+C95+C105+C115</f>
        <v>0</v>
      </c>
      <c r="D55" s="941" t="n">
        <f aca="false">D62+D75+D85+D95+D105+D115</f>
        <v>0</v>
      </c>
      <c r="E55" s="941" t="n">
        <f aca="false">E62+E75+E85+E95+E105+E115</f>
        <v>0</v>
      </c>
      <c r="F55" s="941" t="n">
        <f aca="false">F62+F75+F85+F95+F105+F115</f>
        <v>0</v>
      </c>
      <c r="G55" s="941" t="n">
        <f aca="false">G62+G75+G85+G95+G105+G115</f>
        <v>0</v>
      </c>
      <c r="H55" s="941" t="n">
        <f aca="false">H62+H75+H85+H95+H105+H115</f>
        <v>25673.1</v>
      </c>
      <c r="I55" s="941" t="n">
        <f aca="false">I62+I75+I85+I95+I105+I115</f>
        <v>43324.4144551602</v>
      </c>
      <c r="J55" s="941" t="n">
        <f aca="false">J62+J75+J85+J95+J105+J115</f>
        <v>57395.9224724938</v>
      </c>
      <c r="K55" s="941" t="n">
        <f aca="false">K62+K75+K85+K95+K105+K115</f>
        <v>72452.2751085195</v>
      </c>
      <c r="L55" s="941" t="n">
        <f aca="false">L62+L75+L85+L95+L105+L115</f>
        <v>84188.4607147111</v>
      </c>
      <c r="M55" s="942" t="n">
        <f aca="false">M62+M75+M85+M95+M105+M115</f>
        <v>99072.379373667</v>
      </c>
      <c r="N55" s="941" t="n">
        <f aca="false">N62+N75+N85+N95+N105+N115</f>
        <v>110269.268832903</v>
      </c>
      <c r="O55" s="941" t="n">
        <f aca="false">O62+O75+O85+O95+O105+O115</f>
        <v>111900.05521454</v>
      </c>
      <c r="P55" s="941" t="n">
        <f aca="false">P62+P75+P85+P95+P105+P115</f>
        <v>113513.126907377</v>
      </c>
      <c r="Q55" s="941" t="n">
        <f aca="false">Q62+Q75+Q85+Q95+Q105+Q115</f>
        <v>112778.31933797</v>
      </c>
      <c r="R55" s="941" t="n">
        <f aca="false">R62+R75+R85+R95+R105+R115</f>
        <v>112039.837730716</v>
      </c>
      <c r="S55" s="941" t="n">
        <f aca="false">S62+S75+S85+S95+S105+S115</f>
        <v>111297.663715426</v>
      </c>
      <c r="T55" s="941" t="n">
        <f aca="false">T62+T75+T85+T95+T105+T115</f>
        <v>110551.778830059</v>
      </c>
      <c r="U55" s="941" t="n">
        <f aca="false">U62+U75+U85+U95+U105+U115</f>
        <v>109802.164520265</v>
      </c>
      <c r="V55" s="941" t="n">
        <f aca="false">V62+V75+V85+V95+V105+V115</f>
        <v>109048.802138923</v>
      </c>
      <c r="W55" s="941" t="n">
        <f aca="false">W62+W75+W85+W95+W105+W115</f>
        <v>108291.672945673</v>
      </c>
      <c r="X55" s="941" t="n">
        <f aca="false">X62+X75+X85+X95+X105+X115</f>
        <v>107530.758106458</v>
      </c>
      <c r="Y55" s="942" t="n">
        <f aca="false">Y62+Y75+Y85+Y95+Y105+Y115</f>
        <v>106766.038693046</v>
      </c>
      <c r="Z55" s="943" t="n">
        <f aca="false">Z62+Z75+Z85+Z95+Z105+Z115</f>
        <v>105997.495682567</v>
      </c>
      <c r="AA55" s="941" t="n">
        <f aca="false">AA62+AA75+AA85+AA95+AA105+AA115</f>
        <v>105225.109957036</v>
      </c>
      <c r="AB55" s="941" t="n">
        <f aca="false">AB62+AB75+AB85+AB95+AB105+AB115</f>
        <v>104448.862302878</v>
      </c>
      <c r="AC55" s="941" t="n">
        <f aca="false">AC62+AC75+AC85+AC95+AC105+AC115</f>
        <v>103668.733410448</v>
      </c>
      <c r="AD55" s="941" t="n">
        <f aca="false">AD62+AD75+AD85+AD95+AD105+AD115</f>
        <v>102884.703873556</v>
      </c>
      <c r="AE55" s="941" t="n">
        <f aca="false">AE62+AE75+AE85+AE95+AE105+AE115</f>
        <v>102096.75418898</v>
      </c>
      <c r="AF55" s="941" t="n">
        <f aca="false">AF62+AF75+AF85+AF95+AF105+AF115</f>
        <v>101304.864755981</v>
      </c>
      <c r="AG55" s="941" t="n">
        <f aca="false">AG62+AG75+AG85+AG95+AG105+AG115</f>
        <v>100509.015875817</v>
      </c>
      <c r="AH55" s="941" t="n">
        <f aca="false">AH62+AH75+AH85+AH95+AH105+AH115</f>
        <v>99709.1877512522</v>
      </c>
      <c r="AI55" s="941" t="n">
        <f aca="false">AI62+AI75+AI85+AI95+AI105+AI115</f>
        <v>98905.3604860645</v>
      </c>
      <c r="AJ55" s="941" t="n">
        <f aca="false">AJ62+AJ75+AJ85+AJ95+AJ105+AJ115</f>
        <v>98097.5140845509</v>
      </c>
      <c r="AK55" s="942" t="n">
        <f aca="false">AK62+AK75+AK85+AK95+AK105+AK115</f>
        <v>97285.6284510297</v>
      </c>
      <c r="AL55" s="943" t="n">
        <f aca="false">AL62+AL75+AL85+AL95+AL105+AL115</f>
        <v>96469.6833893409</v>
      </c>
      <c r="AM55" s="941" t="n">
        <f aca="false">AM62+AM75+AM85+AM95+AM105+AM115</f>
        <v>95649.6586023436</v>
      </c>
      <c r="AN55" s="941" t="n">
        <f aca="false">AN62+AN75+AN85+AN95+AN105+AN115</f>
        <v>94825.5336914114</v>
      </c>
      <c r="AO55" s="941" t="n">
        <f aca="false">AO62+AO75+AO85+AO95+AO105+AO115</f>
        <v>93997.2881559245</v>
      </c>
      <c r="AP55" s="941" t="n">
        <f aca="false">AP62+AP75+AP85+AP95+AP105+AP115</f>
        <v>93164.9013927602</v>
      </c>
      <c r="AQ55" s="941" t="n">
        <f aca="false">AQ62+AQ75+AQ85+AQ95+AQ105+AQ115</f>
        <v>92328.3526957801</v>
      </c>
      <c r="AR55" s="941" t="n">
        <f aca="false">AR62+AR75+AR85+AR95+AR105+AR115</f>
        <v>91487.621255315</v>
      </c>
      <c r="AS55" s="941" t="n">
        <f aca="false">AS62+AS75+AS85+AS95+AS105+AS115</f>
        <v>90642.6861576477</v>
      </c>
      <c r="AT55" s="941" t="n">
        <f aca="false">AT62+AT75+AT85+AT95+AT105+AT115</f>
        <v>89793.5263844919</v>
      </c>
      <c r="AU55" s="941" t="n">
        <f aca="false">AU62+AU75+AU85+AU95+AU105+AU115</f>
        <v>88940.1208124704</v>
      </c>
      <c r="AV55" s="941" t="n">
        <f aca="false">AV62+AV75+AV85+AV95+AV105+AV115</f>
        <v>88082.4482125889</v>
      </c>
      <c r="AW55" s="942" t="n">
        <f aca="false">AW62+AW75+AW85+AW95+AW105+AW115</f>
        <v>87220.4872497079</v>
      </c>
      <c r="AX55" s="943" t="n">
        <f aca="false">AX62+AX75+AX85+AX95+AX105+AX115</f>
        <v>86354.2164820125</v>
      </c>
      <c r="AY55" s="941" t="n">
        <f aca="false">AY62+AY75+AY85+AY95+AY105+AY115</f>
        <v>85483.6143604786</v>
      </c>
      <c r="AZ55" s="941" t="n">
        <f aca="false">AZ62+AZ75+AZ85+AZ95+AZ105+AZ115</f>
        <v>84608.659228337</v>
      </c>
      <c r="BA55" s="941" t="n">
        <f aca="false">BA62+BA75+BA85+BA95+BA105+BA115</f>
        <v>83729.3293205348</v>
      </c>
      <c r="BB55" s="941" t="n">
        <f aca="false">BB62+BB75+BB85+BB95+BB105+BB115</f>
        <v>82845.6027631935</v>
      </c>
      <c r="BC55" s="941" t="n">
        <f aca="false">BC62+BC75+BC85+BC95+BC105+BC115</f>
        <v>81957.4575730655</v>
      </c>
      <c r="BD55" s="941" t="n">
        <f aca="false">BD62+BD75+BD85+BD95+BD105+BD115</f>
        <v>81064.8716569869</v>
      </c>
      <c r="BE55" s="941" t="n">
        <f aca="false">BE62+BE75+BE85+BE95+BE105+BE115</f>
        <v>80167.8228113279</v>
      </c>
      <c r="BF55" s="941" t="n">
        <f aca="false">BF62+BF75+BF85+BF95+BF105+BF115</f>
        <v>79266.2887214406</v>
      </c>
      <c r="BG55" s="941" t="n">
        <f aca="false">BG62+BG75+BG85+BG95+BG105+BG115</f>
        <v>78360.2469611038</v>
      </c>
      <c r="BH55" s="941" t="n">
        <f aca="false">BH62+BH75+BH85+BH95+BH105+BH115</f>
        <v>77449.6749919654</v>
      </c>
      <c r="BI55" s="942" t="n">
        <f aca="false">BI62+BI75+BI85+BI95+BI105+BI115</f>
        <v>76534.5501629813</v>
      </c>
      <c r="BJ55" s="941" t="n">
        <f aca="false">SUM(B55:M55)</f>
        <v>382106.552124552</v>
      </c>
      <c r="BK55" s="941" t="n">
        <f aca="false">SUM(N55:Y55)</f>
        <v>1323789.48697336</v>
      </c>
      <c r="BL55" s="944" t="n">
        <f aca="false">SUM(Z55:AK55)</f>
        <v>1220133.23082016</v>
      </c>
      <c r="BM55" s="941" t="n">
        <f aca="false">SUM(AL55:AW55)</f>
        <v>1102602.30799978</v>
      </c>
      <c r="BN55" s="941" t="n">
        <f aca="false">SUM(AX55:BI55)</f>
        <v>977822.335033428</v>
      </c>
      <c r="BO55" s="945" t="s">
        <v>1775</v>
      </c>
    </row>
    <row r="56" s="949" customFormat="true" ht="10.5" hidden="false" customHeight="true" outlineLevel="0" collapsed="false">
      <c r="A56" s="551"/>
      <c r="B56" s="834"/>
      <c r="C56" s="834"/>
      <c r="D56" s="834"/>
      <c r="E56" s="834"/>
      <c r="F56" s="834"/>
      <c r="G56" s="834"/>
      <c r="H56" s="834"/>
      <c r="I56" s="834"/>
      <c r="J56" s="834"/>
      <c r="K56" s="834"/>
      <c r="L56" s="834"/>
      <c r="M56" s="835"/>
      <c r="N56" s="834"/>
      <c r="O56" s="834"/>
      <c r="P56" s="834"/>
      <c r="Q56" s="834"/>
      <c r="R56" s="834"/>
      <c r="S56" s="834"/>
      <c r="T56" s="834"/>
      <c r="U56" s="834"/>
      <c r="V56" s="834"/>
      <c r="W56" s="834"/>
      <c r="X56" s="834"/>
      <c r="Y56" s="835"/>
      <c r="Z56" s="836"/>
      <c r="AA56" s="834"/>
      <c r="AB56" s="834"/>
      <c r="AC56" s="834"/>
      <c r="AD56" s="834"/>
      <c r="AE56" s="834"/>
      <c r="AF56" s="834"/>
      <c r="AG56" s="834"/>
      <c r="AH56" s="834"/>
      <c r="AI56" s="834"/>
      <c r="AJ56" s="834"/>
      <c r="AK56" s="835"/>
      <c r="AL56" s="836"/>
      <c r="AM56" s="834"/>
      <c r="AN56" s="834"/>
      <c r="AO56" s="834"/>
      <c r="AP56" s="834"/>
      <c r="AQ56" s="834"/>
      <c r="AR56" s="834"/>
      <c r="AS56" s="834"/>
      <c r="AT56" s="834"/>
      <c r="AU56" s="834"/>
      <c r="AV56" s="834"/>
      <c r="AW56" s="835"/>
      <c r="AX56" s="836"/>
      <c r="AY56" s="834"/>
      <c r="AZ56" s="834"/>
      <c r="BA56" s="834"/>
      <c r="BB56" s="834"/>
      <c r="BC56" s="834"/>
      <c r="BD56" s="834"/>
      <c r="BE56" s="834"/>
      <c r="BF56" s="834"/>
      <c r="BG56" s="834"/>
      <c r="BH56" s="834"/>
      <c r="BI56" s="835"/>
      <c r="BJ56" s="834"/>
      <c r="BK56" s="947"/>
      <c r="BL56" s="948"/>
      <c r="BM56" s="947"/>
      <c r="BN56" s="947"/>
    </row>
    <row r="57" s="939" customFormat="true" ht="12" hidden="true" customHeight="true" outlineLevel="1" collapsed="false">
      <c r="A57" s="950" t="s">
        <v>1776</v>
      </c>
      <c r="B57" s="951"/>
      <c r="C57" s="951"/>
      <c r="D57" s="951"/>
      <c r="E57" s="951"/>
      <c r="F57" s="951"/>
      <c r="G57" s="951"/>
      <c r="H57" s="951"/>
      <c r="I57" s="951"/>
      <c r="J57" s="951"/>
      <c r="K57" s="951"/>
      <c r="L57" s="951"/>
      <c r="M57" s="952"/>
      <c r="N57" s="951"/>
      <c r="O57" s="951"/>
      <c r="P57" s="951"/>
      <c r="Q57" s="951"/>
      <c r="R57" s="951"/>
      <c r="S57" s="951"/>
      <c r="T57" s="951"/>
      <c r="U57" s="951"/>
      <c r="V57" s="951"/>
      <c r="W57" s="951"/>
      <c r="X57" s="951"/>
      <c r="Y57" s="952"/>
      <c r="Z57" s="953"/>
      <c r="AA57" s="951"/>
      <c r="AB57" s="951"/>
      <c r="AC57" s="951"/>
      <c r="AD57" s="951"/>
      <c r="AE57" s="951"/>
      <c r="AF57" s="951"/>
      <c r="AG57" s="951"/>
      <c r="AH57" s="951"/>
      <c r="AI57" s="951"/>
      <c r="AJ57" s="951"/>
      <c r="AK57" s="952"/>
      <c r="AL57" s="953"/>
      <c r="AM57" s="951"/>
      <c r="AN57" s="951"/>
      <c r="AO57" s="951"/>
      <c r="AP57" s="951"/>
      <c r="AQ57" s="951"/>
      <c r="AR57" s="951"/>
      <c r="AS57" s="951"/>
      <c r="AT57" s="951"/>
      <c r="AU57" s="951"/>
      <c r="AV57" s="951"/>
      <c r="AW57" s="952"/>
      <c r="AX57" s="953"/>
      <c r="AY57" s="951"/>
      <c r="AZ57" s="951"/>
      <c r="BA57" s="951"/>
      <c r="BB57" s="951"/>
      <c r="BC57" s="951"/>
      <c r="BD57" s="951"/>
      <c r="BE57" s="951"/>
      <c r="BF57" s="951"/>
      <c r="BG57" s="951"/>
      <c r="BH57" s="951"/>
      <c r="BI57" s="952"/>
      <c r="BJ57" s="951"/>
      <c r="BK57" s="948"/>
      <c r="BL57" s="948"/>
      <c r="BM57" s="948"/>
      <c r="BN57" s="948"/>
    </row>
    <row r="58" s="939" customFormat="true" ht="12" hidden="true" customHeight="true" outlineLevel="1" collapsed="false">
      <c r="A58" s="950" t="s">
        <v>1777</v>
      </c>
      <c r="B58" s="954" t="n">
        <v>0</v>
      </c>
      <c r="C58" s="951"/>
      <c r="D58" s="951"/>
      <c r="E58" s="951"/>
      <c r="F58" s="951"/>
      <c r="G58" s="951"/>
      <c r="H58" s="951"/>
      <c r="I58" s="951"/>
      <c r="J58" s="951"/>
      <c r="K58" s="951"/>
      <c r="L58" s="951"/>
      <c r="M58" s="952"/>
      <c r="N58" s="951"/>
      <c r="O58" s="951"/>
      <c r="P58" s="951"/>
      <c r="Q58" s="951"/>
      <c r="R58" s="951"/>
      <c r="S58" s="951"/>
      <c r="T58" s="951"/>
      <c r="U58" s="951"/>
      <c r="V58" s="951"/>
      <c r="W58" s="951"/>
      <c r="X58" s="951"/>
      <c r="Y58" s="952"/>
      <c r="Z58" s="953"/>
      <c r="AA58" s="951"/>
      <c r="AB58" s="951"/>
      <c r="AC58" s="951"/>
      <c r="AD58" s="951"/>
      <c r="AE58" s="951"/>
      <c r="AF58" s="951"/>
      <c r="AG58" s="951"/>
      <c r="AH58" s="951"/>
      <c r="AI58" s="951"/>
      <c r="AJ58" s="951"/>
      <c r="AK58" s="952"/>
      <c r="AL58" s="953"/>
      <c r="AM58" s="951"/>
      <c r="AN58" s="951"/>
      <c r="AO58" s="951"/>
      <c r="AP58" s="951"/>
      <c r="AQ58" s="951"/>
      <c r="AR58" s="951"/>
      <c r="AS58" s="951"/>
      <c r="AT58" s="951"/>
      <c r="AU58" s="951"/>
      <c r="AV58" s="951"/>
      <c r="AW58" s="952"/>
      <c r="AX58" s="953"/>
      <c r="AY58" s="951"/>
      <c r="AZ58" s="951"/>
      <c r="BA58" s="951"/>
      <c r="BB58" s="951"/>
      <c r="BC58" s="951"/>
      <c r="BD58" s="951"/>
      <c r="BE58" s="951"/>
      <c r="BF58" s="951"/>
      <c r="BG58" s="951"/>
      <c r="BH58" s="951"/>
      <c r="BI58" s="952"/>
      <c r="BJ58" s="951"/>
      <c r="BK58" s="948"/>
      <c r="BL58" s="948"/>
      <c r="BM58" s="948"/>
      <c r="BN58" s="948"/>
    </row>
    <row r="59" s="939" customFormat="true" ht="12" hidden="true" customHeight="true" outlineLevel="1" collapsed="false">
      <c r="A59" s="950" t="s">
        <v>1778</v>
      </c>
      <c r="B59" s="955" t="n">
        <v>0</v>
      </c>
      <c r="C59" s="951"/>
      <c r="D59" s="951"/>
      <c r="E59" s="951"/>
      <c r="F59" s="951"/>
      <c r="G59" s="951"/>
      <c r="H59" s="951"/>
      <c r="I59" s="951"/>
      <c r="J59" s="951"/>
      <c r="K59" s="951"/>
      <c r="L59" s="951"/>
      <c r="M59" s="952"/>
      <c r="N59" s="951"/>
      <c r="O59" s="951"/>
      <c r="P59" s="951"/>
      <c r="Q59" s="951"/>
      <c r="R59" s="951"/>
      <c r="S59" s="951"/>
      <c r="T59" s="951"/>
      <c r="U59" s="951"/>
      <c r="V59" s="951"/>
      <c r="W59" s="951"/>
      <c r="X59" s="951"/>
      <c r="Y59" s="952"/>
      <c r="Z59" s="953"/>
      <c r="AA59" s="951"/>
      <c r="AB59" s="951"/>
      <c r="AC59" s="951"/>
      <c r="AD59" s="951"/>
      <c r="AE59" s="951"/>
      <c r="AF59" s="951"/>
      <c r="AG59" s="951"/>
      <c r="AH59" s="951"/>
      <c r="AI59" s="951"/>
      <c r="AJ59" s="951"/>
      <c r="AK59" s="952"/>
      <c r="AL59" s="953"/>
      <c r="AM59" s="951"/>
      <c r="AN59" s="951"/>
      <c r="AO59" s="951"/>
      <c r="AP59" s="951"/>
      <c r="AQ59" s="951"/>
      <c r="AR59" s="951"/>
      <c r="AS59" s="951"/>
      <c r="AT59" s="951"/>
      <c r="AU59" s="951"/>
      <c r="AV59" s="951"/>
      <c r="AW59" s="952"/>
      <c r="AX59" s="953"/>
      <c r="AY59" s="951"/>
      <c r="AZ59" s="951"/>
      <c r="BA59" s="951"/>
      <c r="BB59" s="951"/>
      <c r="BC59" s="951"/>
      <c r="BD59" s="951"/>
      <c r="BE59" s="951"/>
      <c r="BF59" s="951"/>
      <c r="BG59" s="951"/>
      <c r="BH59" s="951"/>
      <c r="BI59" s="952"/>
      <c r="BJ59" s="951"/>
      <c r="BK59" s="948"/>
      <c r="BL59" s="948"/>
      <c r="BM59" s="948"/>
      <c r="BN59" s="948"/>
    </row>
    <row r="60" s="939" customFormat="true" ht="12" hidden="true" customHeight="true" outlineLevel="1" collapsed="false">
      <c r="A60" s="950" t="s">
        <v>1779</v>
      </c>
      <c r="B60" s="951" t="n">
        <f aca="false">Existing!D26</f>
        <v>0</v>
      </c>
      <c r="C60" s="951" t="n">
        <f aca="false">IF(B64&lt;=1,0,B64)</f>
        <v>0</v>
      </c>
      <c r="D60" s="951" t="n">
        <f aca="false">IF(C64&lt;=1,0,C64)</f>
        <v>0</v>
      </c>
      <c r="E60" s="951" t="n">
        <f aca="false">IF(D64&lt;=1,0,D64)</f>
        <v>0</v>
      </c>
      <c r="F60" s="951" t="n">
        <f aca="false">IF(E64&lt;=1,0,E64)</f>
        <v>0</v>
      </c>
      <c r="G60" s="951" t="n">
        <f aca="false">IF(F64&lt;=1,0,F64)</f>
        <v>0</v>
      </c>
      <c r="H60" s="951" t="n">
        <f aca="false">IF(G64&lt;=1,0,G64)</f>
        <v>0</v>
      </c>
      <c r="I60" s="951" t="n">
        <f aca="false">IF(H64&lt;=1,0,H64)</f>
        <v>0</v>
      </c>
      <c r="J60" s="951" t="n">
        <f aca="false">IF(I64&lt;=1,0,I64)</f>
        <v>0</v>
      </c>
      <c r="K60" s="951" t="n">
        <f aca="false">IF(J64&lt;=1,0,J64)</f>
        <v>0</v>
      </c>
      <c r="L60" s="951" t="n">
        <f aca="false">IF(K64&lt;=1,0,K64)</f>
        <v>0</v>
      </c>
      <c r="M60" s="952" t="n">
        <f aca="false">IF(L64&lt;=1,0,L64)</f>
        <v>0</v>
      </c>
      <c r="N60" s="951" t="n">
        <f aca="false">IF(M64&lt;=1,0,M64)</f>
        <v>0</v>
      </c>
      <c r="O60" s="951" t="n">
        <f aca="false">IF(N64&lt;=1,0,N64)</f>
        <v>0</v>
      </c>
      <c r="P60" s="951" t="n">
        <f aca="false">IF(O64&lt;=1,0,O64)</f>
        <v>0</v>
      </c>
      <c r="Q60" s="951" t="n">
        <f aca="false">IF(P64&lt;=1,0,P64)</f>
        <v>0</v>
      </c>
      <c r="R60" s="951" t="n">
        <f aca="false">IF(Q64&lt;=1,0,Q64)</f>
        <v>0</v>
      </c>
      <c r="S60" s="951" t="n">
        <f aca="false">IF(R64&lt;=1,0,R64)</f>
        <v>0</v>
      </c>
      <c r="T60" s="951" t="n">
        <f aca="false">IF(S64&lt;=1,0,S64)</f>
        <v>0</v>
      </c>
      <c r="U60" s="951" t="n">
        <f aca="false">IF(T64&lt;=1,0,T64)</f>
        <v>0</v>
      </c>
      <c r="V60" s="951" t="n">
        <f aca="false">IF(U64&lt;=1,0,U64)</f>
        <v>0</v>
      </c>
      <c r="W60" s="951" t="n">
        <f aca="false">IF(V64&lt;=1,0,V64)</f>
        <v>0</v>
      </c>
      <c r="X60" s="951" t="n">
        <f aca="false">IF(W64&lt;=1,0,W64)</f>
        <v>0</v>
      </c>
      <c r="Y60" s="952" t="n">
        <f aca="false">IF(X64&lt;=1,0,X64)</f>
        <v>0</v>
      </c>
      <c r="Z60" s="953" t="n">
        <f aca="false">IF(Y64&lt;=1,0,Y64)</f>
        <v>0</v>
      </c>
      <c r="AA60" s="951" t="n">
        <f aca="false">IF(Z64&lt;=1,0,Z64)</f>
        <v>0</v>
      </c>
      <c r="AB60" s="951" t="n">
        <f aca="false">IF(AA64&lt;=1,0,AA64)</f>
        <v>0</v>
      </c>
      <c r="AC60" s="951" t="n">
        <f aca="false">IF(AB64&lt;=1,0,AB64)</f>
        <v>0</v>
      </c>
      <c r="AD60" s="951" t="n">
        <f aca="false">IF(AC64&lt;=1,0,AC64)</f>
        <v>0</v>
      </c>
      <c r="AE60" s="951" t="n">
        <f aca="false">IF(AD64&lt;=1,0,AD64)</f>
        <v>0</v>
      </c>
      <c r="AF60" s="951" t="n">
        <f aca="false">IF(AE64&lt;=1,0,AE64)</f>
        <v>0</v>
      </c>
      <c r="AG60" s="951" t="n">
        <f aca="false">IF(AF64&lt;=1,0,AF64)</f>
        <v>0</v>
      </c>
      <c r="AH60" s="951" t="n">
        <f aca="false">IF(AG64&lt;=1,0,AG64)</f>
        <v>0</v>
      </c>
      <c r="AI60" s="951" t="n">
        <f aca="false">IF(AH64&lt;=1,0,AH64)</f>
        <v>0</v>
      </c>
      <c r="AJ60" s="951" t="n">
        <f aca="false">IF(AI64&lt;=1,0,AI64)</f>
        <v>0</v>
      </c>
      <c r="AK60" s="952" t="n">
        <f aca="false">IF(AJ64&lt;=1,0,AJ64)</f>
        <v>0</v>
      </c>
      <c r="AL60" s="953"/>
      <c r="AM60" s="951"/>
      <c r="AN60" s="951"/>
      <c r="AO60" s="951"/>
      <c r="AP60" s="951"/>
      <c r="AQ60" s="951"/>
      <c r="AR60" s="951"/>
      <c r="AS60" s="951"/>
      <c r="AT60" s="951"/>
      <c r="AU60" s="951"/>
      <c r="AV60" s="951"/>
      <c r="AW60" s="952"/>
      <c r="AX60" s="953"/>
      <c r="AY60" s="951"/>
      <c r="AZ60" s="951"/>
      <c r="BA60" s="951"/>
      <c r="BB60" s="951"/>
      <c r="BC60" s="951"/>
      <c r="BD60" s="951"/>
      <c r="BE60" s="951"/>
      <c r="BF60" s="951"/>
      <c r="BG60" s="951"/>
      <c r="BH60" s="951"/>
      <c r="BI60" s="952"/>
      <c r="BJ60" s="951"/>
      <c r="BK60" s="948"/>
      <c r="BL60" s="948"/>
      <c r="BM60" s="948"/>
      <c r="BN60" s="948"/>
    </row>
    <row r="61" s="939" customFormat="true" ht="12" hidden="true" customHeight="true" outlineLevel="1" collapsed="false">
      <c r="A61" s="931" t="s">
        <v>1780</v>
      </c>
      <c r="B61" s="951" t="n">
        <f aca="false">IF(B60&lt;=0,0,-PMT($B$58/12,$B$59*12,SUM($B$65,0)))</f>
        <v>0</v>
      </c>
      <c r="C61" s="951" t="n">
        <f aca="false">IF(C60&lt;=0,0,-PMT($B$58/12,$B$59*12,SUM($B$65,0)))</f>
        <v>0</v>
      </c>
      <c r="D61" s="951" t="n">
        <f aca="false">IF(D60&lt;=0,0,-PMT($B$58/12,$B$59*12,SUM($B$65,0)))</f>
        <v>0</v>
      </c>
      <c r="E61" s="951" t="n">
        <f aca="false">IF(E60&lt;=0,0,-PMT($B$58/12,$B$59*12,SUM($B$65,0)))</f>
        <v>0</v>
      </c>
      <c r="F61" s="951" t="n">
        <f aca="false">IF(F60&lt;=0,0,-PMT($B$58/12,$B$59*12,SUM($B$65,0)))</f>
        <v>0</v>
      </c>
      <c r="G61" s="951" t="n">
        <f aca="false">IF(G60&lt;=0,0,-PMT($B$58/12,$B$59*12,SUM($B$65,0)))</f>
        <v>0</v>
      </c>
      <c r="H61" s="951" t="n">
        <f aca="false">IF(H60&lt;=0,0,-PMT($B$58/12,$B$59*12,SUM($B$65,0)))</f>
        <v>0</v>
      </c>
      <c r="I61" s="951" t="n">
        <f aca="false">IF(I60&lt;=0,0,-PMT($B$58/12,$B$59*12,SUM($B$65,0)))</f>
        <v>0</v>
      </c>
      <c r="J61" s="951" t="n">
        <f aca="false">IF(J60&lt;=0,0,-PMT($B$58/12,$B$59*12,SUM($B$65,0)))</f>
        <v>0</v>
      </c>
      <c r="K61" s="951" t="n">
        <f aca="false">IF(K60&lt;=0,0,-PMT($B$58/12,$B$59*12,SUM($B$65,0)))</f>
        <v>0</v>
      </c>
      <c r="L61" s="951" t="n">
        <f aca="false">IF(L60&lt;=0,0,-PMT($B$58/12,$B$59*12,SUM($B$65,0)))</f>
        <v>0</v>
      </c>
      <c r="M61" s="952" t="n">
        <f aca="false">IF(M60&lt;=0,0,-PMT($B$58/12,$B$59*12,SUM($B$65,0)))</f>
        <v>0</v>
      </c>
      <c r="N61" s="951" t="n">
        <f aca="false">IF(N60&lt;=0,0,-PMT($B$58/12,$B$59*12,SUM($B$65,0)))</f>
        <v>0</v>
      </c>
      <c r="O61" s="951" t="n">
        <f aca="false">IF(O60&lt;=0,0,-PMT($B$58/12,$B$59*12,SUM($B$65,0)))</f>
        <v>0</v>
      </c>
      <c r="P61" s="951" t="n">
        <f aca="false">IF(P60&lt;=0,0,-PMT($B$58/12,$B$59*12,SUM($B$65,0)))</f>
        <v>0</v>
      </c>
      <c r="Q61" s="951" t="n">
        <f aca="false">IF(Q60&lt;=0,0,-PMT($B$58/12,$B$59*12,SUM($B$65,0)))</f>
        <v>0</v>
      </c>
      <c r="R61" s="951" t="n">
        <f aca="false">IF(R60&lt;=0,0,-PMT($B$58/12,$B$59*12,SUM($B$65,0)))</f>
        <v>0</v>
      </c>
      <c r="S61" s="951" t="n">
        <f aca="false">IF(S60&lt;=0,0,-PMT($B$58/12,$B$59*12,SUM($B$65,0)))</f>
        <v>0</v>
      </c>
      <c r="T61" s="951" t="n">
        <f aca="false">IF(T60&lt;=0,0,-PMT($B$58/12,$B$59*12,SUM($B$65,0)))</f>
        <v>0</v>
      </c>
      <c r="U61" s="951" t="n">
        <f aca="false">IF(U60&lt;=0,0,-PMT($B$58/12,$B$59*12,SUM($B$65,0)))</f>
        <v>0</v>
      </c>
      <c r="V61" s="951" t="n">
        <f aca="false">IF(V60&lt;=0,0,-PMT($B$58/12,$B$59*12,SUM($B$65,0)))</f>
        <v>0</v>
      </c>
      <c r="W61" s="951" t="n">
        <f aca="false">IF(W60&lt;=0,0,-PMT($B$58/12,$B$59*12,SUM($B$65,0)))</f>
        <v>0</v>
      </c>
      <c r="X61" s="951" t="n">
        <f aca="false">IF(X60&lt;=0,0,-PMT($B$58/12,$B$59*12,SUM($B$65,0)))</f>
        <v>0</v>
      </c>
      <c r="Y61" s="952" t="n">
        <f aca="false">IF(Y60&lt;=0,0,-PMT($B$58/12,$B$59*12,SUM($B$65,0)))</f>
        <v>0</v>
      </c>
      <c r="Z61" s="953" t="n">
        <f aca="false">IF(Z60&lt;=0,0,-PMT($B$58/12,$B$59*12,SUM($B$65,0)))</f>
        <v>0</v>
      </c>
      <c r="AA61" s="951" t="n">
        <f aca="false">IF(AA60&lt;=0,0,-PMT($B$58/12,$B$59*12,SUM($B$65,0)))</f>
        <v>0</v>
      </c>
      <c r="AB61" s="951" t="n">
        <f aca="false">IF(AB60&lt;=0,0,-PMT($B$58/12,$B$59*12,SUM($B$65,0)))</f>
        <v>0</v>
      </c>
      <c r="AC61" s="951" t="n">
        <f aca="false">IF(AC60&lt;=0,0,-PMT($B$58/12,$B$59*12,SUM($B$65,0)))</f>
        <v>0</v>
      </c>
      <c r="AD61" s="951" t="n">
        <f aca="false">IF(AD60&lt;=0,0,-PMT($B$58/12,$B$59*12,SUM($B$65,0)))</f>
        <v>0</v>
      </c>
      <c r="AE61" s="951" t="n">
        <f aca="false">IF(AE60&lt;=0,0,-PMT($B$58/12,$B$59*12,SUM($B$65,0)))</f>
        <v>0</v>
      </c>
      <c r="AF61" s="951" t="n">
        <f aca="false">IF(AF60&lt;=0,0,-PMT($B$58/12,$B$59*12,SUM($B$65,0)))</f>
        <v>0</v>
      </c>
      <c r="AG61" s="951" t="n">
        <f aca="false">IF(AG60&lt;=0,0,-PMT($B$58/12,$B$59*12,SUM($B$65,0)))</f>
        <v>0</v>
      </c>
      <c r="AH61" s="951" t="n">
        <f aca="false">IF(AH60&lt;=0,0,-PMT($B$58/12,$B$59*12,SUM($B$65,0)))</f>
        <v>0</v>
      </c>
      <c r="AI61" s="951" t="n">
        <f aca="false">IF(AI60&lt;=0,0,-PMT($B$58/12,$B$59*12,SUM($B$65,0)))</f>
        <v>0</v>
      </c>
      <c r="AJ61" s="951" t="n">
        <f aca="false">IF(AJ60&lt;=0,0,-PMT($B$58/12,$B$59*12,SUM($B$65,0)))</f>
        <v>0</v>
      </c>
      <c r="AK61" s="952" t="n">
        <f aca="false">IF(AK60&lt;=0,0,-PMT($B$58/12,$B$59*12,SUM($B$65,0)))</f>
        <v>0</v>
      </c>
      <c r="AL61" s="953"/>
      <c r="AM61" s="951"/>
      <c r="AN61" s="951"/>
      <c r="AO61" s="951"/>
      <c r="AP61" s="951"/>
      <c r="AQ61" s="951"/>
      <c r="AR61" s="951"/>
      <c r="AS61" s="951"/>
      <c r="AT61" s="951"/>
      <c r="AU61" s="951"/>
      <c r="AV61" s="951"/>
      <c r="AW61" s="952"/>
      <c r="AX61" s="953"/>
      <c r="AY61" s="951"/>
      <c r="AZ61" s="951"/>
      <c r="BA61" s="951"/>
      <c r="BB61" s="951"/>
      <c r="BC61" s="951"/>
      <c r="BD61" s="951"/>
      <c r="BE61" s="951"/>
      <c r="BF61" s="951"/>
      <c r="BG61" s="951"/>
      <c r="BH61" s="951"/>
      <c r="BI61" s="952"/>
      <c r="BJ61" s="951"/>
      <c r="BK61" s="948"/>
      <c r="BL61" s="948"/>
      <c r="BM61" s="948"/>
      <c r="BN61" s="948"/>
    </row>
    <row r="62" s="939" customFormat="true" ht="12" hidden="true" customHeight="true" outlineLevel="1" collapsed="false">
      <c r="A62" s="931" t="s">
        <v>1781</v>
      </c>
      <c r="B62" s="951" t="n">
        <f aca="false">B60*$B$58/12</f>
        <v>0</v>
      </c>
      <c r="C62" s="951" t="n">
        <f aca="false">C60*$B$58/12</f>
        <v>0</v>
      </c>
      <c r="D62" s="951" t="n">
        <f aca="false">D60*$B$58/12</f>
        <v>0</v>
      </c>
      <c r="E62" s="951" t="n">
        <f aca="false">E60*$B$58/12</f>
        <v>0</v>
      </c>
      <c r="F62" s="951" t="n">
        <f aca="false">F60*$B$58/12</f>
        <v>0</v>
      </c>
      <c r="G62" s="951" t="n">
        <f aca="false">G60*$B$58/12</f>
        <v>0</v>
      </c>
      <c r="H62" s="951" t="n">
        <f aca="false">H60*$B$58/12</f>
        <v>0</v>
      </c>
      <c r="I62" s="951" t="n">
        <f aca="false">I60*$B$58/12</f>
        <v>0</v>
      </c>
      <c r="J62" s="951" t="n">
        <f aca="false">J60*$B$58/12</f>
        <v>0</v>
      </c>
      <c r="K62" s="951" t="n">
        <f aca="false">K60*$B$58/12</f>
        <v>0</v>
      </c>
      <c r="L62" s="951" t="n">
        <f aca="false">L60*$B$58/12</f>
        <v>0</v>
      </c>
      <c r="M62" s="952" t="n">
        <f aca="false">M60*$B$58/12</f>
        <v>0</v>
      </c>
      <c r="N62" s="951" t="n">
        <f aca="false">N60*$B$58/12</f>
        <v>0</v>
      </c>
      <c r="O62" s="951" t="n">
        <f aca="false">O60*$B$58/12</f>
        <v>0</v>
      </c>
      <c r="P62" s="951" t="n">
        <f aca="false">P60*$B$58/12</f>
        <v>0</v>
      </c>
      <c r="Q62" s="951" t="n">
        <f aca="false">Q60*$B$58/12</f>
        <v>0</v>
      </c>
      <c r="R62" s="951" t="n">
        <f aca="false">R60*$B$58/12</f>
        <v>0</v>
      </c>
      <c r="S62" s="951" t="n">
        <f aca="false">S60*$B$58/12</f>
        <v>0</v>
      </c>
      <c r="T62" s="951" t="n">
        <f aca="false">T60*$B$58/12</f>
        <v>0</v>
      </c>
      <c r="U62" s="951" t="n">
        <f aca="false">U60*$B$58/12</f>
        <v>0</v>
      </c>
      <c r="V62" s="951" t="n">
        <f aca="false">V60*$B$58/12</f>
        <v>0</v>
      </c>
      <c r="W62" s="951" t="n">
        <f aca="false">W60*$B$58/12</f>
        <v>0</v>
      </c>
      <c r="X62" s="951" t="n">
        <f aca="false">X60*$B$58/12</f>
        <v>0</v>
      </c>
      <c r="Y62" s="952" t="n">
        <f aca="false">Y60*$B$58/12</f>
        <v>0</v>
      </c>
      <c r="Z62" s="953" t="n">
        <f aca="false">Z60*$B$58/12</f>
        <v>0</v>
      </c>
      <c r="AA62" s="951" t="n">
        <f aca="false">AA60*$B$58/12</f>
        <v>0</v>
      </c>
      <c r="AB62" s="951" t="n">
        <f aca="false">AB60*$B$58/12</f>
        <v>0</v>
      </c>
      <c r="AC62" s="951" t="n">
        <f aca="false">AC60*$B$58/12</f>
        <v>0</v>
      </c>
      <c r="AD62" s="951" t="n">
        <f aca="false">AD60*$B$58/12</f>
        <v>0</v>
      </c>
      <c r="AE62" s="951" t="n">
        <f aca="false">AE60*$B$58/12</f>
        <v>0</v>
      </c>
      <c r="AF62" s="951" t="n">
        <f aca="false">AF60*$B$58/12</f>
        <v>0</v>
      </c>
      <c r="AG62" s="951" t="n">
        <f aca="false">AG60*$B$58/12</f>
        <v>0</v>
      </c>
      <c r="AH62" s="951" t="n">
        <f aca="false">AH60*$B$58/12</f>
        <v>0</v>
      </c>
      <c r="AI62" s="951" t="n">
        <f aca="false">AI60*$B$58/12</f>
        <v>0</v>
      </c>
      <c r="AJ62" s="951" t="n">
        <f aca="false">AJ60*$B$58/12</f>
        <v>0</v>
      </c>
      <c r="AK62" s="952" t="n">
        <f aca="false">AK60*$B$58/12</f>
        <v>0</v>
      </c>
      <c r="AL62" s="953"/>
      <c r="AM62" s="951"/>
      <c r="AN62" s="951"/>
      <c r="AO62" s="951"/>
      <c r="AP62" s="951"/>
      <c r="AQ62" s="951"/>
      <c r="AR62" s="951"/>
      <c r="AS62" s="951"/>
      <c r="AT62" s="951"/>
      <c r="AU62" s="951"/>
      <c r="AV62" s="951"/>
      <c r="AW62" s="952"/>
      <c r="AX62" s="953"/>
      <c r="AY62" s="951"/>
      <c r="AZ62" s="951"/>
      <c r="BA62" s="951"/>
      <c r="BB62" s="951"/>
      <c r="BC62" s="951"/>
      <c r="BD62" s="951"/>
      <c r="BE62" s="951"/>
      <c r="BF62" s="951"/>
      <c r="BG62" s="951"/>
      <c r="BH62" s="951"/>
      <c r="BI62" s="952"/>
      <c r="BJ62" s="951"/>
      <c r="BK62" s="948"/>
      <c r="BL62" s="948"/>
      <c r="BM62" s="948"/>
      <c r="BN62" s="948"/>
    </row>
    <row r="63" s="939" customFormat="true" ht="12" hidden="true" customHeight="true" outlineLevel="1" collapsed="false">
      <c r="A63" s="931" t="s">
        <v>1782</v>
      </c>
      <c r="B63" s="951" t="n">
        <f aca="false">B61-B62</f>
        <v>0</v>
      </c>
      <c r="C63" s="951" t="n">
        <f aca="false">C61-C62</f>
        <v>0</v>
      </c>
      <c r="D63" s="951" t="n">
        <f aca="false">D61-D62</f>
        <v>0</v>
      </c>
      <c r="E63" s="951" t="n">
        <f aca="false">E61-E62</f>
        <v>0</v>
      </c>
      <c r="F63" s="951" t="n">
        <f aca="false">F61-F62</f>
        <v>0</v>
      </c>
      <c r="G63" s="951" t="n">
        <f aca="false">G61-G62</f>
        <v>0</v>
      </c>
      <c r="H63" s="951" t="n">
        <f aca="false">H61-H62</f>
        <v>0</v>
      </c>
      <c r="I63" s="951" t="n">
        <f aca="false">I61-I62</f>
        <v>0</v>
      </c>
      <c r="J63" s="951" t="n">
        <f aca="false">J61-J62</f>
        <v>0</v>
      </c>
      <c r="K63" s="951" t="n">
        <f aca="false">K61-K62</f>
        <v>0</v>
      </c>
      <c r="L63" s="951" t="n">
        <f aca="false">L61-L62</f>
        <v>0</v>
      </c>
      <c r="M63" s="952" t="n">
        <f aca="false">M61-M62</f>
        <v>0</v>
      </c>
      <c r="N63" s="951" t="n">
        <f aca="false">N61-N62</f>
        <v>0</v>
      </c>
      <c r="O63" s="951" t="n">
        <f aca="false">O61-O62</f>
        <v>0</v>
      </c>
      <c r="P63" s="951" t="n">
        <f aca="false">P61-P62</f>
        <v>0</v>
      </c>
      <c r="Q63" s="951" t="n">
        <f aca="false">Q61-Q62</f>
        <v>0</v>
      </c>
      <c r="R63" s="951" t="n">
        <f aca="false">R61-R62</f>
        <v>0</v>
      </c>
      <c r="S63" s="951" t="n">
        <f aca="false">S61-S62</f>
        <v>0</v>
      </c>
      <c r="T63" s="951" t="n">
        <f aca="false">T61-T62</f>
        <v>0</v>
      </c>
      <c r="U63" s="951" t="n">
        <f aca="false">U61-U62</f>
        <v>0</v>
      </c>
      <c r="V63" s="951" t="n">
        <f aca="false">V61-V62</f>
        <v>0</v>
      </c>
      <c r="W63" s="951" t="n">
        <f aca="false">W61-W62</f>
        <v>0</v>
      </c>
      <c r="X63" s="951" t="n">
        <f aca="false">X61-X62</f>
        <v>0</v>
      </c>
      <c r="Y63" s="952" t="n">
        <f aca="false">Y61-Y62</f>
        <v>0</v>
      </c>
      <c r="Z63" s="953" t="n">
        <f aca="false">Z61-Z62</f>
        <v>0</v>
      </c>
      <c r="AA63" s="951" t="n">
        <f aca="false">AA61-AA62</f>
        <v>0</v>
      </c>
      <c r="AB63" s="951" t="n">
        <f aca="false">AB61-AB62</f>
        <v>0</v>
      </c>
      <c r="AC63" s="951" t="n">
        <f aca="false">AC61-AC62</f>
        <v>0</v>
      </c>
      <c r="AD63" s="951" t="n">
        <f aca="false">AD61-AD62</f>
        <v>0</v>
      </c>
      <c r="AE63" s="951" t="n">
        <f aca="false">AE61-AE62</f>
        <v>0</v>
      </c>
      <c r="AF63" s="951" t="n">
        <f aca="false">AF61-AF62</f>
        <v>0</v>
      </c>
      <c r="AG63" s="951" t="n">
        <f aca="false">AG61-AG62</f>
        <v>0</v>
      </c>
      <c r="AH63" s="951" t="n">
        <f aca="false">AH61-AH62</f>
        <v>0</v>
      </c>
      <c r="AI63" s="951" t="n">
        <f aca="false">AI61-AI62</f>
        <v>0</v>
      </c>
      <c r="AJ63" s="951" t="n">
        <f aca="false">AJ61-AJ62</f>
        <v>0</v>
      </c>
      <c r="AK63" s="952" t="n">
        <f aca="false">AK61-AK62</f>
        <v>0</v>
      </c>
      <c r="AL63" s="953"/>
      <c r="AM63" s="951"/>
      <c r="AN63" s="951"/>
      <c r="AO63" s="951"/>
      <c r="AP63" s="951"/>
      <c r="AQ63" s="951"/>
      <c r="AR63" s="951"/>
      <c r="AS63" s="951"/>
      <c r="AT63" s="951"/>
      <c r="AU63" s="951"/>
      <c r="AV63" s="951"/>
      <c r="AW63" s="952"/>
      <c r="AX63" s="953"/>
      <c r="AY63" s="951"/>
      <c r="AZ63" s="951"/>
      <c r="BA63" s="951"/>
      <c r="BB63" s="951"/>
      <c r="BC63" s="951"/>
      <c r="BD63" s="951"/>
      <c r="BE63" s="951"/>
      <c r="BF63" s="951"/>
      <c r="BG63" s="951"/>
      <c r="BH63" s="951"/>
      <c r="BI63" s="952"/>
      <c r="BJ63" s="951"/>
      <c r="BK63" s="948"/>
      <c r="BL63" s="948"/>
      <c r="BM63" s="948"/>
      <c r="BN63" s="948"/>
    </row>
    <row r="64" s="939" customFormat="true" ht="10.5" hidden="true" customHeight="true" outlineLevel="1" collapsed="false">
      <c r="A64" s="931" t="s">
        <v>1783</v>
      </c>
      <c r="B64" s="951" t="n">
        <f aca="false">B60-B63</f>
        <v>0</v>
      </c>
      <c r="C64" s="951" t="n">
        <f aca="false">C60-C63</f>
        <v>0</v>
      </c>
      <c r="D64" s="951" t="n">
        <f aca="false">D60-D63</f>
        <v>0</v>
      </c>
      <c r="E64" s="951" t="n">
        <f aca="false">E60-E63</f>
        <v>0</v>
      </c>
      <c r="F64" s="951" t="n">
        <f aca="false">F60-F63</f>
        <v>0</v>
      </c>
      <c r="G64" s="951" t="n">
        <f aca="false">G60-G63</f>
        <v>0</v>
      </c>
      <c r="H64" s="951" t="n">
        <f aca="false">H60-H63</f>
        <v>0</v>
      </c>
      <c r="I64" s="951" t="n">
        <f aca="false">I60-I63</f>
        <v>0</v>
      </c>
      <c r="J64" s="951" t="n">
        <f aca="false">J60-J63</f>
        <v>0</v>
      </c>
      <c r="K64" s="951" t="n">
        <f aca="false">K60-K63</f>
        <v>0</v>
      </c>
      <c r="L64" s="951" t="n">
        <f aca="false">L60-L63</f>
        <v>0</v>
      </c>
      <c r="M64" s="952" t="n">
        <f aca="false">M60-M63</f>
        <v>0</v>
      </c>
      <c r="N64" s="951" t="n">
        <f aca="false">N60-N63</f>
        <v>0</v>
      </c>
      <c r="O64" s="951" t="n">
        <f aca="false">O60-O63</f>
        <v>0</v>
      </c>
      <c r="P64" s="951" t="n">
        <f aca="false">P60-P63</f>
        <v>0</v>
      </c>
      <c r="Q64" s="951" t="n">
        <f aca="false">Q60-Q63</f>
        <v>0</v>
      </c>
      <c r="R64" s="951" t="n">
        <f aca="false">R60-R63</f>
        <v>0</v>
      </c>
      <c r="S64" s="951" t="n">
        <f aca="false">S60-S63</f>
        <v>0</v>
      </c>
      <c r="T64" s="951" t="n">
        <f aca="false">T60-T63</f>
        <v>0</v>
      </c>
      <c r="U64" s="951" t="n">
        <f aca="false">U60-U63</f>
        <v>0</v>
      </c>
      <c r="V64" s="951" t="n">
        <f aca="false">V60-V63</f>
        <v>0</v>
      </c>
      <c r="W64" s="951" t="n">
        <f aca="false">W60-W63</f>
        <v>0</v>
      </c>
      <c r="X64" s="951" t="n">
        <f aca="false">X60-X63</f>
        <v>0</v>
      </c>
      <c r="Y64" s="952" t="n">
        <f aca="false">Y60-Y63</f>
        <v>0</v>
      </c>
      <c r="Z64" s="953" t="n">
        <f aca="false">Z60-Z63</f>
        <v>0</v>
      </c>
      <c r="AA64" s="951" t="n">
        <f aca="false">AA60-AA63</f>
        <v>0</v>
      </c>
      <c r="AB64" s="951" t="n">
        <f aca="false">AB60-AB63</f>
        <v>0</v>
      </c>
      <c r="AC64" s="951" t="n">
        <f aca="false">AC60-AC63</f>
        <v>0</v>
      </c>
      <c r="AD64" s="951" t="n">
        <f aca="false">AD60-AD63</f>
        <v>0</v>
      </c>
      <c r="AE64" s="951" t="n">
        <f aca="false">AE60-AE63</f>
        <v>0</v>
      </c>
      <c r="AF64" s="951" t="n">
        <f aca="false">AF60-AF63</f>
        <v>0</v>
      </c>
      <c r="AG64" s="951" t="n">
        <f aca="false">AG60-AG63</f>
        <v>0</v>
      </c>
      <c r="AH64" s="951" t="n">
        <f aca="false">AH60-AH63</f>
        <v>0</v>
      </c>
      <c r="AI64" s="951" t="n">
        <f aca="false">AI60-AI63</f>
        <v>0</v>
      </c>
      <c r="AJ64" s="951" t="n">
        <f aca="false">AJ60-AJ63</f>
        <v>0</v>
      </c>
      <c r="AK64" s="952" t="n">
        <f aca="false">AK60-AK63</f>
        <v>0</v>
      </c>
      <c r="AL64" s="953"/>
      <c r="AM64" s="951"/>
      <c r="AN64" s="951"/>
      <c r="AO64" s="951"/>
      <c r="AP64" s="951"/>
      <c r="AQ64" s="951"/>
      <c r="AR64" s="951"/>
      <c r="AS64" s="951"/>
      <c r="AT64" s="951"/>
      <c r="AU64" s="951"/>
      <c r="AV64" s="951"/>
      <c r="AW64" s="952"/>
      <c r="AX64" s="953"/>
      <c r="AY64" s="951"/>
      <c r="AZ64" s="951"/>
      <c r="BA64" s="951"/>
      <c r="BB64" s="951"/>
      <c r="BC64" s="951"/>
      <c r="BD64" s="951"/>
      <c r="BE64" s="951"/>
      <c r="BF64" s="951"/>
      <c r="BG64" s="951"/>
      <c r="BH64" s="951"/>
      <c r="BI64" s="952"/>
      <c r="BJ64" s="951"/>
      <c r="BK64" s="948"/>
      <c r="BL64" s="948"/>
      <c r="BM64" s="948"/>
      <c r="BN64" s="948"/>
    </row>
    <row r="65" s="939" customFormat="true" ht="10.5" hidden="true" customHeight="true" outlineLevel="1" collapsed="false">
      <c r="A65" s="931" t="s">
        <v>1784</v>
      </c>
      <c r="B65" s="951" t="n">
        <f aca="false">Existing!D26</f>
        <v>0</v>
      </c>
      <c r="C65" s="951"/>
      <c r="D65" s="951"/>
      <c r="E65" s="951"/>
      <c r="F65" s="951"/>
      <c r="G65" s="951"/>
      <c r="H65" s="951"/>
      <c r="I65" s="951"/>
      <c r="J65" s="951"/>
      <c r="K65" s="951"/>
      <c r="L65" s="951"/>
      <c r="M65" s="952"/>
      <c r="N65" s="951"/>
      <c r="O65" s="951"/>
      <c r="P65" s="951"/>
      <c r="Q65" s="951"/>
      <c r="R65" s="951"/>
      <c r="S65" s="951"/>
      <c r="T65" s="951"/>
      <c r="U65" s="951"/>
      <c r="V65" s="951"/>
      <c r="W65" s="951"/>
      <c r="X65" s="951"/>
      <c r="Y65" s="952"/>
      <c r="Z65" s="953"/>
      <c r="AA65" s="951"/>
      <c r="AB65" s="951"/>
      <c r="AC65" s="951"/>
      <c r="AD65" s="951"/>
      <c r="AE65" s="951"/>
      <c r="AF65" s="951"/>
      <c r="AG65" s="951"/>
      <c r="AH65" s="951"/>
      <c r="AI65" s="951"/>
      <c r="AJ65" s="951"/>
      <c r="AK65" s="952"/>
      <c r="AL65" s="953"/>
      <c r="AM65" s="951"/>
      <c r="AN65" s="951"/>
      <c r="AO65" s="951"/>
      <c r="AP65" s="951"/>
      <c r="AQ65" s="951"/>
      <c r="AR65" s="951"/>
      <c r="AS65" s="951"/>
      <c r="AT65" s="951"/>
      <c r="AU65" s="951"/>
      <c r="AV65" s="951"/>
      <c r="AW65" s="952"/>
      <c r="AX65" s="953"/>
      <c r="AY65" s="951"/>
      <c r="AZ65" s="951"/>
      <c r="BA65" s="951"/>
      <c r="BI65" s="956"/>
    </row>
    <row r="66" s="939" customFormat="true" ht="10.5" hidden="false" customHeight="true" outlineLevel="0" collapsed="false">
      <c r="A66" s="931"/>
      <c r="B66" s="951"/>
      <c r="C66" s="951"/>
      <c r="D66" s="951"/>
      <c r="E66" s="951"/>
      <c r="F66" s="951"/>
      <c r="G66" s="951"/>
      <c r="H66" s="951"/>
      <c r="I66" s="951"/>
      <c r="J66" s="951"/>
      <c r="K66" s="951"/>
      <c r="L66" s="951"/>
      <c r="M66" s="952"/>
      <c r="N66" s="951"/>
      <c r="O66" s="951"/>
      <c r="P66" s="951"/>
      <c r="Q66" s="951"/>
      <c r="R66" s="951"/>
      <c r="S66" s="951"/>
      <c r="T66" s="951"/>
      <c r="U66" s="951"/>
      <c r="V66" s="951"/>
      <c r="W66" s="951"/>
      <c r="X66" s="951"/>
      <c r="Y66" s="952"/>
      <c r="Z66" s="953"/>
      <c r="AA66" s="951"/>
      <c r="AB66" s="951"/>
      <c r="AC66" s="951"/>
      <c r="AD66" s="951"/>
      <c r="AE66" s="951"/>
      <c r="AF66" s="951"/>
      <c r="AG66" s="951"/>
      <c r="AH66" s="951"/>
      <c r="AI66" s="951"/>
      <c r="AJ66" s="951"/>
      <c r="AK66" s="952"/>
      <c r="AL66" s="953"/>
      <c r="AM66" s="951"/>
      <c r="AN66" s="951"/>
      <c r="AO66" s="951"/>
      <c r="AP66" s="951"/>
      <c r="AQ66" s="951"/>
      <c r="AR66" s="951"/>
      <c r="AS66" s="951"/>
      <c r="AT66" s="951"/>
      <c r="AU66" s="951"/>
      <c r="AV66" s="951"/>
      <c r="AW66" s="952"/>
      <c r="AX66" s="953"/>
      <c r="AY66" s="951"/>
      <c r="AZ66" s="951"/>
      <c r="BA66" s="951"/>
      <c r="BI66" s="956"/>
    </row>
    <row r="67" s="939" customFormat="true" ht="10.5" hidden="false" customHeight="true" outlineLevel="0" collapsed="false">
      <c r="A67" s="931" t="s">
        <v>1785</v>
      </c>
      <c r="B67" s="957" t="n">
        <v>0.06</v>
      </c>
      <c r="C67" s="951"/>
      <c r="D67" s="951"/>
      <c r="E67" s="951"/>
      <c r="F67" s="951"/>
      <c r="G67" s="951"/>
      <c r="H67" s="951"/>
      <c r="I67" s="951"/>
      <c r="J67" s="951"/>
      <c r="K67" s="951"/>
      <c r="L67" s="951"/>
      <c r="M67" s="952"/>
      <c r="N67" s="951"/>
      <c r="O67" s="951"/>
      <c r="P67" s="951"/>
      <c r="Q67" s="951"/>
      <c r="R67" s="951"/>
      <c r="S67" s="951"/>
      <c r="T67" s="951"/>
      <c r="U67" s="951"/>
      <c r="V67" s="951" t="s">
        <v>1786</v>
      </c>
      <c r="W67" s="951"/>
      <c r="X67" s="951"/>
      <c r="Y67" s="952"/>
      <c r="Z67" s="953"/>
      <c r="AA67" s="951"/>
      <c r="AB67" s="951"/>
      <c r="AC67" s="951"/>
      <c r="AD67" s="951"/>
      <c r="AE67" s="951"/>
      <c r="AF67" s="951"/>
      <c r="AG67" s="951"/>
      <c r="AH67" s="951"/>
      <c r="AI67" s="951"/>
      <c r="AJ67" s="951"/>
      <c r="AK67" s="952"/>
      <c r="AL67" s="953"/>
      <c r="AM67" s="951"/>
      <c r="AN67" s="951"/>
      <c r="AO67" s="951"/>
      <c r="AP67" s="951"/>
      <c r="AQ67" s="951"/>
      <c r="AR67" s="951"/>
      <c r="AS67" s="951"/>
      <c r="AT67" s="951"/>
      <c r="AU67" s="951"/>
      <c r="AV67" s="951"/>
      <c r="AW67" s="952"/>
      <c r="AX67" s="953"/>
      <c r="AY67" s="951"/>
      <c r="AZ67" s="951"/>
      <c r="BA67" s="951"/>
      <c r="BB67" s="951"/>
      <c r="BC67" s="951"/>
      <c r="BD67" s="951"/>
      <c r="BE67" s="951"/>
      <c r="BF67" s="951"/>
      <c r="BG67" s="951"/>
      <c r="BH67" s="951"/>
      <c r="BI67" s="952"/>
    </row>
    <row r="68" s="939" customFormat="true" ht="10.5" hidden="false" customHeight="true" outlineLevel="0" collapsed="false">
      <c r="A68" s="931" t="s">
        <v>1787</v>
      </c>
      <c r="B68" s="958" t="n">
        <v>10</v>
      </c>
      <c r="C68" s="951"/>
      <c r="D68" s="951"/>
      <c r="E68" s="951"/>
      <c r="F68" s="951"/>
      <c r="G68" s="951"/>
      <c r="H68" s="951"/>
      <c r="I68" s="951"/>
      <c r="J68" s="951"/>
      <c r="K68" s="951"/>
      <c r="L68" s="951"/>
      <c r="M68" s="952"/>
      <c r="N68" s="951"/>
      <c r="O68" s="951"/>
      <c r="P68" s="951"/>
      <c r="Q68" s="951"/>
      <c r="R68" s="951"/>
      <c r="S68" s="951"/>
      <c r="T68" s="951"/>
      <c r="U68" s="951"/>
      <c r="V68" s="951"/>
      <c r="W68" s="951"/>
      <c r="X68" s="951"/>
      <c r="Y68" s="952"/>
      <c r="Z68" s="953"/>
      <c r="AA68" s="951"/>
      <c r="AB68" s="951"/>
      <c r="AC68" s="951"/>
      <c r="AD68" s="951"/>
      <c r="AE68" s="951"/>
      <c r="AF68" s="951"/>
      <c r="AG68" s="951"/>
      <c r="AH68" s="951"/>
      <c r="AI68" s="951"/>
      <c r="AJ68" s="951"/>
      <c r="AK68" s="952"/>
      <c r="AL68" s="953"/>
      <c r="AM68" s="951"/>
      <c r="AN68" s="951"/>
      <c r="AO68" s="951"/>
      <c r="AP68" s="951"/>
      <c r="AQ68" s="951"/>
      <c r="AR68" s="951"/>
      <c r="AS68" s="951"/>
      <c r="AT68" s="951"/>
      <c r="AU68" s="951"/>
      <c r="AV68" s="951"/>
      <c r="AW68" s="952"/>
      <c r="AX68" s="953"/>
      <c r="AY68" s="951"/>
      <c r="AZ68" s="951"/>
      <c r="BA68" s="951"/>
      <c r="BB68" s="951"/>
      <c r="BC68" s="951"/>
      <c r="BD68" s="951"/>
      <c r="BE68" s="951"/>
      <c r="BF68" s="951"/>
      <c r="BG68" s="951"/>
      <c r="BH68" s="951"/>
      <c r="BI68" s="952"/>
    </row>
    <row r="69" s="939" customFormat="true" ht="10.5" hidden="false" customHeight="true" outlineLevel="0" collapsed="false">
      <c r="A69" s="931" t="s">
        <v>1788</v>
      </c>
      <c r="B69" s="951" t="n">
        <f aca="false">B47</f>
        <v>0</v>
      </c>
      <c r="C69" s="951" t="n">
        <f aca="false">IF(B77&lt;=1,0,B77)</f>
        <v>0</v>
      </c>
      <c r="D69" s="951" t="n">
        <f aca="false">IF(C77&lt;=1,0,C77)</f>
        <v>0</v>
      </c>
      <c r="E69" s="951" t="n">
        <f aca="false">IF(D77&lt;=1,0,D77)</f>
        <v>0</v>
      </c>
      <c r="F69" s="951" t="n">
        <f aca="false">IF(E77&lt;=1,0,E77)</f>
        <v>0</v>
      </c>
      <c r="G69" s="951" t="n">
        <f aca="false">IF(F77&lt;=1,0,F77)</f>
        <v>0</v>
      </c>
      <c r="H69" s="959" t="n">
        <f aca="false">IF(G77&lt;=1,0,G77)</f>
        <v>0</v>
      </c>
      <c r="I69" s="959" t="n">
        <f aca="false">IF(H77&lt;=1,0,H77)</f>
        <v>5103288.29103204</v>
      </c>
      <c r="J69" s="959" t="n">
        <f aca="false">IF(I77&lt;=1,0,I77)</f>
        <v>8611661.49449877</v>
      </c>
      <c r="K69" s="959" t="n">
        <f aca="false">IF(J77&lt;=1,0,J77)</f>
        <v>11408199.2217039</v>
      </c>
      <c r="L69" s="959" t="n">
        <f aca="false">IF(K77&lt;=1,0,K77)</f>
        <v>14400306.7429422</v>
      </c>
      <c r="M69" s="960" t="n">
        <f aca="false">IF(L77&lt;=1,0,L77)</f>
        <v>16732220.0747334</v>
      </c>
      <c r="N69" s="834" t="n">
        <f aca="false">IF(M77&lt;=1,0,M77)</f>
        <v>19689668.3665807</v>
      </c>
      <c r="O69" s="834" t="n">
        <f aca="false">IF(N77&lt;=1,0,N77)</f>
        <v>21913995.8429081</v>
      </c>
      <c r="P69" s="834" t="n">
        <f aca="false">IF(O77&lt;=1,0,O77)</f>
        <v>22236610.1814755</v>
      </c>
      <c r="Q69" s="951" t="n">
        <f aca="false">IF(P77&lt;=1,0,P77)</f>
        <v>22555663.8675941</v>
      </c>
      <c r="R69" s="951" t="n">
        <f aca="false">IF(Q77&lt;=1,0,Q77)</f>
        <v>22407967.5461432</v>
      </c>
      <c r="S69" s="951" t="n">
        <f aca="false">IF(R77&lt;=1,0,R77)</f>
        <v>22259532.7430852</v>
      </c>
      <c r="T69" s="951" t="n">
        <f aca="false">IF(S77&lt;=1,0,S77)</f>
        <v>22110355.7660118</v>
      </c>
      <c r="U69" s="951" t="n">
        <f aca="false">IF(T77&lt;=1,0,T77)</f>
        <v>21960432.9040531</v>
      </c>
      <c r="V69" s="951" t="n">
        <f aca="false">IF(U77&lt;=1,0,U77)</f>
        <v>21809760.4277845</v>
      </c>
      <c r="W69" s="951" t="n">
        <f aca="false">IF(V77&lt;=1,0,V77)</f>
        <v>21658334.5891347</v>
      </c>
      <c r="X69" s="951" t="n">
        <f aca="false">IF(W77&lt;=1,0,W77)</f>
        <v>21506151.6212916</v>
      </c>
      <c r="Y69" s="952" t="n">
        <f aca="false">IF(X77&lt;=1,0,X77)</f>
        <v>21353207.7386092</v>
      </c>
      <c r="Z69" s="953" t="n">
        <f aca="false">IF(Y77&lt;=1,0,Y77)</f>
        <v>21199499.1365135</v>
      </c>
      <c r="AA69" s="951" t="n">
        <f aca="false">IF(Z77&lt;=1,0,Z77)</f>
        <v>21045021.9914073</v>
      </c>
      <c r="AB69" s="951" t="n">
        <f aca="false">IF(AA77&lt;=1,0,AA77)</f>
        <v>20889772.4605755</v>
      </c>
      <c r="AC69" s="951" t="n">
        <f aca="false">IF(AB77&lt;=1,0,AB77)</f>
        <v>20733746.6820896</v>
      </c>
      <c r="AD69" s="951" t="n">
        <f aca="false">IF(AC77&lt;=1,0,AC77)</f>
        <v>20576940.7747113</v>
      </c>
      <c r="AE69" s="951" t="n">
        <f aca="false">IF(AD77&lt;=1,0,AD77)</f>
        <v>20419350.837796</v>
      </c>
      <c r="AF69" s="951" t="n">
        <f aca="false">IF(AE77&lt;=1,0,AE77)</f>
        <v>20260972.9511962</v>
      </c>
      <c r="AG69" s="951" t="n">
        <f aca="false">IF(AF77&lt;=1,0,AF77)</f>
        <v>20101803.1751634</v>
      </c>
      <c r="AH69" s="951" t="n">
        <f aca="false">IF(AG77&lt;=1,0,AG77)</f>
        <v>19941837.5502504</v>
      </c>
      <c r="AI69" s="951" t="n">
        <f aca="false">IF(AH77&lt;=1,0,AH77)</f>
        <v>19781072.0972129</v>
      </c>
      <c r="AJ69" s="951" t="n">
        <f aca="false">IF(AI77&lt;=1,0,AI77)</f>
        <v>19619502.8169102</v>
      </c>
      <c r="AK69" s="952" t="n">
        <f aca="false">IF(AJ77&lt;=1,0,AJ77)</f>
        <v>19457125.6902059</v>
      </c>
      <c r="AL69" s="953" t="n">
        <f aca="false">IF(AK77&lt;=1,0,AK77)</f>
        <v>19293936.6778682</v>
      </c>
      <c r="AM69" s="951" t="n">
        <f aca="false">IF(AL77&lt;=1,0,AL77)</f>
        <v>19129931.7204687</v>
      </c>
      <c r="AN69" s="951" t="n">
        <f aca="false">IF(AM77&lt;=1,0,AM77)</f>
        <v>18965106.7382823</v>
      </c>
      <c r="AO69" s="951" t="n">
        <f aca="false">IF(AN77&lt;=1,0,AN77)</f>
        <v>18799457.6311849</v>
      </c>
      <c r="AP69" s="951" t="n">
        <f aca="false">IF(AO77&lt;=1,0,AO77)</f>
        <v>18632980.278552</v>
      </c>
      <c r="AQ69" s="951" t="n">
        <f aca="false">IF(AP77&lt;=1,0,AP77)</f>
        <v>18465670.539156</v>
      </c>
      <c r="AR69" s="951" t="n">
        <f aca="false">IF(AQ77&lt;=1,0,AQ77)</f>
        <v>18297524.251063</v>
      </c>
      <c r="AS69" s="951" t="n">
        <f aca="false">IF(AR77&lt;=1,0,AR77)</f>
        <v>18128537.2315295</v>
      </c>
      <c r="AT69" s="951" t="n">
        <f aca="false">IF(AS77&lt;=1,0,AS77)</f>
        <v>17958705.2768984</v>
      </c>
      <c r="AU69" s="951" t="n">
        <f aca="false">IF(AT77&lt;=1,0,AT77)</f>
        <v>17788024.1624941</v>
      </c>
      <c r="AV69" s="951" t="n">
        <f aca="false">IF(AU77&lt;=1,0,AU77)</f>
        <v>17616489.6425178</v>
      </c>
      <c r="AW69" s="952" t="n">
        <f aca="false">IF(AV77&lt;=1,0,AV77)</f>
        <v>17444097.4499416</v>
      </c>
      <c r="AX69" s="953" t="n">
        <f aca="false">IF(AW77&lt;=1,0,AW77)</f>
        <v>17270843.2964025</v>
      </c>
      <c r="AY69" s="951" t="n">
        <f aca="false">IF(AX77&lt;=1,0,AX77)</f>
        <v>17096722.8720957</v>
      </c>
      <c r="AZ69" s="951" t="n">
        <f aca="false">IF(AY77&lt;=1,0,AY77)</f>
        <v>16921731.8456674</v>
      </c>
      <c r="BA69" s="951" t="n">
        <f aca="false">IF(AZ77&lt;=1,0,AZ77)</f>
        <v>16745865.864107</v>
      </c>
      <c r="BB69" s="951" t="n">
        <f aca="false">IF(BA77&lt;=1,0,BA77)</f>
        <v>16569120.5526387</v>
      </c>
      <c r="BC69" s="951" t="n">
        <f aca="false">IF(BB77&lt;=1,0,BB77)</f>
        <v>16391491.5146131</v>
      </c>
      <c r="BD69" s="951" t="n">
        <f aca="false">IF(BC77&lt;=1,0,BC77)</f>
        <v>16212974.3313974</v>
      </c>
      <c r="BE69" s="951" t="n">
        <f aca="false">IF(BD77&lt;=1,0,BD77)</f>
        <v>16033564.5622656</v>
      </c>
      <c r="BF69" s="951" t="n">
        <f aca="false">IF(BE77&lt;=1,0,BE77)</f>
        <v>15853257.7442881</v>
      </c>
      <c r="BG69" s="951" t="n">
        <f aca="false">IF(BF77&lt;=1,0,BF77)</f>
        <v>15672049.3922208</v>
      </c>
      <c r="BH69" s="951" t="n">
        <f aca="false">IF(BG77&lt;=1,0,BG77)</f>
        <v>15489934.9983931</v>
      </c>
      <c r="BI69" s="952" t="n">
        <f aca="false">IF(BH77&lt;=1,0,BH77)</f>
        <v>15306910.0325963</v>
      </c>
    </row>
    <row r="70" s="939" customFormat="true" ht="10.5" hidden="false" customHeight="true" outlineLevel="0" collapsed="false">
      <c r="A70" s="931" t="s">
        <v>1789</v>
      </c>
      <c r="B70" s="951" t="n">
        <f aca="false">B11</f>
        <v>0</v>
      </c>
      <c r="C70" s="961" t="n">
        <f aca="false">C11</f>
        <v>0</v>
      </c>
      <c r="D70" s="961" t="n">
        <f aca="false">D11</f>
        <v>0</v>
      </c>
      <c r="E70" s="961" t="n">
        <f aca="false">E11</f>
        <v>0</v>
      </c>
      <c r="F70" s="961" t="n">
        <f aca="false">F11</f>
        <v>0</v>
      </c>
      <c r="G70" s="951" t="n">
        <f aca="false">G11</f>
        <v>0</v>
      </c>
      <c r="H70" s="951" t="n">
        <f aca="false">H11</f>
        <v>5134620</v>
      </c>
      <c r="I70" s="951" t="n">
        <f aca="false">I11</f>
        <v>3561594.6</v>
      </c>
      <c r="J70" s="951" t="n">
        <f aca="false">J11</f>
        <v>2867523</v>
      </c>
      <c r="K70" s="951" t="n">
        <f aca="false">K11</f>
        <v>3082255.8</v>
      </c>
      <c r="L70" s="951" t="n">
        <f aca="false">L11</f>
        <v>2437385.4</v>
      </c>
      <c r="M70" s="952" t="n">
        <f aca="false">M11</f>
        <v>3082255.8</v>
      </c>
      <c r="N70" s="951" t="n">
        <f aca="false">N11</f>
        <v>2364185.4</v>
      </c>
      <c r="O70" s="951" t="n">
        <f aca="false">O11</f>
        <v>466015.2</v>
      </c>
      <c r="P70" s="951" t="n">
        <f aca="false">P11</f>
        <v>466015.2</v>
      </c>
      <c r="Q70" s="951" t="n">
        <v>0</v>
      </c>
      <c r="R70" s="951" t="n">
        <v>0</v>
      </c>
      <c r="S70" s="951" t="n">
        <v>0</v>
      </c>
      <c r="T70" s="951" t="n">
        <v>0</v>
      </c>
      <c r="U70" s="951" t="n">
        <v>0</v>
      </c>
      <c r="V70" s="951" t="n">
        <v>0</v>
      </c>
      <c r="W70" s="951" t="n">
        <v>0</v>
      </c>
      <c r="X70" s="951" t="n">
        <v>0</v>
      </c>
      <c r="Y70" s="952" t="n">
        <v>0</v>
      </c>
      <c r="Z70" s="953" t="n">
        <v>0</v>
      </c>
      <c r="AA70" s="951" t="n">
        <v>0</v>
      </c>
      <c r="AB70" s="951" t="n">
        <v>0</v>
      </c>
      <c r="AC70" s="951" t="n">
        <v>0</v>
      </c>
      <c r="AD70" s="951" t="n">
        <v>0</v>
      </c>
      <c r="AE70" s="951" t="n">
        <v>0</v>
      </c>
      <c r="AF70" s="951" t="n">
        <v>0</v>
      </c>
      <c r="AG70" s="951" t="n">
        <v>0</v>
      </c>
      <c r="AH70" s="951" t="n">
        <v>0</v>
      </c>
      <c r="AI70" s="951" t="n">
        <v>0</v>
      </c>
      <c r="AJ70" s="951" t="n">
        <v>0</v>
      </c>
      <c r="AK70" s="952" t="n">
        <v>0</v>
      </c>
      <c r="AL70" s="953" t="n">
        <v>0</v>
      </c>
      <c r="AM70" s="951" t="n">
        <v>0</v>
      </c>
      <c r="AN70" s="951" t="n">
        <v>0</v>
      </c>
      <c r="AO70" s="951" t="n">
        <v>0</v>
      </c>
      <c r="AP70" s="951" t="n">
        <v>0</v>
      </c>
      <c r="AQ70" s="951" t="n">
        <v>0</v>
      </c>
      <c r="AR70" s="951" t="n">
        <v>0</v>
      </c>
      <c r="AS70" s="951" t="n">
        <v>0</v>
      </c>
      <c r="AT70" s="951" t="n">
        <v>0</v>
      </c>
      <c r="AU70" s="951" t="n">
        <v>0</v>
      </c>
      <c r="AV70" s="951" t="n">
        <v>0</v>
      </c>
      <c r="AW70" s="952" t="n">
        <v>0</v>
      </c>
      <c r="AX70" s="953" t="n">
        <v>0</v>
      </c>
      <c r="AY70" s="951" t="n">
        <v>0</v>
      </c>
      <c r="AZ70" s="951" t="n">
        <v>0</v>
      </c>
      <c r="BA70" s="951" t="n">
        <v>0</v>
      </c>
      <c r="BB70" s="951" t="n">
        <v>0</v>
      </c>
      <c r="BC70" s="951" t="n">
        <v>0</v>
      </c>
      <c r="BD70" s="951" t="n">
        <v>0</v>
      </c>
      <c r="BE70" s="951" t="n">
        <v>0</v>
      </c>
      <c r="BF70" s="951" t="n">
        <v>0</v>
      </c>
      <c r="BG70" s="951" t="n">
        <v>0</v>
      </c>
      <c r="BH70" s="951" t="n">
        <v>0</v>
      </c>
      <c r="BI70" s="952" t="n">
        <v>0</v>
      </c>
    </row>
    <row r="71" s="939" customFormat="true" ht="10.5" hidden="false" customHeight="true" outlineLevel="0" collapsed="false">
      <c r="A71" s="931" t="s">
        <v>1790</v>
      </c>
      <c r="B71" s="951" t="n">
        <v>0</v>
      </c>
      <c r="C71" s="951" t="n">
        <v>0</v>
      </c>
      <c r="D71" s="951" t="n">
        <v>0</v>
      </c>
      <c r="E71" s="951" t="n">
        <v>0</v>
      </c>
      <c r="F71" s="951" t="n">
        <v>0</v>
      </c>
      <c r="G71" s="951" t="n">
        <v>0</v>
      </c>
      <c r="H71" s="951" t="n">
        <v>0</v>
      </c>
      <c r="I71" s="951" t="n">
        <v>0</v>
      </c>
      <c r="J71" s="951" t="n">
        <v>0</v>
      </c>
      <c r="K71" s="951" t="n">
        <v>0</v>
      </c>
      <c r="L71" s="951" t="n">
        <v>0</v>
      </c>
      <c r="M71" s="952" t="n">
        <v>0</v>
      </c>
      <c r="N71" s="951" t="n">
        <v>0</v>
      </c>
      <c r="O71" s="951" t="n">
        <v>0</v>
      </c>
      <c r="P71" s="951" t="n">
        <v>0</v>
      </c>
      <c r="Q71" s="951" t="n">
        <v>0</v>
      </c>
      <c r="R71" s="951" t="n">
        <v>0</v>
      </c>
      <c r="S71" s="951" t="n">
        <v>0</v>
      </c>
      <c r="T71" s="951" t="n">
        <v>0</v>
      </c>
      <c r="U71" s="951" t="n">
        <v>0</v>
      </c>
      <c r="V71" s="951" t="n">
        <v>0</v>
      </c>
      <c r="W71" s="951" t="n">
        <v>0</v>
      </c>
      <c r="X71" s="951" t="n">
        <v>0</v>
      </c>
      <c r="Y71" s="952" t="n">
        <v>0</v>
      </c>
      <c r="Z71" s="953" t="n">
        <v>0</v>
      </c>
      <c r="AA71" s="951" t="n">
        <v>0</v>
      </c>
      <c r="AB71" s="951" t="n">
        <v>0</v>
      </c>
      <c r="AC71" s="951" t="n">
        <v>0</v>
      </c>
      <c r="AD71" s="951" t="n">
        <v>0</v>
      </c>
      <c r="AE71" s="951" t="n">
        <v>0</v>
      </c>
      <c r="AF71" s="951" t="n">
        <v>0</v>
      </c>
      <c r="AG71" s="951" t="n">
        <v>0</v>
      </c>
      <c r="AH71" s="951" t="n">
        <v>0</v>
      </c>
      <c r="AI71" s="951" t="n">
        <v>0</v>
      </c>
      <c r="AJ71" s="951" t="n">
        <v>0</v>
      </c>
      <c r="AK71" s="952" t="n">
        <v>0</v>
      </c>
      <c r="AL71" s="953" t="n">
        <v>0</v>
      </c>
      <c r="AM71" s="951" t="n">
        <v>0</v>
      </c>
      <c r="AN71" s="951" t="n">
        <v>0</v>
      </c>
      <c r="AO71" s="951" t="n">
        <v>0</v>
      </c>
      <c r="AP71" s="951" t="n">
        <v>0</v>
      </c>
      <c r="AQ71" s="951" t="n">
        <v>0</v>
      </c>
      <c r="AR71" s="951" t="n">
        <v>0</v>
      </c>
      <c r="AS71" s="951" t="n">
        <v>0</v>
      </c>
      <c r="AT71" s="951" t="n">
        <v>0</v>
      </c>
      <c r="AU71" s="951" t="n">
        <v>0</v>
      </c>
      <c r="AV71" s="951" t="n">
        <v>0</v>
      </c>
      <c r="AW71" s="952" t="n">
        <v>0</v>
      </c>
      <c r="AX71" s="953" t="n">
        <v>0</v>
      </c>
      <c r="AY71" s="951" t="n">
        <v>0</v>
      </c>
      <c r="AZ71" s="951" t="n">
        <v>0</v>
      </c>
      <c r="BA71" s="951" t="n">
        <v>0</v>
      </c>
      <c r="BB71" s="951" t="n">
        <v>0</v>
      </c>
      <c r="BC71" s="951" t="n">
        <v>0</v>
      </c>
      <c r="BD71" s="951" t="n">
        <v>0</v>
      </c>
      <c r="BE71" s="951" t="n">
        <v>0</v>
      </c>
      <c r="BF71" s="951" t="n">
        <v>0</v>
      </c>
      <c r="BG71" s="951" t="n">
        <v>0</v>
      </c>
      <c r="BH71" s="951" t="n">
        <v>0</v>
      </c>
      <c r="BI71" s="952" t="n">
        <v>0</v>
      </c>
    </row>
    <row r="72" s="939" customFormat="true" ht="10.5" hidden="false" customHeight="true" outlineLevel="0" collapsed="false">
      <c r="A72" s="931" t="s">
        <v>1791</v>
      </c>
      <c r="B72" s="951" t="n">
        <f aca="false">B70+B71</f>
        <v>0</v>
      </c>
      <c r="C72" s="951" t="n">
        <f aca="false">C69+C70-C71</f>
        <v>0</v>
      </c>
      <c r="D72" s="951" t="n">
        <f aca="false">D69+D70-D71</f>
        <v>0</v>
      </c>
      <c r="E72" s="951" t="n">
        <f aca="false">E69+E70-E71</f>
        <v>0</v>
      </c>
      <c r="F72" s="951" t="n">
        <f aca="false">F69+F70-F71</f>
        <v>0</v>
      </c>
      <c r="G72" s="951" t="n">
        <f aca="false">G69+G70-G71</f>
        <v>0</v>
      </c>
      <c r="H72" s="951" t="n">
        <f aca="false">H69+H70-H71</f>
        <v>5134620</v>
      </c>
      <c r="I72" s="951" t="n">
        <f aca="false">I69+I70-I71</f>
        <v>8664882.89103204</v>
      </c>
      <c r="J72" s="951" t="n">
        <f aca="false">J69+J70-J71</f>
        <v>11479184.4944988</v>
      </c>
      <c r="K72" s="951" t="n">
        <f aca="false">K69+K70-K71</f>
        <v>14490455.0217039</v>
      </c>
      <c r="L72" s="951" t="n">
        <f aca="false">L69+L70-L71</f>
        <v>16837692.1429422</v>
      </c>
      <c r="M72" s="952" t="n">
        <f aca="false">M69+M70-M71</f>
        <v>19814475.8747334</v>
      </c>
      <c r="N72" s="951" t="n">
        <f aca="false">N69+N70-N71</f>
        <v>22053853.7665807</v>
      </c>
      <c r="O72" s="951" t="n">
        <f aca="false">O69+O70-O71</f>
        <v>22380011.0429081</v>
      </c>
      <c r="P72" s="951" t="n">
        <f aca="false">P69+P70-P71</f>
        <v>22702625.3814755</v>
      </c>
      <c r="Q72" s="951" t="n">
        <f aca="false">Q69+Q70-Q71</f>
        <v>22555663.8675941</v>
      </c>
      <c r="R72" s="951" t="n">
        <f aca="false">R69+R70-R71</f>
        <v>22407967.5461432</v>
      </c>
      <c r="S72" s="951" t="n">
        <f aca="false">S69+S70-S71</f>
        <v>22259532.7430852</v>
      </c>
      <c r="T72" s="951" t="n">
        <f aca="false">T69+T70-T71</f>
        <v>22110355.7660118</v>
      </c>
      <c r="U72" s="951" t="n">
        <f aca="false">U69+U70-U71</f>
        <v>21960432.9040531</v>
      </c>
      <c r="V72" s="951" t="n">
        <f aca="false">V69+V70-V71</f>
        <v>21809760.4277845</v>
      </c>
      <c r="W72" s="951" t="n">
        <f aca="false">W69+W70-W71</f>
        <v>21658334.5891347</v>
      </c>
      <c r="X72" s="951" t="n">
        <f aca="false">X69+X70-X71</f>
        <v>21506151.6212916</v>
      </c>
      <c r="Y72" s="952" t="n">
        <f aca="false">Y69+Y70-Y71</f>
        <v>21353207.7386092</v>
      </c>
      <c r="Z72" s="953" t="n">
        <f aca="false">Z69+Z70-Z71</f>
        <v>21199499.1365135</v>
      </c>
      <c r="AA72" s="951" t="n">
        <f aca="false">AA69+AA70-AA71</f>
        <v>21045021.9914073</v>
      </c>
      <c r="AB72" s="951" t="n">
        <f aca="false">AB69+AB70-AB71</f>
        <v>20889772.4605755</v>
      </c>
      <c r="AC72" s="951" t="n">
        <f aca="false">AC69+AC70-AC71</f>
        <v>20733746.6820896</v>
      </c>
      <c r="AD72" s="951" t="n">
        <f aca="false">AD69+AD70-AD71</f>
        <v>20576940.7747113</v>
      </c>
      <c r="AE72" s="951" t="n">
        <f aca="false">AE69+AE70-AE71</f>
        <v>20419350.837796</v>
      </c>
      <c r="AF72" s="951" t="n">
        <f aca="false">AF69+AF70-AF71</f>
        <v>20260972.9511962</v>
      </c>
      <c r="AG72" s="951" t="n">
        <f aca="false">AG69+AG70-AG71</f>
        <v>20101803.1751634</v>
      </c>
      <c r="AH72" s="951" t="n">
        <f aca="false">AH69+AH70-AH71</f>
        <v>19941837.5502504</v>
      </c>
      <c r="AI72" s="951" t="n">
        <f aca="false">AI69+AI70-AI71</f>
        <v>19781072.0972129</v>
      </c>
      <c r="AJ72" s="951" t="n">
        <f aca="false">AJ69+AJ70-AJ71</f>
        <v>19619502.8169102</v>
      </c>
      <c r="AK72" s="952" t="n">
        <f aca="false">AK69+AK70-AK71</f>
        <v>19457125.6902059</v>
      </c>
      <c r="AL72" s="953" t="n">
        <f aca="false">AL69+AL70-AL71</f>
        <v>19293936.6778682</v>
      </c>
      <c r="AM72" s="951" t="n">
        <f aca="false">AM69+AM70-AM71</f>
        <v>19129931.7204687</v>
      </c>
      <c r="AN72" s="951" t="n">
        <f aca="false">AN69+AN70-AN71</f>
        <v>18965106.7382823</v>
      </c>
      <c r="AO72" s="951" t="n">
        <f aca="false">AO69+AO70-AO71</f>
        <v>18799457.6311849</v>
      </c>
      <c r="AP72" s="951" t="n">
        <f aca="false">AP69+AP70-AP71</f>
        <v>18632980.278552</v>
      </c>
      <c r="AQ72" s="951" t="n">
        <f aca="false">AQ69+AQ70-AQ71</f>
        <v>18465670.539156</v>
      </c>
      <c r="AR72" s="951" t="n">
        <f aca="false">AR69+AR70-AR71</f>
        <v>18297524.251063</v>
      </c>
      <c r="AS72" s="951" t="n">
        <f aca="false">AS69+AS70-AS71</f>
        <v>18128537.2315295</v>
      </c>
      <c r="AT72" s="951" t="n">
        <f aca="false">AT69+AT70-AT71</f>
        <v>17958705.2768984</v>
      </c>
      <c r="AU72" s="951" t="n">
        <f aca="false">AU69+AU70-AU71</f>
        <v>17788024.1624941</v>
      </c>
      <c r="AV72" s="951" t="n">
        <f aca="false">AV69+AV70-AV71</f>
        <v>17616489.6425178</v>
      </c>
      <c r="AW72" s="952" t="n">
        <f aca="false">AW69+AW70-AW71</f>
        <v>17444097.4499416</v>
      </c>
      <c r="AX72" s="953" t="n">
        <f aca="false">AX69+AX70-AX71</f>
        <v>17270843.2964025</v>
      </c>
      <c r="AY72" s="951" t="n">
        <f aca="false">AY69+AY70-AY71</f>
        <v>17096722.8720957</v>
      </c>
      <c r="AZ72" s="951" t="n">
        <f aca="false">AZ69+AZ70-AZ71</f>
        <v>16921731.8456674</v>
      </c>
      <c r="BA72" s="951" t="n">
        <f aca="false">BA69+BA70-BA71</f>
        <v>16745865.864107</v>
      </c>
      <c r="BB72" s="951" t="n">
        <f aca="false">BB69+BB70-BB71</f>
        <v>16569120.5526387</v>
      </c>
      <c r="BC72" s="951" t="n">
        <f aca="false">BC69+BC70-BC71</f>
        <v>16391491.5146131</v>
      </c>
      <c r="BD72" s="951" t="n">
        <f aca="false">BD69+BD70-BD71</f>
        <v>16212974.3313974</v>
      </c>
      <c r="BE72" s="951" t="n">
        <f aca="false">BE69+BE70-BE71</f>
        <v>16033564.5622656</v>
      </c>
      <c r="BF72" s="951" t="n">
        <f aca="false">BF69+BF70-BF71</f>
        <v>15853257.7442881</v>
      </c>
      <c r="BG72" s="951" t="n">
        <f aca="false">BG69+BG70-BG71</f>
        <v>15672049.3922208</v>
      </c>
      <c r="BH72" s="951" t="n">
        <f aca="false">BH69+BH70-BH71</f>
        <v>15489934.9983931</v>
      </c>
      <c r="BI72" s="952" t="n">
        <f aca="false">BI69+BI70-BI71</f>
        <v>15306910.0325963</v>
      </c>
    </row>
    <row r="73" s="939" customFormat="true" ht="10.5" hidden="false" customHeight="true" outlineLevel="0" collapsed="false">
      <c r="A73" s="931" t="s">
        <v>1792</v>
      </c>
      <c r="B73" s="951" t="n">
        <f aca="false">IF(B71=B69,0+B70,B70)-B71</f>
        <v>0</v>
      </c>
      <c r="C73" s="951" t="n">
        <f aca="false">IF(C71=C69,0+C70,B73+C70)-C71</f>
        <v>0</v>
      </c>
      <c r="D73" s="951" t="n">
        <f aca="false">IF(D71=D69,0+D70,C73+D70)-D71</f>
        <v>0</v>
      </c>
      <c r="E73" s="951" t="n">
        <f aca="false">IF(E71=E69,0+E70,D73+E70)-E71</f>
        <v>0</v>
      </c>
      <c r="F73" s="951" t="n">
        <f aca="false">IF(F71=F69,0+F70,E73+F70)-F71</f>
        <v>0</v>
      </c>
      <c r="G73" s="951" t="n">
        <f aca="false">IF(G71=G69,0+G70,F73+G70)-G71</f>
        <v>0</v>
      </c>
      <c r="H73" s="951" t="n">
        <f aca="false">IF(H71=H69,0+H70,G73+H70)-H71</f>
        <v>5134620</v>
      </c>
      <c r="I73" s="951" t="n">
        <f aca="false">IF(I71=I69,0+I70,H73+I70)-I71</f>
        <v>8696214.6</v>
      </c>
      <c r="J73" s="951" t="n">
        <f aca="false">IF(J71=J69,0+J70,I73+J70)-J71</f>
        <v>11563737.6</v>
      </c>
      <c r="K73" s="951" t="n">
        <f aca="false">IF(K71=K69,0+K70,J73+K70)-K71</f>
        <v>14645993.4</v>
      </c>
      <c r="L73" s="951" t="n">
        <f aca="false">IF(L71=L69,0+L70,K73+L70)-L71</f>
        <v>17083378.8</v>
      </c>
      <c r="M73" s="952" t="n">
        <f aca="false">IF(M71=M69,0+M70,L73+M70)-M71</f>
        <v>20165634.6</v>
      </c>
      <c r="N73" s="951" t="n">
        <f aca="false">IF(N71=N69,0+N70,M73+N70)-N71</f>
        <v>22529820</v>
      </c>
      <c r="O73" s="951" t="n">
        <f aca="false">IF(O71=O69,0+O70,N73+O70)-O71</f>
        <v>22995835.2</v>
      </c>
      <c r="P73" s="951" t="n">
        <f aca="false">IF(P71=P69,0+P70,O73+P70)-P71</f>
        <v>23461850.4</v>
      </c>
      <c r="Q73" s="951" t="n">
        <f aca="false">IF(Q71=Q69,0+Q70,P73+Q70)-Q71</f>
        <v>23461850.4</v>
      </c>
      <c r="R73" s="951" t="n">
        <f aca="false">IF(R71=R69,0+R70,Q73+R70)-R71</f>
        <v>23461850.4</v>
      </c>
      <c r="S73" s="951" t="n">
        <f aca="false">IF(S71=S69,0+S70,R73+S70)-S71</f>
        <v>23461850.4</v>
      </c>
      <c r="T73" s="951" t="n">
        <f aca="false">IF(T71=T69,0+T70,S73+T70)-T71</f>
        <v>23461850.4</v>
      </c>
      <c r="U73" s="951" t="n">
        <f aca="false">IF(U71=U69,0+U70,T73+U70)-U71</f>
        <v>23461850.4</v>
      </c>
      <c r="V73" s="951" t="n">
        <f aca="false">IF(V71=V69,0+V70,U73+V70)-V71</f>
        <v>23461850.4</v>
      </c>
      <c r="W73" s="951" t="n">
        <f aca="false">IF(W71=W69,0+W70,V73+W70)-W71</f>
        <v>23461850.4</v>
      </c>
      <c r="X73" s="951" t="n">
        <f aca="false">IF(X71=X69,0+X70,W73+X70)-X71</f>
        <v>23461850.4</v>
      </c>
      <c r="Y73" s="952" t="n">
        <f aca="false">IF(Y71=Y69,0+Y70,X73+Y70)-Y71</f>
        <v>23461850.4</v>
      </c>
      <c r="Z73" s="953" t="n">
        <f aca="false">IF(Z71=Z69,0+Z70,Y73+Z70)-Z71</f>
        <v>23461850.4</v>
      </c>
      <c r="AA73" s="951" t="n">
        <f aca="false">IF(AA71=AA69,0+AA70,Z73+AA70)-AA71</f>
        <v>23461850.4</v>
      </c>
      <c r="AB73" s="951" t="n">
        <f aca="false">IF(AB71=AB69,0+AB70,AA73+AB70)-AB71</f>
        <v>23461850.4</v>
      </c>
      <c r="AC73" s="951" t="n">
        <f aca="false">IF(AC71=AC69,0+AC70,AB73+AC70)-AC71</f>
        <v>23461850.4</v>
      </c>
      <c r="AD73" s="951" t="n">
        <f aca="false">IF(AD71=AD69,0+AD70,AC73+AD70)-AD71</f>
        <v>23461850.4</v>
      </c>
      <c r="AE73" s="951" t="n">
        <f aca="false">IF(AE71=AE69,0+AE70,AD73+AE70)-AE71</f>
        <v>23461850.4</v>
      </c>
      <c r="AF73" s="951" t="n">
        <f aca="false">IF(AF71=AF69,0+AF70,AE73+AF70)-AF71</f>
        <v>23461850.4</v>
      </c>
      <c r="AG73" s="951" t="n">
        <f aca="false">IF(AG71=AG69,0+AG70,AF73+AG70)-AG71</f>
        <v>23461850.4</v>
      </c>
      <c r="AH73" s="951" t="n">
        <f aca="false">IF(AH71=AH69,0+AH70,AG73+AH70)-AH71</f>
        <v>23461850.4</v>
      </c>
      <c r="AI73" s="951" t="n">
        <f aca="false">IF(AI71=AI69,0+AI70,AH73+AI70)-AI71</f>
        <v>23461850.4</v>
      </c>
      <c r="AJ73" s="951" t="n">
        <f aca="false">IF(AJ71=AJ69,0+AJ70,AI73+AJ70)-AJ71</f>
        <v>23461850.4</v>
      </c>
      <c r="AK73" s="952" t="n">
        <f aca="false">IF(AK71=AK69,0+AK70,AJ73+AK70)-AK71</f>
        <v>23461850.4</v>
      </c>
      <c r="AL73" s="953" t="n">
        <f aca="false">IF(AL71=AL69,0+AL70,AK73+AL70)-AL71</f>
        <v>23461850.4</v>
      </c>
      <c r="AM73" s="951" t="n">
        <f aca="false">IF(AM71=AM69,0+AM70,AL73+AM70)-AM71</f>
        <v>23461850.4</v>
      </c>
      <c r="AN73" s="951" t="n">
        <f aca="false">IF(AN71=AN69,0+AN70,AM73+AN70)-AN71</f>
        <v>23461850.4</v>
      </c>
      <c r="AO73" s="951" t="n">
        <f aca="false">IF(AO71=AO69,0+AO70,AN73+AO70)-AO71</f>
        <v>23461850.4</v>
      </c>
      <c r="AP73" s="951" t="n">
        <f aca="false">IF(AP71=AP69,0+AP70,AO73+AP70)-AP71</f>
        <v>23461850.4</v>
      </c>
      <c r="AQ73" s="951" t="n">
        <f aca="false">IF(AQ71=AQ69,0+AQ70,AP73+AQ70)-AQ71</f>
        <v>23461850.4</v>
      </c>
      <c r="AR73" s="951" t="n">
        <f aca="false">IF(AR71=AR69,0+AR70,AQ73+AR70)-AR71</f>
        <v>23461850.4</v>
      </c>
      <c r="AS73" s="951" t="n">
        <f aca="false">IF(AS71=AS69,0+AS70,AR73+AS70)-AS71</f>
        <v>23461850.4</v>
      </c>
      <c r="AT73" s="951" t="n">
        <f aca="false">IF(AT71=AT69,0+AT70,AS73+AT70)-AT71</f>
        <v>23461850.4</v>
      </c>
      <c r="AU73" s="951" t="n">
        <f aca="false">IF(AU71=AU69,0+AU70,AT73+AU70)-AU71</f>
        <v>23461850.4</v>
      </c>
      <c r="AV73" s="951" t="n">
        <f aca="false">IF(AV71=AV69,0+AV70,AU73+AV70)-AV71</f>
        <v>23461850.4</v>
      </c>
      <c r="AW73" s="952" t="n">
        <f aca="false">IF(AW71=AW69,0+AW70,AV73+AW70)-AW71</f>
        <v>23461850.4</v>
      </c>
      <c r="AX73" s="953" t="n">
        <f aca="false">IF(AX71=AX69,0+AX70,AW73+AX70)-AX71</f>
        <v>23461850.4</v>
      </c>
      <c r="AY73" s="951" t="n">
        <f aca="false">IF(AY71=AY69,0+AY70,AX73+AY70)-AY71</f>
        <v>23461850.4</v>
      </c>
      <c r="AZ73" s="951" t="n">
        <f aca="false">IF(AZ71=AZ69,0+AZ70,AY73+AZ70)-AZ71</f>
        <v>23461850.4</v>
      </c>
      <c r="BA73" s="951" t="n">
        <f aca="false">IF(BA71=BA69,0+BA70,AZ73+BA70)-BA71</f>
        <v>23461850.4</v>
      </c>
      <c r="BB73" s="951" t="n">
        <f aca="false">IF(BB71=BB69,0+BB70,BA73+BB70)-BB71</f>
        <v>23461850.4</v>
      </c>
      <c r="BC73" s="951" t="n">
        <f aca="false">IF(BC71=BC69,0+BC70,BB73+BC70)-BC71</f>
        <v>23461850.4</v>
      </c>
      <c r="BD73" s="951" t="n">
        <f aca="false">IF(BD71=BD69,0+BD70,BC73+BD70)-BD71</f>
        <v>23461850.4</v>
      </c>
      <c r="BE73" s="951" t="n">
        <f aca="false">IF(BE71=BE69,0+BE70,BD73+BE70)-BE71</f>
        <v>23461850.4</v>
      </c>
      <c r="BF73" s="951" t="n">
        <f aca="false">IF(BF71=BF69,0+BF70,BE73+BF70)-BF71</f>
        <v>23461850.4</v>
      </c>
      <c r="BG73" s="951" t="n">
        <f aca="false">IF(BG71=BG69,0+BG70,BF73+BG70)-BG71</f>
        <v>23461850.4</v>
      </c>
      <c r="BH73" s="951" t="n">
        <f aca="false">IF(BH71=BH69,0+BH70,BG73+BH70)-BH71</f>
        <v>23461850.4</v>
      </c>
      <c r="BI73" s="952" t="n">
        <f aca="false">IF(BI71=BI69,0+BI70,BH73+BI70)-BI71</f>
        <v>23461850.4</v>
      </c>
    </row>
    <row r="74" s="939" customFormat="true" ht="10.5" hidden="false" customHeight="true" outlineLevel="0" collapsed="false">
      <c r="A74" s="931" t="s">
        <v>1780</v>
      </c>
      <c r="B74" s="951" t="n">
        <f aca="false">IF(B72&lt;=1,0,-PMT($B$67/12,$B$68*12,SUM(B73,0)))</f>
        <v>0</v>
      </c>
      <c r="C74" s="951" t="n">
        <f aca="false">IF(C72&lt;=1,0,-PMT($B$67/12,$B$68*12,SUM(C73,0)))</f>
        <v>0</v>
      </c>
      <c r="D74" s="951" t="n">
        <f aca="false">IF(D72&lt;=1,0,-PMT($B$67/12,$B$68*12,SUM(D73,0)))</f>
        <v>0</v>
      </c>
      <c r="E74" s="951" t="n">
        <f aca="false">IF(E72&lt;=1,0,-PMT($B$67/12,$B$68*12,SUM(E73,0)))</f>
        <v>0</v>
      </c>
      <c r="F74" s="951" t="n">
        <f aca="false">IF(F72&lt;=1,0,-PMT($B$67/12,$B$68*12,SUM(F73,0)))</f>
        <v>0</v>
      </c>
      <c r="G74" s="951" t="n">
        <f aca="false">IF(G72&lt;=1,0,-PMT($B$67/12,$B$68*12,SUM(G73,0)))</f>
        <v>0</v>
      </c>
      <c r="H74" s="951" t="n">
        <f aca="false">IF(H72&lt;=1,0,-PMT($B$67/12,$B$68*12,SUM(H73,0)))</f>
        <v>57004.8089679632</v>
      </c>
      <c r="I74" s="951" t="n">
        <f aca="false">IF(I72&lt;=1,0,-PMT($B$67/12,$B$68*12,SUM(I73,0)))</f>
        <v>96545.81098843</v>
      </c>
      <c r="J74" s="951" t="n">
        <f aca="false">IF(J72&lt;=1,0,-PMT($B$67/12,$B$68*12,SUM(J73,0)))</f>
        <v>128381.195267353</v>
      </c>
      <c r="K74" s="951" t="n">
        <f aca="false">IF(K72&lt;=1,0,-PMT($B$67/12,$B$68*12,SUM(K73,0)))</f>
        <v>162600.553870209</v>
      </c>
      <c r="L74" s="951" t="n">
        <f aca="false">IF(L72&lt;=1,0,-PMT($B$67/12,$B$68*12,SUM(L73,0)))</f>
        <v>189660.528923533</v>
      </c>
      <c r="M74" s="952" t="n">
        <f aca="false">IF(M72&lt;=1,0,-PMT($B$67/12,$B$68*12,SUM(M73,0)))</f>
        <v>223879.887526389</v>
      </c>
      <c r="N74" s="951" t="n">
        <f aca="false">IF(N72&lt;=1,0,-PMT($B$67/12,$B$68*12,SUM(N73,0)))</f>
        <v>250127.192505501</v>
      </c>
      <c r="O74" s="951" t="n">
        <f aca="false">IF(O72&lt;=1,0,-PMT($B$67/12,$B$68*12,SUM(O73,0)))</f>
        <v>255300.916647145</v>
      </c>
      <c r="P74" s="951" t="n">
        <f aca="false">IF(P72&lt;=1,0,-PMT($B$67/12,$B$68*12,SUM(P73,0)))</f>
        <v>260474.640788789</v>
      </c>
      <c r="Q74" s="951" t="n">
        <f aca="false">IF(Q72&lt;=1,0,-PMT($B$67/12,$B$68*12,SUM(Q73,0)))</f>
        <v>260474.640788789</v>
      </c>
      <c r="R74" s="951" t="n">
        <f aca="false">IF(R72&lt;=1,0,-PMT($B$67/12,$B$68*12,SUM(R73,0)))</f>
        <v>260474.640788789</v>
      </c>
      <c r="S74" s="951" t="n">
        <f aca="false">IF(S72&lt;=1,0,-PMT($B$67/12,$B$68*12,SUM(S73,0)))</f>
        <v>260474.640788789</v>
      </c>
      <c r="T74" s="951" t="n">
        <f aca="false">IF(T72&lt;=1,0,-PMT($B$67/12,$B$68*12,SUM(T73,0)))</f>
        <v>260474.640788789</v>
      </c>
      <c r="U74" s="951" t="n">
        <f aca="false">IF(U72&lt;=1,0,-PMT($B$67/12,$B$68*12,SUM(U73,0)))</f>
        <v>260474.640788789</v>
      </c>
      <c r="V74" s="951" t="n">
        <f aca="false">IF(V72&lt;=1,0,-PMT($B$67/12,$B$68*12,SUM(V73,0)))</f>
        <v>260474.640788789</v>
      </c>
      <c r="W74" s="951" t="n">
        <f aca="false">IF(W72&lt;=1,0,-PMT($B$67/12,$B$68*12,SUM(W73,0)))</f>
        <v>260474.640788789</v>
      </c>
      <c r="X74" s="951" t="n">
        <f aca="false">IF(X72&lt;=1,0,-PMT($B$67/12,$B$68*12,SUM(X73,0)))</f>
        <v>260474.640788789</v>
      </c>
      <c r="Y74" s="952" t="n">
        <f aca="false">IF(Y72&lt;=1,0,-PMT($B$67/12,$B$68*12,SUM(Y73,0)))</f>
        <v>260474.640788789</v>
      </c>
      <c r="Z74" s="953" t="n">
        <f aca="false">IF(Z72&lt;=1,0,-PMT($B$67/12,$B$68*12,SUM(Z73,0)))</f>
        <v>260474.640788789</v>
      </c>
      <c r="AA74" s="951" t="n">
        <f aca="false">IF(AA72&lt;=1,0,-PMT($B$67/12,$B$68*12,SUM(AA73,0)))</f>
        <v>260474.640788789</v>
      </c>
      <c r="AB74" s="951" t="n">
        <f aca="false">IF(AB72&lt;=1,0,-PMT($B$67/12,$B$68*12,SUM(AB73,0)))</f>
        <v>260474.640788789</v>
      </c>
      <c r="AC74" s="951" t="n">
        <f aca="false">IF(AC72&lt;=1,0,-PMT($B$67/12,$B$68*12,SUM(AC73,0)))</f>
        <v>260474.640788789</v>
      </c>
      <c r="AD74" s="951" t="n">
        <f aca="false">IF(AD72&lt;=1,0,-PMT($B$67/12,$B$68*12,SUM(AD73,0)))</f>
        <v>260474.640788789</v>
      </c>
      <c r="AE74" s="951" t="n">
        <f aca="false">IF(AE72&lt;=1,0,-PMT($B$67/12,$B$68*12,SUM(AE73,0)))</f>
        <v>260474.640788789</v>
      </c>
      <c r="AF74" s="951" t="n">
        <f aca="false">IF(AF72&lt;=1,0,-PMT($B$67/12,$B$68*12,SUM(AF73,0)))</f>
        <v>260474.640788789</v>
      </c>
      <c r="AG74" s="951" t="n">
        <f aca="false">IF(AG72&lt;=1,0,-PMT($B$67/12,$B$68*12,SUM(AG73,0)))</f>
        <v>260474.640788789</v>
      </c>
      <c r="AH74" s="951" t="n">
        <f aca="false">IF(AH72&lt;=1,0,-PMT($B$67/12,$B$68*12,SUM(AH73,0)))</f>
        <v>260474.640788789</v>
      </c>
      <c r="AI74" s="951" t="n">
        <f aca="false">IF(AI72&lt;=1,0,-PMT($B$67/12,$B$68*12,SUM(AI73,0)))</f>
        <v>260474.640788789</v>
      </c>
      <c r="AJ74" s="951" t="n">
        <f aca="false">IF(AJ72&lt;=1,0,-PMT($B$67/12,$B$68*12,SUM(AJ73,0)))</f>
        <v>260474.640788789</v>
      </c>
      <c r="AK74" s="952" t="n">
        <f aca="false">IF(AK72&lt;=1,0,-PMT($B$67/12,$B$68*12,SUM(AK73,0)))</f>
        <v>260474.640788789</v>
      </c>
      <c r="AL74" s="953" t="n">
        <f aca="false">IF(AL72&lt;=1,0,-PMT($B$67/12,$B$68*12,SUM(AL73,0)))</f>
        <v>260474.640788789</v>
      </c>
      <c r="AM74" s="951" t="n">
        <f aca="false">IF(AM72&lt;=1,0,-PMT($B$67/12,$B$68*12,SUM(AM73,0)))</f>
        <v>260474.640788789</v>
      </c>
      <c r="AN74" s="951" t="n">
        <f aca="false">IF(AN72&lt;=1,0,-PMT($B$67/12,$B$68*12,SUM(AN73,0)))</f>
        <v>260474.640788789</v>
      </c>
      <c r="AO74" s="951" t="n">
        <f aca="false">IF(AO72&lt;=1,0,-PMT($B$67/12,$B$68*12,SUM(AO73,0)))</f>
        <v>260474.640788789</v>
      </c>
      <c r="AP74" s="951" t="n">
        <f aca="false">IF(AP72&lt;=1,0,-PMT($B$67/12,$B$68*12,SUM(AP73,0)))</f>
        <v>260474.640788789</v>
      </c>
      <c r="AQ74" s="951" t="n">
        <f aca="false">IF(AQ72&lt;=1,0,-PMT($B$67/12,$B$68*12,SUM(AQ73,0)))</f>
        <v>260474.640788789</v>
      </c>
      <c r="AR74" s="951" t="n">
        <f aca="false">IF(AR72&lt;=1,0,-PMT($B$67/12,$B$68*12,SUM(AR73,0)))</f>
        <v>260474.640788789</v>
      </c>
      <c r="AS74" s="951" t="n">
        <f aca="false">IF(AS72&lt;=1,0,-PMT($B$67/12,$B$68*12,SUM(AS73,0)))</f>
        <v>260474.640788789</v>
      </c>
      <c r="AT74" s="951" t="n">
        <f aca="false">IF(AT72&lt;=1,0,-PMT($B$67/12,$B$68*12,SUM(AT73,0)))</f>
        <v>260474.640788789</v>
      </c>
      <c r="AU74" s="951" t="n">
        <f aca="false">IF(AU72&lt;=1,0,-PMT($B$67/12,$B$68*12,SUM(AU73,0)))</f>
        <v>260474.640788789</v>
      </c>
      <c r="AV74" s="951" t="n">
        <f aca="false">IF(AV72&lt;=1,0,-PMT($B$67/12,$B$68*12,SUM(AV73,0)))</f>
        <v>260474.640788789</v>
      </c>
      <c r="AW74" s="952" t="n">
        <f aca="false">IF(AW72&lt;=1,0,-PMT($B$67/12,$B$68*12,SUM(AW73,0)))</f>
        <v>260474.640788789</v>
      </c>
      <c r="AX74" s="953" t="n">
        <f aca="false">IF(AX72&lt;=1,0,-PMT($B$67/12,$B$68*12,SUM(AX73,0)))</f>
        <v>260474.640788789</v>
      </c>
      <c r="AY74" s="951" t="n">
        <f aca="false">IF(AY72&lt;=1,0,-PMT($B$67/12,$B$68*12,SUM(AY73,0)))</f>
        <v>260474.640788789</v>
      </c>
      <c r="AZ74" s="951" t="n">
        <f aca="false">IF(AZ72&lt;=1,0,-PMT($B$67/12,$B$68*12,SUM(AZ73,0)))</f>
        <v>260474.640788789</v>
      </c>
      <c r="BA74" s="951" t="n">
        <f aca="false">IF(BA72&lt;=1,0,-PMT($B$67/12,$B$68*12,SUM(BA73,0)))</f>
        <v>260474.640788789</v>
      </c>
      <c r="BB74" s="951" t="n">
        <f aca="false">IF(BB72&lt;=1,0,-PMT($B$67/12,$B$68*12,SUM(BB73,0)))</f>
        <v>260474.640788789</v>
      </c>
      <c r="BC74" s="951" t="n">
        <f aca="false">IF(BC72&lt;=1,0,-PMT($B$67/12,$B$68*12,SUM(BC73,0)))</f>
        <v>260474.640788789</v>
      </c>
      <c r="BD74" s="951" t="n">
        <f aca="false">IF(BD72&lt;=1,0,-PMT($B$67/12,$B$68*12,SUM(BD73,0)))</f>
        <v>260474.640788789</v>
      </c>
      <c r="BE74" s="951" t="n">
        <f aca="false">IF(BE72&lt;=1,0,-PMT($B$67/12,$B$68*12,SUM(BE73,0)))</f>
        <v>260474.640788789</v>
      </c>
      <c r="BF74" s="951" t="n">
        <f aca="false">IF(BF72&lt;=1,0,-PMT($B$67/12,$B$68*12,SUM(BF73,0)))</f>
        <v>260474.640788789</v>
      </c>
      <c r="BG74" s="951" t="n">
        <f aca="false">IF(BG72&lt;=1,0,-PMT($B$67/12,$B$68*12,SUM(BG73,0)))</f>
        <v>260474.640788789</v>
      </c>
      <c r="BH74" s="951" t="n">
        <f aca="false">IF(BH72&lt;=1,0,-PMT($B$67/12,$B$68*12,SUM(BH73,0)))</f>
        <v>260474.640788789</v>
      </c>
      <c r="BI74" s="952" t="n">
        <f aca="false">IF(BI72&lt;=1,0,-PMT($B$67/12,$B$68*12,SUM(BI73,0)))</f>
        <v>260474.640788789</v>
      </c>
    </row>
    <row r="75" s="939" customFormat="true" ht="10.5" hidden="false" customHeight="true" outlineLevel="0" collapsed="false">
      <c r="A75" s="931" t="s">
        <v>1781</v>
      </c>
      <c r="B75" s="951" t="n">
        <f aca="false">B72*($B$67/12)</f>
        <v>0</v>
      </c>
      <c r="C75" s="951" t="n">
        <f aca="false">C72*($B$67/12)</f>
        <v>0</v>
      </c>
      <c r="D75" s="951" t="n">
        <f aca="false">D72*($B$67/12)</f>
        <v>0</v>
      </c>
      <c r="E75" s="951" t="n">
        <f aca="false">E72*($B$67/12)</f>
        <v>0</v>
      </c>
      <c r="F75" s="951" t="n">
        <f aca="false">F72*($B$67/12)</f>
        <v>0</v>
      </c>
      <c r="G75" s="951" t="n">
        <f aca="false">G72*($B$67/12)</f>
        <v>0</v>
      </c>
      <c r="H75" s="951" t="n">
        <f aca="false">H72*($B$67/12)</f>
        <v>25673.1</v>
      </c>
      <c r="I75" s="951" t="n">
        <f aca="false">I72*($B$67/12)</f>
        <v>43324.4144551602</v>
      </c>
      <c r="J75" s="951" t="n">
        <f aca="false">J72*($B$67/12)</f>
        <v>57395.9224724938</v>
      </c>
      <c r="K75" s="951" t="n">
        <f aca="false">K72*($B$67/12)</f>
        <v>72452.2751085195</v>
      </c>
      <c r="L75" s="951" t="n">
        <f aca="false">L72*($B$67/12)</f>
        <v>84188.4607147111</v>
      </c>
      <c r="M75" s="952" t="n">
        <f aca="false">M72*($B$67/12)</f>
        <v>99072.379373667</v>
      </c>
      <c r="N75" s="951" t="n">
        <f aca="false">N72*($B$67/12)</f>
        <v>110269.268832903</v>
      </c>
      <c r="O75" s="951" t="n">
        <f aca="false">O72*($B$67/12)</f>
        <v>111900.05521454</v>
      </c>
      <c r="P75" s="951" t="n">
        <f aca="false">P72*($B$67/12)</f>
        <v>113513.126907377</v>
      </c>
      <c r="Q75" s="951" t="n">
        <f aca="false">Q72*($B$67/12)</f>
        <v>112778.31933797</v>
      </c>
      <c r="R75" s="951" t="n">
        <f aca="false">R72*($B$67/12)</f>
        <v>112039.837730716</v>
      </c>
      <c r="S75" s="951" t="n">
        <f aca="false">S72*($B$67/12)</f>
        <v>111297.663715426</v>
      </c>
      <c r="T75" s="951" t="n">
        <f aca="false">T72*($B$67/12)</f>
        <v>110551.778830059</v>
      </c>
      <c r="U75" s="951" t="n">
        <f aca="false">U72*($B$67/12)</f>
        <v>109802.164520265</v>
      </c>
      <c r="V75" s="951" t="n">
        <f aca="false">V72*($B$67/12)</f>
        <v>109048.802138923</v>
      </c>
      <c r="W75" s="951" t="n">
        <f aca="false">W72*($B$67/12)</f>
        <v>108291.672945673</v>
      </c>
      <c r="X75" s="951" t="n">
        <f aca="false">X72*($B$67/12)</f>
        <v>107530.758106458</v>
      </c>
      <c r="Y75" s="952" t="n">
        <f aca="false">Y72*($B$67/12)</f>
        <v>106766.038693046</v>
      </c>
      <c r="Z75" s="953" t="n">
        <f aca="false">Z72*($B$67/12)</f>
        <v>105997.495682567</v>
      </c>
      <c r="AA75" s="951" t="n">
        <f aca="false">AA72*($B$67/12)</f>
        <v>105225.109957036</v>
      </c>
      <c r="AB75" s="951" t="n">
        <f aca="false">AB72*($B$67/12)</f>
        <v>104448.862302878</v>
      </c>
      <c r="AC75" s="951" t="n">
        <f aca="false">AC72*($B$67/12)</f>
        <v>103668.733410448</v>
      </c>
      <c r="AD75" s="951" t="n">
        <f aca="false">AD72*($B$67/12)</f>
        <v>102884.703873556</v>
      </c>
      <c r="AE75" s="951" t="n">
        <f aca="false">AE72*($B$67/12)</f>
        <v>102096.75418898</v>
      </c>
      <c r="AF75" s="951" t="n">
        <f aca="false">AF72*($B$67/12)</f>
        <v>101304.864755981</v>
      </c>
      <c r="AG75" s="951" t="n">
        <f aca="false">AG72*($B$67/12)</f>
        <v>100509.015875817</v>
      </c>
      <c r="AH75" s="951" t="n">
        <f aca="false">AH72*($B$67/12)</f>
        <v>99709.1877512522</v>
      </c>
      <c r="AI75" s="951" t="n">
        <f aca="false">AI72*($B$67/12)</f>
        <v>98905.3604860645</v>
      </c>
      <c r="AJ75" s="951" t="n">
        <f aca="false">AJ72*($B$67/12)</f>
        <v>98097.5140845509</v>
      </c>
      <c r="AK75" s="952" t="n">
        <f aca="false">AK72*($B$67/12)</f>
        <v>97285.6284510297</v>
      </c>
      <c r="AL75" s="953" t="n">
        <f aca="false">AL72*($B$67/12)</f>
        <v>96469.6833893409</v>
      </c>
      <c r="AM75" s="951" t="n">
        <f aca="false">AM72*($B$67/12)</f>
        <v>95649.6586023436</v>
      </c>
      <c r="AN75" s="951" t="n">
        <f aca="false">AN72*($B$67/12)</f>
        <v>94825.5336914114</v>
      </c>
      <c r="AO75" s="951" t="n">
        <f aca="false">AO72*($B$67/12)</f>
        <v>93997.2881559245</v>
      </c>
      <c r="AP75" s="951" t="n">
        <f aca="false">AP72*($B$67/12)</f>
        <v>93164.9013927602</v>
      </c>
      <c r="AQ75" s="951" t="n">
        <f aca="false">AQ72*($B$67/12)</f>
        <v>92328.3526957801</v>
      </c>
      <c r="AR75" s="951" t="n">
        <f aca="false">AR72*($B$67/12)</f>
        <v>91487.621255315</v>
      </c>
      <c r="AS75" s="951" t="n">
        <f aca="false">AS72*($B$67/12)</f>
        <v>90642.6861576477</v>
      </c>
      <c r="AT75" s="951" t="n">
        <f aca="false">AT72*($B$67/12)</f>
        <v>89793.5263844919</v>
      </c>
      <c r="AU75" s="951" t="n">
        <f aca="false">AU72*($B$67/12)</f>
        <v>88940.1208124704</v>
      </c>
      <c r="AV75" s="951" t="n">
        <f aca="false">AV72*($B$67/12)</f>
        <v>88082.4482125889</v>
      </c>
      <c r="AW75" s="952" t="n">
        <f aca="false">AW72*($B$67/12)</f>
        <v>87220.4872497079</v>
      </c>
      <c r="AX75" s="953" t="n">
        <f aca="false">AX72*($B$67/12)</f>
        <v>86354.2164820125</v>
      </c>
      <c r="AY75" s="951" t="n">
        <f aca="false">AY72*($B$67/12)</f>
        <v>85483.6143604786</v>
      </c>
      <c r="AZ75" s="951" t="n">
        <f aca="false">AZ72*($B$67/12)</f>
        <v>84608.659228337</v>
      </c>
      <c r="BA75" s="951" t="n">
        <f aca="false">BA72*($B$67/12)</f>
        <v>83729.3293205348</v>
      </c>
      <c r="BB75" s="951" t="n">
        <f aca="false">BB72*($B$67/12)</f>
        <v>82845.6027631935</v>
      </c>
      <c r="BC75" s="951" t="n">
        <f aca="false">BC72*($B$67/12)</f>
        <v>81957.4575730655</v>
      </c>
      <c r="BD75" s="951" t="n">
        <f aca="false">BD72*($B$67/12)</f>
        <v>81064.8716569869</v>
      </c>
      <c r="BE75" s="951" t="n">
        <f aca="false">BE72*($B$67/12)</f>
        <v>80167.8228113279</v>
      </c>
      <c r="BF75" s="951" t="n">
        <f aca="false">BF72*($B$67/12)</f>
        <v>79266.2887214406</v>
      </c>
      <c r="BG75" s="951" t="n">
        <f aca="false">BG72*($B$67/12)</f>
        <v>78360.2469611038</v>
      </c>
      <c r="BH75" s="951" t="n">
        <f aca="false">BH72*($B$67/12)</f>
        <v>77449.6749919654</v>
      </c>
      <c r="BI75" s="952" t="n">
        <f aca="false">BI72*($B$67/12)</f>
        <v>76534.5501629813</v>
      </c>
    </row>
    <row r="76" s="939" customFormat="true" ht="10.5" hidden="false" customHeight="true" outlineLevel="0" collapsed="false">
      <c r="A76" s="931" t="s">
        <v>1782</v>
      </c>
      <c r="B76" s="951" t="n">
        <f aca="false">B74-B75</f>
        <v>0</v>
      </c>
      <c r="C76" s="951" t="n">
        <f aca="false">C74-C75</f>
        <v>0</v>
      </c>
      <c r="D76" s="951" t="n">
        <f aca="false">D74-D75</f>
        <v>0</v>
      </c>
      <c r="E76" s="951" t="n">
        <f aca="false">E74-E75</f>
        <v>0</v>
      </c>
      <c r="F76" s="951" t="n">
        <f aca="false">F74-F75</f>
        <v>0</v>
      </c>
      <c r="G76" s="951" t="n">
        <f aca="false">G74-G75</f>
        <v>0</v>
      </c>
      <c r="H76" s="951" t="n">
        <f aca="false">H74-H75</f>
        <v>31331.7089679632</v>
      </c>
      <c r="I76" s="951" t="n">
        <f aca="false">I74-I75</f>
        <v>53221.3965332699</v>
      </c>
      <c r="J76" s="951" t="n">
        <f aca="false">J74-J75</f>
        <v>70985.2727948587</v>
      </c>
      <c r="K76" s="951" t="n">
        <f aca="false">K74-K75</f>
        <v>90148.278761689</v>
      </c>
      <c r="L76" s="951" t="n">
        <f aca="false">L74-L75</f>
        <v>105472.068208822</v>
      </c>
      <c r="M76" s="952" t="n">
        <f aca="false">M74-M75</f>
        <v>124807.508152722</v>
      </c>
      <c r="N76" s="951" t="n">
        <f aca="false">N74-N75</f>
        <v>139857.923672598</v>
      </c>
      <c r="O76" s="951" t="n">
        <f aca="false">O74-O75</f>
        <v>143400.861432605</v>
      </c>
      <c r="P76" s="951" t="n">
        <f aca="false">P74-P75</f>
        <v>146961.513881412</v>
      </c>
      <c r="Q76" s="951" t="n">
        <f aca="false">Q74-Q75</f>
        <v>147696.321450819</v>
      </c>
      <c r="R76" s="951" t="n">
        <f aca="false">R74-R75</f>
        <v>148434.803058073</v>
      </c>
      <c r="S76" s="951" t="n">
        <f aca="false">S74-S75</f>
        <v>149176.977073363</v>
      </c>
      <c r="T76" s="951" t="n">
        <f aca="false">T74-T75</f>
        <v>149922.86195873</v>
      </c>
      <c r="U76" s="951" t="n">
        <f aca="false">U74-U75</f>
        <v>150672.476268524</v>
      </c>
      <c r="V76" s="951" t="n">
        <f aca="false">V74-V75</f>
        <v>151425.838649866</v>
      </c>
      <c r="W76" s="951" t="n">
        <f aca="false">W74-W75</f>
        <v>152182.967843116</v>
      </c>
      <c r="X76" s="951" t="n">
        <f aca="false">X74-X75</f>
        <v>152943.882682331</v>
      </c>
      <c r="Y76" s="952" t="n">
        <f aca="false">Y74-Y75</f>
        <v>153708.602095743</v>
      </c>
      <c r="Z76" s="953" t="n">
        <f aca="false">Z74-Z75</f>
        <v>154477.145106221</v>
      </c>
      <c r="AA76" s="951" t="n">
        <f aca="false">AA74-AA75</f>
        <v>155249.530831753</v>
      </c>
      <c r="AB76" s="951" t="n">
        <f aca="false">AB74-AB75</f>
        <v>156025.778485911</v>
      </c>
      <c r="AC76" s="951" t="n">
        <f aca="false">AC74-AC75</f>
        <v>156805.907378341</v>
      </c>
      <c r="AD76" s="951" t="n">
        <f aca="false">AD74-AD75</f>
        <v>157589.936915233</v>
      </c>
      <c r="AE76" s="951" t="n">
        <f aca="false">AE74-AE75</f>
        <v>158377.886599809</v>
      </c>
      <c r="AF76" s="951" t="n">
        <f aca="false">AF74-AF75</f>
        <v>159169.776032808</v>
      </c>
      <c r="AG76" s="951" t="n">
        <f aca="false">AG74-AG75</f>
        <v>159965.624912972</v>
      </c>
      <c r="AH76" s="951" t="n">
        <f aca="false">AH74-AH75</f>
        <v>160765.453037537</v>
      </c>
      <c r="AI76" s="951" t="n">
        <f aca="false">AI74-AI75</f>
        <v>161569.280302724</v>
      </c>
      <c r="AJ76" s="951" t="n">
        <f aca="false">AJ74-AJ75</f>
        <v>162377.126704238</v>
      </c>
      <c r="AK76" s="952" t="n">
        <f aca="false">AK74-AK75</f>
        <v>163189.012337759</v>
      </c>
      <c r="AL76" s="953" t="n">
        <f aca="false">AL74-AL75</f>
        <v>164004.957399448</v>
      </c>
      <c r="AM76" s="951" t="n">
        <f aca="false">AM74-AM75</f>
        <v>164824.982186445</v>
      </c>
      <c r="AN76" s="951" t="n">
        <f aca="false">AN74-AN75</f>
        <v>165649.107097377</v>
      </c>
      <c r="AO76" s="951" t="n">
        <f aca="false">AO74-AO75</f>
        <v>166477.352632864</v>
      </c>
      <c r="AP76" s="951" t="n">
        <f aca="false">AP74-AP75</f>
        <v>167309.739396029</v>
      </c>
      <c r="AQ76" s="951" t="n">
        <f aca="false">AQ74-AQ75</f>
        <v>168146.288093009</v>
      </c>
      <c r="AR76" s="951" t="n">
        <f aca="false">AR74-AR75</f>
        <v>168987.019533474</v>
      </c>
      <c r="AS76" s="951" t="n">
        <f aca="false">AS74-AS75</f>
        <v>169831.954631141</v>
      </c>
      <c r="AT76" s="951" t="n">
        <f aca="false">AT74-AT75</f>
        <v>170681.114404297</v>
      </c>
      <c r="AU76" s="951" t="n">
        <f aca="false">AU74-AU75</f>
        <v>171534.519976318</v>
      </c>
      <c r="AV76" s="951" t="n">
        <f aca="false">AV74-AV75</f>
        <v>172392.1925762</v>
      </c>
      <c r="AW76" s="952" t="n">
        <f aca="false">AW74-AW75</f>
        <v>173254.153539081</v>
      </c>
      <c r="AX76" s="953" t="n">
        <f aca="false">AX74-AX75</f>
        <v>174120.424306776</v>
      </c>
      <c r="AY76" s="951" t="n">
        <f aca="false">AY74-AY75</f>
        <v>174991.02642831</v>
      </c>
      <c r="AZ76" s="951" t="n">
        <f aca="false">AZ74-AZ75</f>
        <v>175865.981560452</v>
      </c>
      <c r="BA76" s="951" t="n">
        <f aca="false">BA74-BA75</f>
        <v>176745.311468254</v>
      </c>
      <c r="BB76" s="951" t="n">
        <f aca="false">BB74-BB75</f>
        <v>177629.038025595</v>
      </c>
      <c r="BC76" s="951" t="n">
        <f aca="false">BC74-BC75</f>
        <v>178517.183215723</v>
      </c>
      <c r="BD76" s="951" t="n">
        <f aca="false">BD74-BD75</f>
        <v>179409.769131802</v>
      </c>
      <c r="BE76" s="951" t="n">
        <f aca="false">BE74-BE75</f>
        <v>180306.817977461</v>
      </c>
      <c r="BF76" s="951" t="n">
        <f aca="false">BF74-BF75</f>
        <v>181208.352067348</v>
      </c>
      <c r="BG76" s="951" t="n">
        <f aca="false">BG74-BG75</f>
        <v>182114.393827685</v>
      </c>
      <c r="BH76" s="951" t="n">
        <f aca="false">BH74-BH75</f>
        <v>183024.965796823</v>
      </c>
      <c r="BI76" s="952" t="n">
        <f aca="false">BI74-BI75</f>
        <v>183940.090625808</v>
      </c>
    </row>
    <row r="77" s="939" customFormat="true" ht="10.5" hidden="false" customHeight="true" outlineLevel="0" collapsed="false">
      <c r="A77" s="962" t="s">
        <v>1783</v>
      </c>
      <c r="B77" s="963" t="n">
        <f aca="false">B70-B71-B76</f>
        <v>0</v>
      </c>
      <c r="C77" s="963" t="n">
        <f aca="false">C69+C70-C71-C76</f>
        <v>0</v>
      </c>
      <c r="D77" s="963" t="n">
        <f aca="false">D69+D70-D71-D76</f>
        <v>0</v>
      </c>
      <c r="E77" s="963" t="n">
        <f aca="false">E69+E70-E71-E76</f>
        <v>0</v>
      </c>
      <c r="F77" s="963" t="n">
        <f aca="false">F69+F70-F71-F76</f>
        <v>0</v>
      </c>
      <c r="G77" s="963" t="n">
        <f aca="false">G69+G70-G71-G76</f>
        <v>0</v>
      </c>
      <c r="H77" s="963" t="n">
        <f aca="false">H69+H70-H71-H76</f>
        <v>5103288.29103204</v>
      </c>
      <c r="I77" s="963" t="n">
        <f aca="false">I69+I70-I71-I76</f>
        <v>8611661.49449877</v>
      </c>
      <c r="J77" s="963" t="n">
        <f aca="false">J69+J70-J71-J76</f>
        <v>11408199.2217039</v>
      </c>
      <c r="K77" s="963" t="n">
        <f aca="false">K69+K70-K71-K76</f>
        <v>14400306.7429422</v>
      </c>
      <c r="L77" s="963" t="n">
        <f aca="false">L69+L70-L71-L76</f>
        <v>16732220.0747334</v>
      </c>
      <c r="M77" s="964" t="n">
        <f aca="false">M69+M70-M71-M76</f>
        <v>19689668.3665807</v>
      </c>
      <c r="N77" s="963" t="n">
        <f aca="false">N69+N70-N71-N76</f>
        <v>21913995.8429081</v>
      </c>
      <c r="O77" s="963" t="n">
        <f aca="false">O69+O70-O71-O76</f>
        <v>22236610.1814755</v>
      </c>
      <c r="P77" s="963" t="n">
        <f aca="false">P69+P70-P71-P76</f>
        <v>22555663.8675941</v>
      </c>
      <c r="Q77" s="963" t="n">
        <f aca="false">Q69+Q70-Q71-Q76</f>
        <v>22407967.5461432</v>
      </c>
      <c r="R77" s="963" t="n">
        <f aca="false">R69+R70-R71-R76</f>
        <v>22259532.7430852</v>
      </c>
      <c r="S77" s="963" t="n">
        <f aca="false">S69+S70-S71-S76</f>
        <v>22110355.7660118</v>
      </c>
      <c r="T77" s="963" t="n">
        <f aca="false">T69+T70-T71-T76</f>
        <v>21960432.9040531</v>
      </c>
      <c r="U77" s="963" t="n">
        <f aca="false">U69+U70-U71-U76</f>
        <v>21809760.4277845</v>
      </c>
      <c r="V77" s="963" t="n">
        <f aca="false">V69+V70-V71-V76</f>
        <v>21658334.5891347</v>
      </c>
      <c r="W77" s="963" t="n">
        <f aca="false">W69+W70-W71-W76</f>
        <v>21506151.6212916</v>
      </c>
      <c r="X77" s="963" t="n">
        <f aca="false">X69+X70-X71-X76</f>
        <v>21353207.7386092</v>
      </c>
      <c r="Y77" s="964" t="n">
        <f aca="false">Y69+Y70-Y71-Y76</f>
        <v>21199499.1365135</v>
      </c>
      <c r="Z77" s="965" t="n">
        <f aca="false">Z69+Z70-Z71-Z76</f>
        <v>21045021.9914073</v>
      </c>
      <c r="AA77" s="963" t="n">
        <f aca="false">AA69+AA70-AA71-AA76</f>
        <v>20889772.4605755</v>
      </c>
      <c r="AB77" s="963" t="n">
        <f aca="false">AB69+AB70-AB71-AB76</f>
        <v>20733746.6820896</v>
      </c>
      <c r="AC77" s="963" t="n">
        <f aca="false">AC69+AC70-AC71-AC76</f>
        <v>20576940.7747113</v>
      </c>
      <c r="AD77" s="963" t="n">
        <f aca="false">AD69+AD70-AD71-AD76</f>
        <v>20419350.837796</v>
      </c>
      <c r="AE77" s="963" t="n">
        <f aca="false">AE69+AE70-AE71-AE76</f>
        <v>20260972.9511962</v>
      </c>
      <c r="AF77" s="963" t="n">
        <f aca="false">AF69+AF70-AF71-AF76</f>
        <v>20101803.1751634</v>
      </c>
      <c r="AG77" s="963" t="n">
        <f aca="false">AG69+AG70-AG71-AG76</f>
        <v>19941837.5502504</v>
      </c>
      <c r="AH77" s="963" t="n">
        <f aca="false">AH69+AH70-AH71-AH76</f>
        <v>19781072.0972129</v>
      </c>
      <c r="AI77" s="963" t="n">
        <f aca="false">AI69+AI70-AI71-AI76</f>
        <v>19619502.8169102</v>
      </c>
      <c r="AJ77" s="963" t="n">
        <f aca="false">AJ69+AJ70-AJ71-AJ76</f>
        <v>19457125.6902059</v>
      </c>
      <c r="AK77" s="964" t="n">
        <f aca="false">AK69+AK70-AK71-AK76</f>
        <v>19293936.6778682</v>
      </c>
      <c r="AL77" s="965" t="n">
        <f aca="false">AL69+AL70-AL71-AL76</f>
        <v>19129931.7204687</v>
      </c>
      <c r="AM77" s="963" t="n">
        <f aca="false">AM69+AM70-AM71-AM76</f>
        <v>18965106.7382823</v>
      </c>
      <c r="AN77" s="963" t="n">
        <f aca="false">AN69+AN70-AN71-AN76</f>
        <v>18799457.6311849</v>
      </c>
      <c r="AO77" s="963" t="n">
        <f aca="false">AO69+AO70-AO71-AO76</f>
        <v>18632980.278552</v>
      </c>
      <c r="AP77" s="963" t="n">
        <f aca="false">AP69+AP70-AP71-AP76</f>
        <v>18465670.539156</v>
      </c>
      <c r="AQ77" s="963" t="n">
        <f aca="false">AQ69+AQ70-AQ71-AQ76</f>
        <v>18297524.251063</v>
      </c>
      <c r="AR77" s="963" t="n">
        <f aca="false">AR69+AR70-AR71-AR76</f>
        <v>18128537.2315295</v>
      </c>
      <c r="AS77" s="963" t="n">
        <f aca="false">AS69+AS70-AS71-AS76</f>
        <v>17958705.2768984</v>
      </c>
      <c r="AT77" s="963" t="n">
        <f aca="false">AT69+AT70-AT71-AT76</f>
        <v>17788024.1624941</v>
      </c>
      <c r="AU77" s="963" t="n">
        <f aca="false">AU69+AU70-AU71-AU76</f>
        <v>17616489.6425178</v>
      </c>
      <c r="AV77" s="963" t="n">
        <f aca="false">AV69+AV70-AV71-AV76</f>
        <v>17444097.4499416</v>
      </c>
      <c r="AW77" s="964" t="n">
        <f aca="false">AW69+AW70-AW71-AW76</f>
        <v>17270843.2964025</v>
      </c>
      <c r="AX77" s="965" t="n">
        <f aca="false">AX69+AX70-AX71-AX76</f>
        <v>17096722.8720957</v>
      </c>
      <c r="AY77" s="963" t="n">
        <f aca="false">AY69+AY70-AY71-AY76</f>
        <v>16921731.8456674</v>
      </c>
      <c r="AZ77" s="963" t="n">
        <f aca="false">AZ69+AZ70-AZ71-AZ76</f>
        <v>16745865.864107</v>
      </c>
      <c r="BA77" s="963" t="n">
        <f aca="false">BA69+BA70-BA71-BA76</f>
        <v>16569120.5526387</v>
      </c>
      <c r="BB77" s="963" t="n">
        <f aca="false">BB69+BB70-BB71-BB76</f>
        <v>16391491.5146131</v>
      </c>
      <c r="BC77" s="963" t="n">
        <f aca="false">BC69+BC70-BC71-BC76</f>
        <v>16212974.3313974</v>
      </c>
      <c r="BD77" s="963" t="n">
        <f aca="false">BD69+BD70-BD71-BD76</f>
        <v>16033564.5622656</v>
      </c>
      <c r="BE77" s="963" t="n">
        <f aca="false">BE69+BE70-BE71-BE76</f>
        <v>15853257.7442881</v>
      </c>
      <c r="BF77" s="963" t="n">
        <f aca="false">BF69+BF70-BF71-BF76</f>
        <v>15672049.3922208</v>
      </c>
      <c r="BG77" s="963" t="n">
        <f aca="false">BG69+BG70-BG71-BG76</f>
        <v>15489934.9983931</v>
      </c>
      <c r="BH77" s="963" t="n">
        <f aca="false">BH69+BH70-BH71-BH76</f>
        <v>15306910.0325963</v>
      </c>
      <c r="BI77" s="964" t="n">
        <f aca="false">BI69+BI70-BI71-BI76</f>
        <v>15122969.9419705</v>
      </c>
    </row>
    <row r="78" s="939" customFormat="true" ht="10.5" hidden="false" customHeight="true" outlineLevel="0" collapsed="false">
      <c r="A78" s="966"/>
      <c r="B78" s="951"/>
      <c r="C78" s="951"/>
      <c r="D78" s="951"/>
      <c r="E78" s="951"/>
      <c r="F78" s="951"/>
      <c r="G78" s="951"/>
      <c r="H78" s="951"/>
      <c r="I78" s="951"/>
      <c r="J78" s="951"/>
      <c r="K78" s="951"/>
      <c r="L78" s="951"/>
      <c r="M78" s="951"/>
      <c r="N78" s="951"/>
      <c r="O78" s="951"/>
      <c r="P78" s="951"/>
      <c r="Q78" s="951"/>
      <c r="R78" s="951"/>
      <c r="S78" s="951"/>
      <c r="T78" s="951"/>
      <c r="U78" s="951"/>
      <c r="V78" s="951"/>
      <c r="W78" s="951"/>
      <c r="X78" s="951"/>
      <c r="Y78" s="951"/>
      <c r="Z78" s="951"/>
      <c r="AA78" s="951"/>
      <c r="AB78" s="951"/>
      <c r="AC78" s="951"/>
      <c r="AD78" s="951"/>
      <c r="AE78" s="951"/>
      <c r="AF78" s="951"/>
      <c r="AG78" s="951"/>
      <c r="AH78" s="951"/>
      <c r="AI78" s="951"/>
      <c r="AJ78" s="951"/>
      <c r="AK78" s="951"/>
      <c r="AL78" s="951"/>
      <c r="AM78" s="951"/>
      <c r="AN78" s="951"/>
      <c r="AO78" s="951"/>
      <c r="AP78" s="951"/>
      <c r="AQ78" s="951"/>
      <c r="AR78" s="951"/>
      <c r="AS78" s="951"/>
      <c r="AT78" s="951"/>
      <c r="AU78" s="951"/>
      <c r="AV78" s="951"/>
      <c r="AW78" s="951"/>
      <c r="AX78" s="951"/>
      <c r="AY78" s="951"/>
      <c r="AZ78" s="951"/>
      <c r="BA78" s="951"/>
    </row>
    <row r="79" s="939" customFormat="true" ht="10.5" hidden="true" customHeight="true" outlineLevel="1" collapsed="false">
      <c r="A79" s="966"/>
      <c r="B79" s="951"/>
      <c r="C79" s="951"/>
      <c r="D79" s="951"/>
      <c r="E79" s="951"/>
      <c r="F79" s="951"/>
      <c r="G79" s="951"/>
      <c r="H79" s="951"/>
      <c r="I79" s="951"/>
      <c r="J79" s="951"/>
      <c r="K79" s="951"/>
      <c r="L79" s="951"/>
      <c r="M79" s="951"/>
      <c r="N79" s="951"/>
      <c r="O79" s="951"/>
      <c r="P79" s="951"/>
      <c r="Q79" s="951"/>
      <c r="R79" s="951"/>
      <c r="S79" s="951"/>
      <c r="T79" s="951"/>
      <c r="U79" s="951"/>
      <c r="V79" s="951"/>
      <c r="W79" s="951"/>
      <c r="X79" s="951"/>
      <c r="Y79" s="951"/>
      <c r="Z79" s="951"/>
      <c r="AA79" s="951"/>
      <c r="AB79" s="951"/>
      <c r="AC79" s="951"/>
      <c r="AD79" s="951"/>
      <c r="AE79" s="951"/>
      <c r="AF79" s="951"/>
      <c r="AG79" s="951"/>
      <c r="AH79" s="951"/>
      <c r="AI79" s="951"/>
      <c r="AJ79" s="951"/>
      <c r="AK79" s="951"/>
      <c r="AL79" s="951"/>
      <c r="AM79" s="951"/>
      <c r="AN79" s="951"/>
      <c r="AO79" s="951"/>
      <c r="AP79" s="951"/>
      <c r="AQ79" s="951"/>
      <c r="AR79" s="951"/>
      <c r="AS79" s="951"/>
      <c r="AT79" s="951"/>
      <c r="AU79" s="951"/>
      <c r="AV79" s="951"/>
      <c r="AW79" s="951"/>
      <c r="AX79" s="951"/>
      <c r="AY79" s="951"/>
      <c r="AZ79" s="951"/>
      <c r="BA79" s="951"/>
    </row>
    <row r="80" s="946" customFormat="true" ht="10.5" hidden="true" customHeight="true" outlineLevel="1" collapsed="false">
      <c r="A80" s="967" t="str">
        <f aca="false">'Sources &amp; Uses'!A4</f>
        <v>Owner Cash Investment OPX $4M/Credit line $4M</v>
      </c>
      <c r="B80" s="932" t="str">
        <f aca="false">B1</f>
        <v>Month 1</v>
      </c>
      <c r="C80" s="932" t="str">
        <f aca="false">C1</f>
        <v>Month 2</v>
      </c>
      <c r="D80" s="932" t="str">
        <f aca="false">D1</f>
        <v>Month 3</v>
      </c>
      <c r="E80" s="932" t="str">
        <f aca="false">E1</f>
        <v>Month 4</v>
      </c>
      <c r="F80" s="932" t="str">
        <f aca="false">F1</f>
        <v>Month 5</v>
      </c>
      <c r="G80" s="932" t="str">
        <f aca="false">G1</f>
        <v>Month 6</v>
      </c>
      <c r="H80" s="932" t="str">
        <f aca="false">H1</f>
        <v>Month 7</v>
      </c>
      <c r="I80" s="932" t="str">
        <f aca="false">I1</f>
        <v>Month 8</v>
      </c>
      <c r="J80" s="932" t="str">
        <f aca="false">J1</f>
        <v>Month 9</v>
      </c>
      <c r="K80" s="932" t="str">
        <f aca="false">K1</f>
        <v>Month 10</v>
      </c>
      <c r="L80" s="932" t="str">
        <f aca="false">L1</f>
        <v>Month 11</v>
      </c>
      <c r="M80" s="932" t="str">
        <f aca="false">M1</f>
        <v>Month 12</v>
      </c>
      <c r="N80" s="932" t="str">
        <f aca="false">N1</f>
        <v>Month 13</v>
      </c>
      <c r="O80" s="932" t="str">
        <f aca="false">O1</f>
        <v>Month 14</v>
      </c>
      <c r="P80" s="932" t="str">
        <f aca="false">P1</f>
        <v>Month 15</v>
      </c>
      <c r="Q80" s="932" t="str">
        <f aca="false">Q1</f>
        <v>Month 16</v>
      </c>
      <c r="R80" s="932" t="str">
        <f aca="false">R1</f>
        <v>Month 17</v>
      </c>
      <c r="S80" s="932" t="str">
        <f aca="false">S1</f>
        <v>Month 18</v>
      </c>
      <c r="T80" s="932" t="str">
        <f aca="false">T1</f>
        <v>Month 19</v>
      </c>
      <c r="U80" s="932" t="str">
        <f aca="false">U1</f>
        <v>Month 20</v>
      </c>
      <c r="V80" s="932" t="str">
        <f aca="false">V1</f>
        <v>Month 21</v>
      </c>
      <c r="W80" s="932" t="str">
        <f aca="false">W1</f>
        <v>Month 22</v>
      </c>
      <c r="X80" s="932" t="str">
        <f aca="false">X1</f>
        <v>Month 23</v>
      </c>
      <c r="Y80" s="932" t="str">
        <f aca="false">Y1</f>
        <v>Month 24</v>
      </c>
      <c r="Z80" s="932" t="str">
        <f aca="false">Z1</f>
        <v>Month 25</v>
      </c>
      <c r="AA80" s="932" t="str">
        <f aca="false">AA1</f>
        <v>Month 26</v>
      </c>
      <c r="AB80" s="932" t="str">
        <f aca="false">AB1</f>
        <v>Month 27</v>
      </c>
      <c r="AC80" s="932" t="str">
        <f aca="false">AC1</f>
        <v>Month 28</v>
      </c>
      <c r="AD80" s="932" t="str">
        <f aca="false">AD1</f>
        <v>Month 29</v>
      </c>
      <c r="AE80" s="932" t="str">
        <f aca="false">AE1</f>
        <v>Month 30</v>
      </c>
      <c r="AF80" s="932" t="str">
        <f aca="false">AF1</f>
        <v>Month 31</v>
      </c>
      <c r="AG80" s="932" t="str">
        <f aca="false">AG1</f>
        <v>Month 32</v>
      </c>
      <c r="AH80" s="932" t="str">
        <f aca="false">AH1</f>
        <v>Month 33</v>
      </c>
      <c r="AI80" s="932" t="str">
        <f aca="false">AI1</f>
        <v>Month 34</v>
      </c>
      <c r="AJ80" s="932" t="str">
        <f aca="false">AJ1</f>
        <v>Month 35</v>
      </c>
      <c r="AK80" s="932" t="str">
        <f aca="false">AK1</f>
        <v>Month 36</v>
      </c>
      <c r="AL80" s="932"/>
      <c r="AM80" s="932"/>
      <c r="AN80" s="932"/>
      <c r="AO80" s="932"/>
      <c r="AP80" s="932"/>
      <c r="AQ80" s="932"/>
      <c r="AR80" s="932"/>
      <c r="AS80" s="932"/>
      <c r="AT80" s="932"/>
      <c r="AU80" s="932"/>
      <c r="AV80" s="932"/>
      <c r="AW80" s="932"/>
      <c r="AX80" s="932"/>
      <c r="AY80" s="932"/>
      <c r="AZ80" s="932"/>
      <c r="BA80" s="932"/>
    </row>
    <row r="81" s="939" customFormat="true" ht="10.5" hidden="true" customHeight="true" outlineLevel="1" collapsed="false">
      <c r="A81" s="966" t="str">
        <f aca="false">A69</f>
        <v>Starting Balance</v>
      </c>
      <c r="B81" s="966"/>
      <c r="C81" s="966"/>
      <c r="D81" s="966"/>
      <c r="E81" s="966"/>
      <c r="F81" s="966"/>
      <c r="G81" s="968" t="n">
        <v>0</v>
      </c>
      <c r="H81" s="968" t="n">
        <f aca="false">IF(G87&lt;=1,0,G87)</f>
        <v>0</v>
      </c>
      <c r="I81" s="968" t="n">
        <f aca="false">IF(H87&lt;=1,0,H87)</f>
        <v>0</v>
      </c>
      <c r="J81" s="968" t="n">
        <f aca="false">IF(I87&lt;=1,0,I87)</f>
        <v>0</v>
      </c>
      <c r="K81" s="968" t="n">
        <f aca="false">IF(J87&lt;=1,0,J87)</f>
        <v>0</v>
      </c>
      <c r="L81" s="968" t="n">
        <f aca="false">IF(K87&lt;=1,0,K87)</f>
        <v>0</v>
      </c>
      <c r="M81" s="968" t="n">
        <f aca="false">IF(L87&lt;=1,0,L87)</f>
        <v>0</v>
      </c>
      <c r="N81" s="968" t="n">
        <f aca="false">IF(M87&lt;=1,0,M87)</f>
        <v>0</v>
      </c>
      <c r="O81" s="968" t="n">
        <f aca="false">IF(N87&lt;=1,0,N87)</f>
        <v>0</v>
      </c>
      <c r="P81" s="968" t="n">
        <f aca="false">IF(O87&lt;=1,0,O87)</f>
        <v>0</v>
      </c>
      <c r="Q81" s="968" t="n">
        <f aca="false">IF(P87&lt;=1,0,P87)</f>
        <v>0</v>
      </c>
      <c r="R81" s="968" t="n">
        <f aca="false">IF(Q87&lt;=1,0,Q87)</f>
        <v>0</v>
      </c>
      <c r="S81" s="968" t="n">
        <f aca="false">IF(R87&lt;=1,0,R87)</f>
        <v>0</v>
      </c>
      <c r="T81" s="968" t="n">
        <f aca="false">IF(S87&lt;=1,0,S87)</f>
        <v>0</v>
      </c>
      <c r="U81" s="968" t="n">
        <f aca="false">IF(T87&lt;=1,0,T87)</f>
        <v>0</v>
      </c>
      <c r="V81" s="968" t="n">
        <f aca="false">IF(U87&lt;=1,0,U87)</f>
        <v>0</v>
      </c>
      <c r="W81" s="968" t="n">
        <f aca="false">IF(V87&lt;=1,0,V87)</f>
        <v>0</v>
      </c>
      <c r="X81" s="968" t="n">
        <f aca="false">IF(W87&lt;=1,0,W87)</f>
        <v>0</v>
      </c>
      <c r="Y81" s="968" t="n">
        <f aca="false">IF(X87&lt;=1,0,X87)</f>
        <v>0</v>
      </c>
      <c r="Z81" s="968" t="n">
        <f aca="false">IF(Y87&lt;=1,0,Y87)</f>
        <v>0</v>
      </c>
      <c r="AA81" s="968" t="n">
        <f aca="false">IF(Z87&lt;=1,0,Z87)</f>
        <v>0</v>
      </c>
      <c r="AB81" s="968" t="n">
        <f aca="false">IF(AA87&lt;=1,0,AA87)</f>
        <v>0</v>
      </c>
      <c r="AC81" s="968" t="n">
        <f aca="false">IF(AB87&lt;=1,0,AB87)</f>
        <v>0</v>
      </c>
      <c r="AD81" s="968" t="n">
        <f aca="false">IF(AC87&lt;=1,0,AC87)</f>
        <v>0</v>
      </c>
      <c r="AE81" s="968" t="n">
        <f aca="false">IF(AD87&lt;=1,0,AD87)</f>
        <v>0</v>
      </c>
      <c r="AF81" s="968" t="n">
        <f aca="false">IF(AE87&lt;=1,0,AE87)</f>
        <v>0</v>
      </c>
      <c r="AG81" s="968" t="n">
        <f aca="false">IF(AF87&lt;=1,0,AF87)</f>
        <v>0</v>
      </c>
      <c r="AH81" s="968" t="n">
        <f aca="false">IF(AG87&lt;=1,0,AG87)</f>
        <v>0</v>
      </c>
      <c r="AI81" s="968" t="n">
        <f aca="false">IF(AH87&lt;=1,0,AH87)</f>
        <v>0</v>
      </c>
      <c r="AJ81" s="968" t="n">
        <f aca="false">IF(AI87&lt;=1,0,AI87)</f>
        <v>0</v>
      </c>
      <c r="AK81" s="968" t="n">
        <f aca="false">IF(AJ87&lt;=1,0,AJ87)</f>
        <v>0</v>
      </c>
    </row>
    <row r="82" s="939" customFormat="true" ht="10.5" hidden="true" customHeight="true" outlineLevel="1" collapsed="false">
      <c r="A82" s="966" t="s">
        <v>1790</v>
      </c>
      <c r="B82" s="966"/>
      <c r="C82" s="966"/>
      <c r="D82" s="966"/>
      <c r="E82" s="966"/>
      <c r="F82" s="966"/>
      <c r="G82" s="968"/>
      <c r="H82" s="968"/>
      <c r="I82" s="968"/>
      <c r="J82" s="968"/>
      <c r="K82" s="968"/>
      <c r="L82" s="968"/>
      <c r="M82" s="968"/>
      <c r="N82" s="968"/>
      <c r="O82" s="968"/>
      <c r="P82" s="968"/>
      <c r="Q82" s="968"/>
      <c r="R82" s="968"/>
      <c r="S82" s="968"/>
      <c r="T82" s="968"/>
      <c r="U82" s="968"/>
      <c r="V82" s="968"/>
      <c r="W82" s="968"/>
      <c r="X82" s="968"/>
      <c r="Y82" s="968"/>
      <c r="Z82" s="968"/>
      <c r="AA82" s="968"/>
      <c r="AB82" s="968"/>
      <c r="AC82" s="968"/>
      <c r="AD82" s="968"/>
      <c r="AE82" s="968"/>
      <c r="AF82" s="968"/>
      <c r="AG82" s="968"/>
      <c r="AH82" s="968"/>
      <c r="AI82" s="968"/>
      <c r="AJ82" s="968"/>
      <c r="AK82" s="968"/>
    </row>
    <row r="83" s="939" customFormat="true" ht="10.5" hidden="true" customHeight="true" outlineLevel="1" collapsed="false">
      <c r="A83" s="966" t="s">
        <v>1793</v>
      </c>
      <c r="B83" s="966"/>
      <c r="C83" s="966"/>
      <c r="D83" s="966"/>
      <c r="E83" s="966"/>
      <c r="F83" s="966"/>
      <c r="G83" s="968" t="n">
        <f aca="false">G81-G82</f>
        <v>0</v>
      </c>
      <c r="H83" s="968" t="n">
        <f aca="false">H81-H82</f>
        <v>0</v>
      </c>
      <c r="I83" s="968" t="n">
        <f aca="false">I81-I82</f>
        <v>0</v>
      </c>
      <c r="J83" s="968" t="n">
        <f aca="false">J81-J82</f>
        <v>0</v>
      </c>
      <c r="K83" s="968" t="n">
        <f aca="false">K81-K82</f>
        <v>0</v>
      </c>
      <c r="L83" s="968" t="n">
        <f aca="false">L81-L82</f>
        <v>0</v>
      </c>
      <c r="M83" s="968" t="n">
        <f aca="false">M81-M82</f>
        <v>0</v>
      </c>
      <c r="N83" s="968" t="n">
        <f aca="false">N81-N82</f>
        <v>0</v>
      </c>
      <c r="O83" s="968" t="n">
        <f aca="false">O81-O82</f>
        <v>0</v>
      </c>
      <c r="P83" s="968" t="n">
        <f aca="false">P81-P82</f>
        <v>0</v>
      </c>
      <c r="Q83" s="968" t="n">
        <f aca="false">Q81-Q82</f>
        <v>0</v>
      </c>
      <c r="R83" s="968" t="n">
        <f aca="false">R81-R82</f>
        <v>0</v>
      </c>
      <c r="S83" s="968" t="n">
        <f aca="false">S81-S82</f>
        <v>0</v>
      </c>
      <c r="T83" s="968" t="n">
        <f aca="false">T81-T82</f>
        <v>0</v>
      </c>
      <c r="U83" s="968" t="n">
        <f aca="false">U81-U82</f>
        <v>0</v>
      </c>
      <c r="V83" s="968" t="n">
        <f aca="false">V81-V82</f>
        <v>0</v>
      </c>
      <c r="W83" s="968" t="n">
        <f aca="false">W81-W82</f>
        <v>0</v>
      </c>
      <c r="X83" s="968" t="n">
        <f aca="false">X81-X82</f>
        <v>0</v>
      </c>
      <c r="Y83" s="968" t="n">
        <f aca="false">Y81-Y82</f>
        <v>0</v>
      </c>
      <c r="Z83" s="968" t="n">
        <f aca="false">Z81-Z82</f>
        <v>0</v>
      </c>
      <c r="AA83" s="968" t="n">
        <f aca="false">AA81-AA82</f>
        <v>0</v>
      </c>
      <c r="AB83" s="968" t="n">
        <f aca="false">AB81-AB82</f>
        <v>0</v>
      </c>
      <c r="AC83" s="968" t="n">
        <f aca="false">AC81-AC82</f>
        <v>0</v>
      </c>
      <c r="AD83" s="968" t="n">
        <f aca="false">AD81-AD82</f>
        <v>0</v>
      </c>
      <c r="AE83" s="968" t="n">
        <f aca="false">AE81-AE82</f>
        <v>0</v>
      </c>
      <c r="AF83" s="968" t="n">
        <f aca="false">AF81-AF82</f>
        <v>0</v>
      </c>
      <c r="AG83" s="968" t="n">
        <f aca="false">AG81-AG82</f>
        <v>0</v>
      </c>
      <c r="AH83" s="968" t="n">
        <f aca="false">AH81-AH82</f>
        <v>0</v>
      </c>
      <c r="AI83" s="968" t="n">
        <f aca="false">AI81-AI82</f>
        <v>0</v>
      </c>
      <c r="AJ83" s="968" t="n">
        <f aca="false">AJ81-AJ82</f>
        <v>0</v>
      </c>
      <c r="AK83" s="968" t="n">
        <f aca="false">AK81-AK82</f>
        <v>0</v>
      </c>
    </row>
    <row r="84" s="939" customFormat="true" ht="10.5" hidden="true" customHeight="true" outlineLevel="1" collapsed="false">
      <c r="A84" s="966" t="str">
        <f aca="false">A74</f>
        <v>Payment</v>
      </c>
      <c r="B84" s="966"/>
      <c r="C84" s="966"/>
      <c r="D84" s="966"/>
      <c r="E84" s="966"/>
      <c r="F84" s="966"/>
      <c r="G84" s="968"/>
      <c r="H84" s="968"/>
      <c r="I84" s="968"/>
      <c r="J84" s="968"/>
      <c r="K84" s="968"/>
      <c r="L84" s="968"/>
      <c r="M84" s="968"/>
      <c r="N84" s="968"/>
      <c r="O84" s="968"/>
      <c r="P84" s="968"/>
      <c r="Q84" s="968"/>
      <c r="R84" s="968" t="n">
        <f aca="false">IF(R83&lt;=1,0,-PMT('Sources &amp; Uses'!$D$4/12,'Sources &amp; Uses'!$C$4*12,SUM($G$88,0)))</f>
        <v>0</v>
      </c>
      <c r="S84" s="968" t="n">
        <f aca="false">IF(S83&lt;=1,0,-PMT('Sources &amp; Uses'!$D$4/12,'Sources &amp; Uses'!$C$4*12,SUM($G$88,0)))</f>
        <v>0</v>
      </c>
      <c r="T84" s="968" t="n">
        <f aca="false">IF(T83&lt;=1,0,-PMT('Sources &amp; Uses'!$D$4/12,'Sources &amp; Uses'!$C$4*12,SUM($G$88,0)))</f>
        <v>0</v>
      </c>
      <c r="U84" s="968" t="n">
        <f aca="false">IF(U83&lt;=1,0,-PMT('Sources &amp; Uses'!$D$4/12,'Sources &amp; Uses'!$C$4*12,SUM($G$88,0)))</f>
        <v>0</v>
      </c>
      <c r="V84" s="968" t="n">
        <f aca="false">IF(V83&lt;=1,0,-PMT('Sources &amp; Uses'!$D$4/12,'Sources &amp; Uses'!$C$4*12,SUM($G$88,0)))</f>
        <v>0</v>
      </c>
      <c r="W84" s="968" t="n">
        <f aca="false">IF(W83&lt;=1,0,-PMT('Sources &amp; Uses'!$D$4/12,'Sources &amp; Uses'!$C$4*12,SUM($G$88,0)))</f>
        <v>0</v>
      </c>
      <c r="X84" s="968" t="n">
        <f aca="false">IF(X83&lt;=1,0,-PMT('Sources &amp; Uses'!$D$4/12,'Sources &amp; Uses'!$C$4*12,SUM($G$88,0)))</f>
        <v>0</v>
      </c>
      <c r="Y84" s="968" t="n">
        <f aca="false">IF(Y83&lt;=1,0,-PMT('Sources &amp; Uses'!$D$4/12,'Sources &amp; Uses'!$C$4*12,SUM($G$88,0)))</f>
        <v>0</v>
      </c>
      <c r="Z84" s="968" t="n">
        <f aca="false">IF(Z83&lt;=1,0,-PMT('Sources &amp; Uses'!$D$4/12,'Sources &amp; Uses'!$C$4*12,SUM($G$88,0)))</f>
        <v>0</v>
      </c>
      <c r="AA84" s="968" t="n">
        <f aca="false">IF(AA83&lt;=1,0,-PMT('Sources &amp; Uses'!$D$4/12,'Sources &amp; Uses'!$C$4*12,SUM($G$88,0)))</f>
        <v>0</v>
      </c>
      <c r="AB84" s="968" t="n">
        <f aca="false">IF(AB83&lt;=1,0,-PMT('Sources &amp; Uses'!$D$4/12,'Sources &amp; Uses'!$C$4*12,SUM($G$88,0)))</f>
        <v>0</v>
      </c>
      <c r="AC84" s="968" t="n">
        <f aca="false">IF(AC83&lt;=1,0,-PMT('Sources &amp; Uses'!$D$4/12,'Sources &amp; Uses'!$C$4*12,SUM($G$88,0)))</f>
        <v>0</v>
      </c>
      <c r="AD84" s="968" t="n">
        <f aca="false">IF(AD83&lt;=1,0,-PMT('Sources &amp; Uses'!$D$4/12,'Sources &amp; Uses'!$C$4*12,SUM($G$88,0)))</f>
        <v>0</v>
      </c>
      <c r="AE84" s="968" t="n">
        <f aca="false">IF(AE83&lt;=1,0,-PMT('Sources &amp; Uses'!$D$4/12,'Sources &amp; Uses'!$C$4*12,SUM($G$88,0)))</f>
        <v>0</v>
      </c>
      <c r="AF84" s="968" t="n">
        <f aca="false">IF(AF83&lt;=1,0,-PMT('Sources &amp; Uses'!$D$4/12,'Sources &amp; Uses'!$C$4*12,SUM($G$88,0)))</f>
        <v>0</v>
      </c>
      <c r="AG84" s="968" t="n">
        <f aca="false">IF(AG83&lt;=1,0,-PMT('Sources &amp; Uses'!$D$4/12,'Sources &amp; Uses'!$C$4*12,SUM($G$88,0)))</f>
        <v>0</v>
      </c>
      <c r="AH84" s="968" t="n">
        <f aca="false">IF(AH83&lt;=1,0,-PMT('Sources &amp; Uses'!$D$4/12,'Sources &amp; Uses'!$C$4*12,SUM($G$88,0)))</f>
        <v>0</v>
      </c>
      <c r="AI84" s="968" t="n">
        <f aca="false">IF(AI83&lt;=1,0,-PMT('Sources &amp; Uses'!$D$4/12,'Sources &amp; Uses'!$C$4*12,SUM($G$88,0)))</f>
        <v>0</v>
      </c>
      <c r="AJ84" s="968" t="n">
        <f aca="false">IF(AJ83&lt;=1,0,-PMT('Sources &amp; Uses'!$D$4/12,'Sources &amp; Uses'!$C$4*12,SUM($G$88,0)))</f>
        <v>0</v>
      </c>
      <c r="AK84" s="968" t="n">
        <f aca="false">IF(AK83&lt;=1,0,-PMT('Sources &amp; Uses'!$D$4/12,'Sources &amp; Uses'!$C$4*12,SUM($G$88,0)))</f>
        <v>0</v>
      </c>
    </row>
    <row r="85" s="939" customFormat="true" ht="10.5" hidden="true" customHeight="true" outlineLevel="1" collapsed="false">
      <c r="A85" s="966" t="str">
        <f aca="false">A75</f>
        <v>Interest</v>
      </c>
      <c r="B85" s="966"/>
      <c r="C85" s="966"/>
      <c r="D85" s="966"/>
      <c r="E85" s="966"/>
      <c r="F85" s="966"/>
      <c r="G85" s="968" t="n">
        <f aca="false">G83*'Sources &amp; Uses'!$D$4/12</f>
        <v>0</v>
      </c>
      <c r="H85" s="968" t="n">
        <f aca="false">H83*'Sources &amp; Uses'!$D$4/12</f>
        <v>0</v>
      </c>
      <c r="I85" s="968" t="n">
        <f aca="false">I83*'Sources &amp; Uses'!$D$4/12</f>
        <v>0</v>
      </c>
      <c r="J85" s="968" t="n">
        <f aca="false">J83*'Sources &amp; Uses'!$D$4/12</f>
        <v>0</v>
      </c>
      <c r="K85" s="968" t="n">
        <f aca="false">K83*'Sources &amp; Uses'!$D$4/12</f>
        <v>0</v>
      </c>
      <c r="L85" s="968" t="n">
        <f aca="false">L83*'Sources &amp; Uses'!$D$4/12</f>
        <v>0</v>
      </c>
      <c r="M85" s="968" t="n">
        <f aca="false">M83*'Sources &amp; Uses'!$D$4/12</f>
        <v>0</v>
      </c>
      <c r="N85" s="968" t="n">
        <f aca="false">N83*'Sources &amp; Uses'!$D$4/12</f>
        <v>0</v>
      </c>
      <c r="O85" s="968" t="n">
        <f aca="false">O83*'Sources &amp; Uses'!$D$4/12</f>
        <v>0</v>
      </c>
      <c r="P85" s="968" t="n">
        <f aca="false">P83*'Sources &amp; Uses'!$D$4/12</f>
        <v>0</v>
      </c>
      <c r="Q85" s="968" t="n">
        <f aca="false">Q83*'Sources &amp; Uses'!$D$4/12</f>
        <v>0</v>
      </c>
      <c r="R85" s="968" t="n">
        <f aca="false">R83*'Sources &amp; Uses'!$D$4/12</f>
        <v>0</v>
      </c>
      <c r="S85" s="968" t="n">
        <f aca="false">S83*'Sources &amp; Uses'!$D$4/12</f>
        <v>0</v>
      </c>
      <c r="T85" s="968" t="n">
        <f aca="false">T83*'Sources &amp; Uses'!$D$4/12</f>
        <v>0</v>
      </c>
      <c r="U85" s="968" t="n">
        <f aca="false">U83*'Sources &amp; Uses'!$D$4/12</f>
        <v>0</v>
      </c>
      <c r="V85" s="968" t="n">
        <f aca="false">V83*'Sources &amp; Uses'!$D$4/12</f>
        <v>0</v>
      </c>
      <c r="W85" s="968" t="n">
        <f aca="false">W83*'Sources &amp; Uses'!$D$4/12</f>
        <v>0</v>
      </c>
      <c r="X85" s="968" t="n">
        <f aca="false">X83*'Sources &amp; Uses'!$D$4/12</f>
        <v>0</v>
      </c>
      <c r="Y85" s="968" t="n">
        <f aca="false">Y83*'Sources &amp; Uses'!$D$4/12</f>
        <v>0</v>
      </c>
      <c r="Z85" s="968" t="n">
        <f aca="false">Z83*'Sources &amp; Uses'!$D$4/12</f>
        <v>0</v>
      </c>
      <c r="AA85" s="968" t="n">
        <f aca="false">AA83*'Sources &amp; Uses'!$D$4/12</f>
        <v>0</v>
      </c>
      <c r="AB85" s="968" t="n">
        <f aca="false">AB83*'Sources &amp; Uses'!$D$4/12</f>
        <v>0</v>
      </c>
      <c r="AC85" s="968" t="n">
        <f aca="false">AC83*'Sources &amp; Uses'!$D$4/12</f>
        <v>0</v>
      </c>
      <c r="AD85" s="968" t="n">
        <f aca="false">AD83*'Sources &amp; Uses'!$D$4/12</f>
        <v>0</v>
      </c>
      <c r="AE85" s="968" t="n">
        <f aca="false">AE83*'Sources &amp; Uses'!$D$4/12</f>
        <v>0</v>
      </c>
      <c r="AF85" s="968" t="n">
        <f aca="false">AF83*'Sources &amp; Uses'!$D$4/12</f>
        <v>0</v>
      </c>
      <c r="AG85" s="968" t="n">
        <f aca="false">AG83*'Sources &amp; Uses'!$D$4/12</f>
        <v>0</v>
      </c>
      <c r="AH85" s="968" t="n">
        <f aca="false">AH83*'Sources &amp; Uses'!$D$4/12</f>
        <v>0</v>
      </c>
      <c r="AI85" s="968" t="n">
        <f aca="false">AI83*'Sources &amp; Uses'!$D$4/12</f>
        <v>0</v>
      </c>
      <c r="AJ85" s="968" t="n">
        <f aca="false">AJ83*'Sources &amp; Uses'!$D$4/12</f>
        <v>0</v>
      </c>
      <c r="AK85" s="968" t="n">
        <f aca="false">AK83*'Sources &amp; Uses'!$D$4/12</f>
        <v>0</v>
      </c>
    </row>
    <row r="86" s="939" customFormat="true" ht="10.5" hidden="true" customHeight="true" outlineLevel="1" collapsed="false">
      <c r="A86" s="966" t="str">
        <f aca="false">A76</f>
        <v>Principal</v>
      </c>
      <c r="B86" s="966"/>
      <c r="C86" s="966"/>
      <c r="D86" s="966"/>
      <c r="E86" s="966"/>
      <c r="F86" s="966"/>
      <c r="G86" s="968" t="n">
        <f aca="false">G84-G85</f>
        <v>0</v>
      </c>
      <c r="H86" s="968" t="n">
        <f aca="false">H84-H85</f>
        <v>0</v>
      </c>
      <c r="I86" s="968" t="n">
        <f aca="false">I84-I85</f>
        <v>0</v>
      </c>
      <c r="J86" s="968" t="n">
        <f aca="false">J84-J85</f>
        <v>0</v>
      </c>
      <c r="K86" s="968" t="n">
        <f aca="false">K84-K85</f>
        <v>0</v>
      </c>
      <c r="L86" s="968" t="n">
        <f aca="false">L84-L85</f>
        <v>0</v>
      </c>
      <c r="M86" s="968" t="n">
        <f aca="false">M84-M85</f>
        <v>0</v>
      </c>
      <c r="N86" s="968" t="n">
        <f aca="false">N84-N85</f>
        <v>0</v>
      </c>
      <c r="O86" s="968" t="n">
        <f aca="false">O84-O85</f>
        <v>0</v>
      </c>
      <c r="P86" s="968" t="n">
        <f aca="false">P84-P85</f>
        <v>0</v>
      </c>
      <c r="Q86" s="968" t="n">
        <f aca="false">Q84-Q85</f>
        <v>0</v>
      </c>
      <c r="R86" s="968" t="n">
        <f aca="false">R84-R85</f>
        <v>0</v>
      </c>
      <c r="S86" s="968" t="n">
        <f aca="false">S84-S85</f>
        <v>0</v>
      </c>
      <c r="T86" s="968" t="n">
        <f aca="false">T84-T85</f>
        <v>0</v>
      </c>
      <c r="U86" s="968" t="n">
        <f aca="false">U84-U85</f>
        <v>0</v>
      </c>
      <c r="V86" s="968" t="n">
        <f aca="false">V84-V85</f>
        <v>0</v>
      </c>
      <c r="W86" s="968" t="n">
        <f aca="false">W84-W85</f>
        <v>0</v>
      </c>
      <c r="X86" s="968" t="n">
        <f aca="false">X84-X85</f>
        <v>0</v>
      </c>
      <c r="Y86" s="968" t="n">
        <f aca="false">Y84-Y85</f>
        <v>0</v>
      </c>
      <c r="Z86" s="968" t="n">
        <f aca="false">Z84-Z85</f>
        <v>0</v>
      </c>
      <c r="AA86" s="968" t="n">
        <f aca="false">AA84-AA85</f>
        <v>0</v>
      </c>
      <c r="AB86" s="968" t="n">
        <f aca="false">AB84-AB85</f>
        <v>0</v>
      </c>
      <c r="AC86" s="968" t="n">
        <f aca="false">AC84-AC85</f>
        <v>0</v>
      </c>
      <c r="AD86" s="968" t="n">
        <f aca="false">AD84-AD85</f>
        <v>0</v>
      </c>
      <c r="AE86" s="968" t="n">
        <f aca="false">AE84-AE85</f>
        <v>0</v>
      </c>
      <c r="AF86" s="968" t="n">
        <f aca="false">AF84-AF85</f>
        <v>0</v>
      </c>
      <c r="AG86" s="968" t="n">
        <f aca="false">AG84-AG85</f>
        <v>0</v>
      </c>
      <c r="AH86" s="968" t="n">
        <f aca="false">AH84-AH85</f>
        <v>0</v>
      </c>
      <c r="AI86" s="968" t="n">
        <f aca="false">AI84-AI85</f>
        <v>0</v>
      </c>
      <c r="AJ86" s="968" t="n">
        <f aca="false">AJ84-AJ85</f>
        <v>0</v>
      </c>
      <c r="AK86" s="968" t="n">
        <f aca="false">AK84-AK85</f>
        <v>0</v>
      </c>
    </row>
    <row r="87" s="939" customFormat="true" ht="10.5" hidden="true" customHeight="true" outlineLevel="1" collapsed="false">
      <c r="A87" s="966" t="str">
        <f aca="false">A77</f>
        <v>Ending Balance</v>
      </c>
      <c r="B87" s="966"/>
      <c r="C87" s="966"/>
      <c r="D87" s="966"/>
      <c r="E87" s="966"/>
      <c r="F87" s="966"/>
      <c r="G87" s="968" t="n">
        <f aca="false">G83-G86</f>
        <v>0</v>
      </c>
      <c r="H87" s="968" t="n">
        <f aca="false">H83-H86</f>
        <v>0</v>
      </c>
      <c r="I87" s="968" t="n">
        <f aca="false">I83-I86</f>
        <v>0</v>
      </c>
      <c r="J87" s="968" t="n">
        <f aca="false">J83-J86</f>
        <v>0</v>
      </c>
      <c r="K87" s="968" t="n">
        <f aca="false">K83-K86</f>
        <v>0</v>
      </c>
      <c r="L87" s="968" t="n">
        <f aca="false">L83-L86</f>
        <v>0</v>
      </c>
      <c r="M87" s="968" t="n">
        <f aca="false">M83-M86</f>
        <v>0</v>
      </c>
      <c r="N87" s="968" t="n">
        <f aca="false">N83-N86</f>
        <v>0</v>
      </c>
      <c r="O87" s="968" t="n">
        <f aca="false">O83-O86</f>
        <v>0</v>
      </c>
      <c r="P87" s="968" t="n">
        <f aca="false">P83-P86</f>
        <v>0</v>
      </c>
      <c r="Q87" s="968" t="n">
        <f aca="false">Q83-Q86</f>
        <v>0</v>
      </c>
      <c r="R87" s="968" t="n">
        <f aca="false">R83-R86</f>
        <v>0</v>
      </c>
      <c r="S87" s="968" t="n">
        <f aca="false">S83-S86</f>
        <v>0</v>
      </c>
      <c r="T87" s="968" t="n">
        <f aca="false">T83-T86</f>
        <v>0</v>
      </c>
      <c r="U87" s="968" t="n">
        <f aca="false">U83-U86</f>
        <v>0</v>
      </c>
      <c r="V87" s="968" t="n">
        <f aca="false">V83-V86</f>
        <v>0</v>
      </c>
      <c r="W87" s="968" t="n">
        <f aca="false">W83-W86</f>
        <v>0</v>
      </c>
      <c r="X87" s="968" t="n">
        <f aca="false">X83-X86</f>
        <v>0</v>
      </c>
      <c r="Y87" s="968" t="n">
        <f aca="false">Y83-Y86</f>
        <v>0</v>
      </c>
      <c r="Z87" s="968" t="n">
        <f aca="false">Z83-Z86</f>
        <v>0</v>
      </c>
      <c r="AA87" s="968" t="n">
        <f aca="false">AA83-AA86</f>
        <v>0</v>
      </c>
      <c r="AB87" s="968" t="n">
        <f aca="false">AB83-AB86</f>
        <v>0</v>
      </c>
      <c r="AC87" s="968" t="n">
        <f aca="false">AC83-AC86</f>
        <v>0</v>
      </c>
      <c r="AD87" s="968" t="n">
        <f aca="false">AD83-AD86</f>
        <v>0</v>
      </c>
      <c r="AE87" s="968" t="n">
        <f aca="false">AE83-AE86</f>
        <v>0</v>
      </c>
      <c r="AF87" s="968" t="n">
        <f aca="false">AF83-AF86</f>
        <v>0</v>
      </c>
      <c r="AG87" s="968" t="n">
        <f aca="false">AG83-AG86</f>
        <v>0</v>
      </c>
      <c r="AH87" s="968" t="n">
        <f aca="false">AH83-AH86</f>
        <v>0</v>
      </c>
      <c r="AI87" s="968" t="n">
        <f aca="false">AI83-AI86</f>
        <v>0</v>
      </c>
      <c r="AJ87" s="968" t="n">
        <f aca="false">AJ83-AJ86</f>
        <v>0</v>
      </c>
      <c r="AK87" s="968" t="n">
        <f aca="false">AK83-AK86</f>
        <v>0</v>
      </c>
    </row>
    <row r="88" s="939" customFormat="true" ht="10.5" hidden="true" customHeight="true" outlineLevel="1" collapsed="false">
      <c r="A88" s="966" t="s">
        <v>1794</v>
      </c>
      <c r="B88" s="966"/>
      <c r="C88" s="966"/>
      <c r="D88" s="966"/>
      <c r="E88" s="966"/>
      <c r="F88" s="966"/>
      <c r="G88" s="968" t="n">
        <f aca="false">G81</f>
        <v>0</v>
      </c>
      <c r="H88" s="968"/>
      <c r="I88" s="968"/>
      <c r="J88" s="968"/>
      <c r="K88" s="968"/>
      <c r="L88" s="968"/>
      <c r="M88" s="968"/>
      <c r="N88" s="968"/>
      <c r="O88" s="968"/>
      <c r="P88" s="968"/>
      <c r="Q88" s="968"/>
      <c r="R88" s="968"/>
      <c r="S88" s="968"/>
      <c r="T88" s="968"/>
      <c r="U88" s="968"/>
      <c r="V88" s="968"/>
      <c r="W88" s="968"/>
      <c r="X88" s="968"/>
      <c r="Y88" s="968"/>
      <c r="Z88" s="968"/>
      <c r="AA88" s="968"/>
      <c r="AB88" s="968"/>
      <c r="AC88" s="968"/>
      <c r="AD88" s="968"/>
      <c r="AE88" s="968"/>
      <c r="AF88" s="968"/>
      <c r="AG88" s="968"/>
      <c r="AH88" s="968"/>
      <c r="AI88" s="968"/>
      <c r="AJ88" s="968"/>
      <c r="AK88" s="968"/>
    </row>
    <row r="89" s="939" customFormat="true" ht="10.5" hidden="true" customHeight="true" outlineLevel="1" collapsed="false">
      <c r="A89" s="966"/>
      <c r="B89" s="968"/>
      <c r="C89" s="968"/>
      <c r="D89" s="968"/>
      <c r="E89" s="968"/>
      <c r="F89" s="968"/>
      <c r="G89" s="968"/>
      <c r="H89" s="968"/>
      <c r="I89" s="968"/>
      <c r="J89" s="968"/>
      <c r="K89" s="968"/>
      <c r="L89" s="968"/>
      <c r="M89" s="968"/>
      <c r="N89" s="968"/>
      <c r="O89" s="968"/>
      <c r="P89" s="968"/>
      <c r="Q89" s="968"/>
      <c r="R89" s="968"/>
      <c r="S89" s="968"/>
      <c r="T89" s="968"/>
      <c r="U89" s="968"/>
      <c r="V89" s="968"/>
      <c r="W89" s="968"/>
      <c r="X89" s="968"/>
      <c r="Y89" s="968"/>
      <c r="Z89" s="968"/>
      <c r="AA89" s="968"/>
      <c r="AB89" s="968"/>
      <c r="AC89" s="968"/>
      <c r="AD89" s="968"/>
      <c r="AE89" s="968"/>
      <c r="AF89" s="968"/>
      <c r="AG89" s="968"/>
      <c r="AH89" s="968"/>
      <c r="AI89" s="968"/>
      <c r="AJ89" s="968"/>
      <c r="AK89" s="968"/>
    </row>
    <row r="90" s="946" customFormat="true" ht="10.5" hidden="true" customHeight="true" outlineLevel="1" collapsed="false">
      <c r="A90" s="967" t="n">
        <f aca="false">'Sources &amp; Uses'!A5</f>
        <v>0</v>
      </c>
      <c r="B90" s="969" t="s">
        <v>1476</v>
      </c>
      <c r="C90" s="969" t="s">
        <v>1477</v>
      </c>
      <c r="D90" s="969" t="s">
        <v>1478</v>
      </c>
      <c r="E90" s="969" t="s">
        <v>1479</v>
      </c>
      <c r="F90" s="969" t="s">
        <v>1480</v>
      </c>
      <c r="G90" s="969" t="s">
        <v>1481</v>
      </c>
      <c r="H90" s="969" t="s">
        <v>1482</v>
      </c>
      <c r="I90" s="969" t="s">
        <v>1483</v>
      </c>
      <c r="J90" s="969" t="s">
        <v>1484</v>
      </c>
      <c r="K90" s="969" t="s">
        <v>1485</v>
      </c>
      <c r="L90" s="969" t="s">
        <v>1486</v>
      </c>
      <c r="M90" s="969" t="s">
        <v>1487</v>
      </c>
      <c r="N90" s="969" t="s">
        <v>1622</v>
      </c>
      <c r="O90" s="969" t="s">
        <v>1623</v>
      </c>
      <c r="P90" s="969" t="s">
        <v>1624</v>
      </c>
      <c r="Q90" s="969" t="s">
        <v>1625</v>
      </c>
      <c r="R90" s="969" t="s">
        <v>1626</v>
      </c>
      <c r="S90" s="969" t="s">
        <v>1627</v>
      </c>
      <c r="T90" s="969" t="s">
        <v>1628</v>
      </c>
      <c r="U90" s="969" t="s">
        <v>1629</v>
      </c>
      <c r="V90" s="969" t="s">
        <v>1630</v>
      </c>
      <c r="W90" s="969" t="s">
        <v>1631</v>
      </c>
      <c r="X90" s="969" t="s">
        <v>1632</v>
      </c>
      <c r="Y90" s="969" t="s">
        <v>1633</v>
      </c>
      <c r="Z90" s="969" t="s">
        <v>1634</v>
      </c>
      <c r="AA90" s="969" t="s">
        <v>1635</v>
      </c>
      <c r="AB90" s="969" t="s">
        <v>1636</v>
      </c>
      <c r="AC90" s="969" t="s">
        <v>1637</v>
      </c>
      <c r="AD90" s="969" t="s">
        <v>1638</v>
      </c>
      <c r="AE90" s="969" t="s">
        <v>1639</v>
      </c>
      <c r="AF90" s="969" t="s">
        <v>1640</v>
      </c>
      <c r="AG90" s="969" t="s">
        <v>1641</v>
      </c>
      <c r="AH90" s="969" t="s">
        <v>1642</v>
      </c>
      <c r="AI90" s="969" t="s">
        <v>1643</v>
      </c>
      <c r="AJ90" s="969" t="s">
        <v>1644</v>
      </c>
      <c r="AK90" s="969" t="s">
        <v>1645</v>
      </c>
    </row>
    <row r="91" s="939" customFormat="true" ht="10.5" hidden="true" customHeight="true" outlineLevel="1" collapsed="false">
      <c r="A91" s="966" t="str">
        <f aca="false">A81</f>
        <v>Starting Balance</v>
      </c>
      <c r="B91" s="966"/>
      <c r="C91" s="966"/>
      <c r="D91" s="966"/>
      <c r="E91" s="966"/>
      <c r="F91" s="966"/>
      <c r="G91" s="966"/>
      <c r="H91" s="966"/>
      <c r="I91" s="966"/>
      <c r="J91" s="966"/>
      <c r="K91" s="966"/>
      <c r="L91" s="966"/>
      <c r="M91" s="966"/>
      <c r="N91" s="968" t="n">
        <v>0</v>
      </c>
      <c r="O91" s="968" t="n">
        <f aca="false">IF(N97&lt;=1,0,N97)</f>
        <v>0</v>
      </c>
      <c r="P91" s="968" t="n">
        <f aca="false">IF(O97&lt;=1,0,O97)</f>
        <v>0</v>
      </c>
      <c r="Q91" s="968" t="n">
        <f aca="false">IF(P97&lt;=1,0,P97)</f>
        <v>0</v>
      </c>
      <c r="R91" s="968" t="n">
        <f aca="false">IF(Q97&lt;=1,0,Q97)</f>
        <v>0</v>
      </c>
      <c r="S91" s="968" t="n">
        <f aca="false">IF(R97&lt;=1,0,R97)</f>
        <v>0</v>
      </c>
      <c r="T91" s="968" t="n">
        <f aca="false">IF(S97&lt;=1,0,S97)</f>
        <v>0</v>
      </c>
      <c r="U91" s="968" t="n">
        <f aca="false">IF(T97&lt;=1,0,T97)</f>
        <v>0</v>
      </c>
      <c r="V91" s="968" t="n">
        <f aca="false">IF(U97&lt;=1,0,U97)</f>
        <v>0</v>
      </c>
      <c r="W91" s="968" t="n">
        <f aca="false">IF(V97&lt;=1,0,V97)</f>
        <v>0</v>
      </c>
      <c r="X91" s="968" t="n">
        <f aca="false">IF(W97&lt;=1,0,W97)</f>
        <v>0</v>
      </c>
      <c r="Y91" s="968" t="n">
        <f aca="false">IF(X97&lt;=1,0,X97)</f>
        <v>0</v>
      </c>
      <c r="Z91" s="968" t="n">
        <f aca="false">IF(Y97&lt;=1,0,Y97)</f>
        <v>0</v>
      </c>
      <c r="AA91" s="968" t="n">
        <f aca="false">IF(Z97&lt;=1,0,Z97)</f>
        <v>0</v>
      </c>
      <c r="AB91" s="968" t="n">
        <f aca="false">IF(AA97&lt;=1,0,AA97)</f>
        <v>0</v>
      </c>
      <c r="AC91" s="968" t="n">
        <f aca="false">IF(AB97&lt;=1,0,AB97)</f>
        <v>0</v>
      </c>
      <c r="AD91" s="968" t="n">
        <f aca="false">IF(AC97&lt;=1,0,AC97)</f>
        <v>0</v>
      </c>
      <c r="AE91" s="968" t="n">
        <f aca="false">IF(AD97&lt;=1,0,AD97)</f>
        <v>0</v>
      </c>
      <c r="AF91" s="968" t="n">
        <f aca="false">IF(AE97&lt;=1,0,AE97)</f>
        <v>0</v>
      </c>
      <c r="AG91" s="968" t="n">
        <f aca="false">IF(AF97&lt;=1,0,AF97)</f>
        <v>0</v>
      </c>
      <c r="AH91" s="968" t="n">
        <f aca="false">IF(AG97&lt;=1,0,AG97)</f>
        <v>0</v>
      </c>
      <c r="AI91" s="968" t="n">
        <f aca="false">IF(AH97&lt;=1,0,AH97)</f>
        <v>0</v>
      </c>
      <c r="AJ91" s="968" t="n">
        <f aca="false">IF(AI97&lt;=1,0,AI97)</f>
        <v>0</v>
      </c>
      <c r="AK91" s="968" t="n">
        <f aca="false">IF(AJ97&lt;=1,0,AJ97)</f>
        <v>0</v>
      </c>
    </row>
    <row r="92" s="939" customFormat="true" ht="10.5" hidden="true" customHeight="true" outlineLevel="1" collapsed="false">
      <c r="A92" s="966" t="str">
        <f aca="false">A82</f>
        <v>Loan Payoff</v>
      </c>
      <c r="B92" s="966"/>
      <c r="C92" s="966"/>
      <c r="D92" s="966"/>
      <c r="E92" s="966"/>
      <c r="F92" s="966"/>
      <c r="G92" s="966"/>
      <c r="H92" s="966"/>
      <c r="I92" s="966"/>
      <c r="J92" s="966"/>
      <c r="K92" s="966"/>
      <c r="L92" s="966"/>
      <c r="M92" s="966"/>
      <c r="N92" s="968"/>
      <c r="O92" s="968"/>
      <c r="P92" s="968"/>
      <c r="Q92" s="968"/>
      <c r="R92" s="968"/>
      <c r="S92" s="968"/>
      <c r="T92" s="968"/>
      <c r="U92" s="968"/>
      <c r="V92" s="968"/>
      <c r="W92" s="968"/>
      <c r="X92" s="968"/>
      <c r="Y92" s="968"/>
      <c r="Z92" s="968"/>
      <c r="AA92" s="968"/>
      <c r="AB92" s="968"/>
      <c r="AC92" s="968"/>
      <c r="AD92" s="968"/>
      <c r="AE92" s="968"/>
      <c r="AF92" s="968"/>
      <c r="AG92" s="968"/>
      <c r="AH92" s="968"/>
      <c r="AI92" s="968"/>
      <c r="AJ92" s="968"/>
      <c r="AK92" s="968"/>
    </row>
    <row r="93" s="939" customFormat="true" ht="10.5" hidden="true" customHeight="true" outlineLevel="1" collapsed="false">
      <c r="A93" s="966" t="str">
        <f aca="false">A83</f>
        <v>New Starting Balance</v>
      </c>
      <c r="B93" s="966"/>
      <c r="C93" s="966"/>
      <c r="D93" s="966"/>
      <c r="E93" s="966"/>
      <c r="F93" s="966"/>
      <c r="G93" s="966"/>
      <c r="H93" s="966"/>
      <c r="I93" s="966"/>
      <c r="J93" s="966"/>
      <c r="K93" s="966"/>
      <c r="L93" s="966"/>
      <c r="M93" s="966"/>
      <c r="N93" s="968" t="n">
        <f aca="false">N91-N92</f>
        <v>0</v>
      </c>
      <c r="O93" s="968" t="n">
        <f aca="false">O91-O92</f>
        <v>0</v>
      </c>
      <c r="P93" s="968" t="n">
        <f aca="false">P91-P92</f>
        <v>0</v>
      </c>
      <c r="Q93" s="968" t="n">
        <f aca="false">Q91-Q92</f>
        <v>0</v>
      </c>
      <c r="R93" s="968" t="n">
        <f aca="false">R91-R92</f>
        <v>0</v>
      </c>
      <c r="S93" s="968" t="n">
        <f aca="false">S91-S92</f>
        <v>0</v>
      </c>
      <c r="T93" s="968" t="n">
        <f aca="false">T91-T92</f>
        <v>0</v>
      </c>
      <c r="U93" s="968" t="n">
        <f aca="false">U91-U92</f>
        <v>0</v>
      </c>
      <c r="V93" s="968" t="n">
        <f aca="false">V91-V92</f>
        <v>0</v>
      </c>
      <c r="W93" s="968" t="n">
        <f aca="false">W91-W92</f>
        <v>0</v>
      </c>
      <c r="X93" s="968" t="n">
        <f aca="false">X91-X92</f>
        <v>0</v>
      </c>
      <c r="Y93" s="968" t="n">
        <f aca="false">Y91-Y92</f>
        <v>0</v>
      </c>
      <c r="Z93" s="968" t="n">
        <f aca="false">Z91-Z92</f>
        <v>0</v>
      </c>
      <c r="AA93" s="968" t="n">
        <f aca="false">AA91-AA92</f>
        <v>0</v>
      </c>
      <c r="AB93" s="968" t="n">
        <f aca="false">AB91-AB92</f>
        <v>0</v>
      </c>
      <c r="AC93" s="968" t="n">
        <f aca="false">AC91-AC92</f>
        <v>0</v>
      </c>
      <c r="AD93" s="968" t="n">
        <f aca="false">AD91-AD92</f>
        <v>0</v>
      </c>
      <c r="AE93" s="968" t="n">
        <f aca="false">AE91-AE92</f>
        <v>0</v>
      </c>
      <c r="AF93" s="968" t="n">
        <f aca="false">AF91-AF92</f>
        <v>0</v>
      </c>
      <c r="AG93" s="968" t="n">
        <f aca="false">AG91-AG92</f>
        <v>0</v>
      </c>
      <c r="AH93" s="968" t="n">
        <f aca="false">AH91-AH92</f>
        <v>0</v>
      </c>
      <c r="AI93" s="968" t="n">
        <f aca="false">AI91-AI92</f>
        <v>0</v>
      </c>
      <c r="AJ93" s="968" t="n">
        <f aca="false">AJ91-AJ92</f>
        <v>0</v>
      </c>
      <c r="AK93" s="968" t="n">
        <f aca="false">AK91-AK92</f>
        <v>0</v>
      </c>
    </row>
    <row r="94" s="939" customFormat="true" ht="10.5" hidden="true" customHeight="true" outlineLevel="1" collapsed="false">
      <c r="A94" s="966" t="str">
        <f aca="false">A84</f>
        <v>Payment</v>
      </c>
      <c r="B94" s="966"/>
      <c r="C94" s="966"/>
      <c r="D94" s="966"/>
      <c r="E94" s="966"/>
      <c r="F94" s="966"/>
      <c r="G94" s="966"/>
      <c r="H94" s="966"/>
      <c r="I94" s="966"/>
      <c r="J94" s="966"/>
      <c r="K94" s="966"/>
      <c r="L94" s="966"/>
      <c r="M94" s="966"/>
      <c r="N94" s="968"/>
      <c r="O94" s="968"/>
      <c r="P94" s="968"/>
      <c r="Q94" s="968"/>
      <c r="R94" s="968"/>
      <c r="S94" s="968"/>
      <c r="T94" s="968"/>
      <c r="U94" s="968"/>
      <c r="V94" s="968"/>
      <c r="W94" s="968"/>
      <c r="X94" s="968"/>
      <c r="Y94" s="968" t="n">
        <v>6200000</v>
      </c>
      <c r="Z94" s="968" t="n">
        <f aca="false">IF(Z93&lt;=1,0,-PMT('Sources &amp; Uses'!$D$5/12,'Sources &amp; Uses'!$C$5*12,SUM($N$98,0)))</f>
        <v>0</v>
      </c>
      <c r="AA94" s="968" t="n">
        <f aca="false">IF(AA93&lt;=1,0,-PMT('Sources &amp; Uses'!$D$5/12,'Sources &amp; Uses'!$C$5*12,SUM($N$98,0)))</f>
        <v>0</v>
      </c>
      <c r="AB94" s="968" t="n">
        <f aca="false">IF(AB93&lt;=1,0,-PMT('Sources &amp; Uses'!$D$5/12,'Sources &amp; Uses'!$C$5*12,SUM($N$98,0)))</f>
        <v>0</v>
      </c>
      <c r="AC94" s="968" t="n">
        <f aca="false">IF(AC93&lt;=1,0,-PMT('Sources &amp; Uses'!$D$5/12,'Sources &amp; Uses'!$C$5*12,SUM($N$98,0)))</f>
        <v>0</v>
      </c>
      <c r="AD94" s="968" t="n">
        <f aca="false">IF(AD93&lt;=1,0,-PMT('Sources &amp; Uses'!$D$5/12,'Sources &amp; Uses'!$C$5*12,SUM($N$98,0)))</f>
        <v>0</v>
      </c>
      <c r="AE94" s="968" t="n">
        <f aca="false">IF(AE93&lt;=1,0,-PMT('Sources &amp; Uses'!$D$5/12,'Sources &amp; Uses'!$C$5*12,SUM($N$98,0)))</f>
        <v>0</v>
      </c>
      <c r="AF94" s="968" t="n">
        <f aca="false">IF(AF93&lt;=1,0,-PMT('Sources &amp; Uses'!$D$5/12,'Sources &amp; Uses'!$C$5*12,SUM($N$98,0)))</f>
        <v>0</v>
      </c>
      <c r="AG94" s="968" t="n">
        <f aca="false">IF(AG93&lt;=1,0,-PMT('Sources &amp; Uses'!$D$5/12,'Sources &amp; Uses'!$C$5*12,SUM($N$98,0)))</f>
        <v>0</v>
      </c>
      <c r="AH94" s="968" t="n">
        <f aca="false">IF(AH93&lt;=1,0,-PMT('Sources &amp; Uses'!$D$5/12,'Sources &amp; Uses'!$C$5*12,SUM($N$98,0)))</f>
        <v>0</v>
      </c>
      <c r="AI94" s="968" t="n">
        <f aca="false">IF(AI93&lt;=1,0,-PMT('Sources &amp; Uses'!$D$5/12,'Sources &amp; Uses'!$C$5*12,SUM($N$98,0)))</f>
        <v>0</v>
      </c>
      <c r="AJ94" s="968" t="n">
        <f aca="false">IF(AJ93&lt;=1,0,-PMT('Sources &amp; Uses'!$D$5/12,'Sources &amp; Uses'!$C$5*12,SUM($N$98,0)))</f>
        <v>0</v>
      </c>
      <c r="AK94" s="968" t="n">
        <f aca="false">IF(AK93&lt;=1,0,-PMT('Sources &amp; Uses'!$D$5/12,'Sources &amp; Uses'!$C$5*12,SUM($N$98,0)))</f>
        <v>0</v>
      </c>
    </row>
    <row r="95" s="939" customFormat="true" ht="10.5" hidden="true" customHeight="true" outlineLevel="1" collapsed="false">
      <c r="A95" s="966" t="str">
        <f aca="false">A85</f>
        <v>Interest</v>
      </c>
      <c r="B95" s="966"/>
      <c r="C95" s="966"/>
      <c r="D95" s="966"/>
      <c r="E95" s="966"/>
      <c r="F95" s="966"/>
      <c r="G95" s="966"/>
      <c r="H95" s="966"/>
      <c r="I95" s="966"/>
      <c r="J95" s="966"/>
      <c r="K95" s="966"/>
      <c r="L95" s="966"/>
      <c r="M95" s="966"/>
      <c r="N95" s="968" t="n">
        <f aca="false">N93*'Sources &amp; Uses'!$D$5/12</f>
        <v>0</v>
      </c>
      <c r="O95" s="968" t="n">
        <f aca="false">O93*'Sources &amp; Uses'!$D$5/12</f>
        <v>0</v>
      </c>
      <c r="P95" s="968" t="n">
        <f aca="false">P93*'Sources &amp; Uses'!$D$5/12</f>
        <v>0</v>
      </c>
      <c r="Q95" s="968" t="n">
        <f aca="false">Q93*'Sources &amp; Uses'!$D$5/12</f>
        <v>0</v>
      </c>
      <c r="R95" s="968" t="n">
        <f aca="false">R93*'Sources &amp; Uses'!$D$5/12</f>
        <v>0</v>
      </c>
      <c r="S95" s="968" t="n">
        <f aca="false">S93*'Sources &amp; Uses'!$D$5/12</f>
        <v>0</v>
      </c>
      <c r="T95" s="968" t="n">
        <f aca="false">T93*'Sources &amp; Uses'!$D$5/12</f>
        <v>0</v>
      </c>
      <c r="U95" s="968" t="n">
        <f aca="false">U93*'Sources &amp; Uses'!$D$5/12</f>
        <v>0</v>
      </c>
      <c r="V95" s="968" t="n">
        <f aca="false">V93*'Sources &amp; Uses'!$D$5/12</f>
        <v>0</v>
      </c>
      <c r="W95" s="968" t="n">
        <f aca="false">W93*'Sources &amp; Uses'!$D$5/12</f>
        <v>0</v>
      </c>
      <c r="X95" s="968" t="n">
        <f aca="false">X93*'Sources &amp; Uses'!$D$5/12</f>
        <v>0</v>
      </c>
      <c r="Y95" s="968" t="n">
        <f aca="false">Y93*'Sources &amp; Uses'!$D$5/12</f>
        <v>0</v>
      </c>
      <c r="Z95" s="968" t="n">
        <f aca="false">Z93*'Sources &amp; Uses'!$D$5/12</f>
        <v>0</v>
      </c>
      <c r="AA95" s="968" t="n">
        <f aca="false">AA93*'Sources &amp; Uses'!$D$5/12</f>
        <v>0</v>
      </c>
      <c r="AB95" s="968" t="n">
        <f aca="false">AB93*'Sources &amp; Uses'!$D$5/12</f>
        <v>0</v>
      </c>
      <c r="AC95" s="968" t="n">
        <f aca="false">AC93*'Sources &amp; Uses'!$D$5/12</f>
        <v>0</v>
      </c>
      <c r="AD95" s="968" t="n">
        <f aca="false">AD93*'Sources &amp; Uses'!$D$5/12</f>
        <v>0</v>
      </c>
      <c r="AE95" s="968" t="n">
        <f aca="false">AE93*'Sources &amp; Uses'!$D$5/12</f>
        <v>0</v>
      </c>
      <c r="AF95" s="968" t="n">
        <f aca="false">AF93*'Sources &amp; Uses'!$D$5/12</f>
        <v>0</v>
      </c>
      <c r="AG95" s="968" t="n">
        <f aca="false">AG93*'Sources &amp; Uses'!$D$5/12</f>
        <v>0</v>
      </c>
      <c r="AH95" s="968" t="n">
        <f aca="false">AH93*'Sources &amp; Uses'!$D$5/12</f>
        <v>0</v>
      </c>
      <c r="AI95" s="968" t="n">
        <f aca="false">AI93*'Sources &amp; Uses'!$D$5/12</f>
        <v>0</v>
      </c>
      <c r="AJ95" s="968" t="n">
        <f aca="false">AJ93*'Sources &amp; Uses'!$D$5/12</f>
        <v>0</v>
      </c>
      <c r="AK95" s="968" t="n">
        <f aca="false">AK93*'Sources &amp; Uses'!$D$5/12</f>
        <v>0</v>
      </c>
    </row>
    <row r="96" s="939" customFormat="true" ht="10.5" hidden="true" customHeight="true" outlineLevel="1" collapsed="false">
      <c r="A96" s="966" t="str">
        <f aca="false">A86</f>
        <v>Principal</v>
      </c>
      <c r="B96" s="966"/>
      <c r="C96" s="966"/>
      <c r="D96" s="966"/>
      <c r="E96" s="966"/>
      <c r="F96" s="966"/>
      <c r="G96" s="966"/>
      <c r="H96" s="966"/>
      <c r="I96" s="966"/>
      <c r="J96" s="966"/>
      <c r="K96" s="966"/>
      <c r="L96" s="966"/>
      <c r="M96" s="966"/>
      <c r="N96" s="968" t="n">
        <f aca="false">N94-N95</f>
        <v>0</v>
      </c>
      <c r="O96" s="968"/>
      <c r="P96" s="968"/>
      <c r="Q96" s="968"/>
      <c r="R96" s="968"/>
      <c r="S96" s="968"/>
      <c r="T96" s="968"/>
      <c r="U96" s="968"/>
      <c r="V96" s="968"/>
      <c r="W96" s="968"/>
      <c r="X96" s="968"/>
      <c r="Y96" s="968"/>
      <c r="Z96" s="968" t="n">
        <f aca="false">Z94-Z95</f>
        <v>0</v>
      </c>
      <c r="AA96" s="968" t="n">
        <f aca="false">AA94-AA95</f>
        <v>0</v>
      </c>
      <c r="AB96" s="968" t="n">
        <f aca="false">AB94-AB95</f>
        <v>0</v>
      </c>
      <c r="AC96" s="968" t="n">
        <f aca="false">AC94-AC95</f>
        <v>0</v>
      </c>
      <c r="AD96" s="968" t="n">
        <f aca="false">AD94-AD95</f>
        <v>0</v>
      </c>
      <c r="AE96" s="968" t="n">
        <f aca="false">AE94-AE95</f>
        <v>0</v>
      </c>
      <c r="AF96" s="968" t="n">
        <f aca="false">AF94-AF95</f>
        <v>0</v>
      </c>
      <c r="AG96" s="968" t="n">
        <f aca="false">AG94-AG95</f>
        <v>0</v>
      </c>
      <c r="AH96" s="968" t="n">
        <f aca="false">AH94-AH95</f>
        <v>0</v>
      </c>
      <c r="AI96" s="968" t="n">
        <f aca="false">AI94-AI95</f>
        <v>0</v>
      </c>
      <c r="AJ96" s="968" t="n">
        <f aca="false">AJ94-AJ95</f>
        <v>0</v>
      </c>
      <c r="AK96" s="968" t="n">
        <f aca="false">AK94-AK95</f>
        <v>0</v>
      </c>
    </row>
    <row r="97" s="939" customFormat="true" ht="10.5" hidden="true" customHeight="true" outlineLevel="1" collapsed="false">
      <c r="A97" s="966" t="str">
        <f aca="false">A87</f>
        <v>Ending Balance</v>
      </c>
      <c r="B97" s="966"/>
      <c r="C97" s="966"/>
      <c r="D97" s="966"/>
      <c r="E97" s="966"/>
      <c r="F97" s="966"/>
      <c r="G97" s="966"/>
      <c r="H97" s="966"/>
      <c r="I97" s="966"/>
      <c r="J97" s="966"/>
      <c r="K97" s="966"/>
      <c r="L97" s="966"/>
      <c r="M97" s="966"/>
      <c r="N97" s="968" t="n">
        <f aca="false">N93-N96</f>
        <v>0</v>
      </c>
      <c r="O97" s="968" t="n">
        <f aca="false">O93-O96</f>
        <v>0</v>
      </c>
      <c r="P97" s="968" t="n">
        <f aca="false">P93-P96</f>
        <v>0</v>
      </c>
      <c r="Q97" s="968" t="n">
        <f aca="false">Q93-Q96</f>
        <v>0</v>
      </c>
      <c r="R97" s="968" t="n">
        <f aca="false">R93-R96</f>
        <v>0</v>
      </c>
      <c r="S97" s="968" t="n">
        <f aca="false">S93-S96</f>
        <v>0</v>
      </c>
      <c r="T97" s="968" t="n">
        <f aca="false">T93-T96</f>
        <v>0</v>
      </c>
      <c r="U97" s="968" t="n">
        <f aca="false">U93-U96</f>
        <v>0</v>
      </c>
      <c r="V97" s="968" t="n">
        <f aca="false">V93-V96</f>
        <v>0</v>
      </c>
      <c r="W97" s="968" t="n">
        <f aca="false">W93-W96</f>
        <v>0</v>
      </c>
      <c r="X97" s="968" t="n">
        <f aca="false">X93-X96</f>
        <v>0</v>
      </c>
      <c r="Y97" s="968" t="n">
        <f aca="false">Y93-Y96</f>
        <v>0</v>
      </c>
      <c r="Z97" s="968" t="n">
        <f aca="false">Z93-Z96</f>
        <v>0</v>
      </c>
      <c r="AA97" s="968" t="n">
        <f aca="false">AA93-AA96</f>
        <v>0</v>
      </c>
      <c r="AB97" s="968" t="n">
        <f aca="false">AB93-AB96</f>
        <v>0</v>
      </c>
      <c r="AC97" s="968" t="n">
        <f aca="false">AC93-AC96</f>
        <v>0</v>
      </c>
      <c r="AD97" s="968" t="n">
        <f aca="false">AD93-AD96</f>
        <v>0</v>
      </c>
      <c r="AE97" s="968" t="n">
        <f aca="false">AE93-AE96</f>
        <v>0</v>
      </c>
      <c r="AF97" s="968" t="n">
        <f aca="false">AF93-AF96</f>
        <v>0</v>
      </c>
      <c r="AG97" s="968" t="n">
        <f aca="false">AG93-AG96</f>
        <v>0</v>
      </c>
      <c r="AH97" s="968" t="n">
        <f aca="false">AH93-AH96</f>
        <v>0</v>
      </c>
      <c r="AI97" s="968" t="n">
        <f aca="false">AI93-AI96</f>
        <v>0</v>
      </c>
      <c r="AJ97" s="968" t="n">
        <f aca="false">AJ93-AJ96</f>
        <v>0</v>
      </c>
      <c r="AK97" s="968" t="n">
        <f aca="false">AK93-AK96</f>
        <v>0</v>
      </c>
    </row>
    <row r="98" s="939" customFormat="true" ht="10.5" hidden="true" customHeight="true" outlineLevel="1" collapsed="false">
      <c r="A98" s="966" t="str">
        <f aca="false">A88</f>
        <v>Loan Amount</v>
      </c>
      <c r="B98" s="966"/>
      <c r="C98" s="966"/>
      <c r="D98" s="966"/>
      <c r="E98" s="966"/>
      <c r="F98" s="966"/>
      <c r="G98" s="966"/>
      <c r="H98" s="966"/>
      <c r="I98" s="966"/>
      <c r="J98" s="966"/>
      <c r="K98" s="966"/>
      <c r="L98" s="966"/>
      <c r="M98" s="966"/>
      <c r="N98" s="968" t="n">
        <f aca="false">N91</f>
        <v>0</v>
      </c>
      <c r="O98" s="968"/>
      <c r="P98" s="968"/>
      <c r="Q98" s="968"/>
      <c r="R98" s="968"/>
      <c r="S98" s="968"/>
      <c r="T98" s="968"/>
      <c r="U98" s="968"/>
      <c r="V98" s="968"/>
      <c r="W98" s="968"/>
      <c r="X98" s="968"/>
      <c r="Y98" s="968"/>
      <c r="Z98" s="968"/>
      <c r="AA98" s="968"/>
      <c r="AB98" s="968"/>
      <c r="AC98" s="968"/>
      <c r="AD98" s="968"/>
      <c r="AE98" s="968"/>
      <c r="AF98" s="968"/>
      <c r="AG98" s="968"/>
      <c r="AH98" s="968"/>
      <c r="AI98" s="968"/>
      <c r="AJ98" s="968"/>
      <c r="AK98" s="968"/>
    </row>
    <row r="99" s="939" customFormat="true" ht="10.5" hidden="true" customHeight="true" outlineLevel="1" collapsed="false">
      <c r="A99" s="966"/>
      <c r="B99" s="968"/>
      <c r="C99" s="968"/>
      <c r="D99" s="968"/>
      <c r="E99" s="968"/>
      <c r="F99" s="968"/>
      <c r="G99" s="968"/>
      <c r="H99" s="968"/>
      <c r="I99" s="968"/>
      <c r="J99" s="968"/>
      <c r="K99" s="968"/>
      <c r="L99" s="968"/>
      <c r="M99" s="968"/>
      <c r="N99" s="968"/>
      <c r="O99" s="968"/>
      <c r="P99" s="968"/>
      <c r="Q99" s="968"/>
      <c r="R99" s="968"/>
      <c r="S99" s="968"/>
      <c r="T99" s="968"/>
      <c r="U99" s="968"/>
      <c r="V99" s="968"/>
      <c r="W99" s="968"/>
      <c r="X99" s="968"/>
      <c r="Y99" s="968"/>
      <c r="Z99" s="968"/>
      <c r="AA99" s="968"/>
      <c r="AB99" s="968"/>
      <c r="AC99" s="968"/>
      <c r="AD99" s="968"/>
      <c r="AE99" s="968"/>
      <c r="AF99" s="968"/>
      <c r="AG99" s="968"/>
      <c r="AH99" s="968"/>
      <c r="AI99" s="968"/>
      <c r="AJ99" s="968"/>
      <c r="AK99" s="968"/>
    </row>
    <row r="100" s="946" customFormat="true" ht="10.5" hidden="true" customHeight="true" outlineLevel="1" collapsed="false">
      <c r="A100" s="967" t="str">
        <f aca="false">'Sources &amp; Uses'!A6</f>
        <v>Equipment Loan</v>
      </c>
      <c r="B100" s="969" t="s">
        <v>1476</v>
      </c>
      <c r="C100" s="969" t="s">
        <v>1477</v>
      </c>
      <c r="D100" s="969" t="s">
        <v>1478</v>
      </c>
      <c r="E100" s="969" t="s">
        <v>1479</v>
      </c>
      <c r="F100" s="969" t="s">
        <v>1480</v>
      </c>
      <c r="G100" s="969" t="s">
        <v>1481</v>
      </c>
      <c r="H100" s="969" t="s">
        <v>1482</v>
      </c>
      <c r="I100" s="969" t="s">
        <v>1483</v>
      </c>
      <c r="J100" s="969" t="s">
        <v>1484</v>
      </c>
      <c r="K100" s="969" t="s">
        <v>1485</v>
      </c>
      <c r="L100" s="969" t="s">
        <v>1486</v>
      </c>
      <c r="M100" s="969" t="s">
        <v>1487</v>
      </c>
      <c r="N100" s="969" t="s">
        <v>1622</v>
      </c>
      <c r="O100" s="969" t="s">
        <v>1623</v>
      </c>
      <c r="P100" s="969" t="s">
        <v>1624</v>
      </c>
      <c r="Q100" s="969" t="s">
        <v>1625</v>
      </c>
      <c r="R100" s="969" t="s">
        <v>1626</v>
      </c>
      <c r="S100" s="969" t="s">
        <v>1627</v>
      </c>
      <c r="T100" s="969" t="s">
        <v>1628</v>
      </c>
      <c r="U100" s="969" t="s">
        <v>1629</v>
      </c>
      <c r="V100" s="969" t="s">
        <v>1630</v>
      </c>
      <c r="W100" s="969" t="s">
        <v>1631</v>
      </c>
      <c r="X100" s="969" t="s">
        <v>1632</v>
      </c>
      <c r="Y100" s="969" t="s">
        <v>1633</v>
      </c>
      <c r="Z100" s="969" t="s">
        <v>1634</v>
      </c>
      <c r="AA100" s="969" t="s">
        <v>1635</v>
      </c>
      <c r="AB100" s="969" t="s">
        <v>1636</v>
      </c>
      <c r="AC100" s="969" t="s">
        <v>1637</v>
      </c>
      <c r="AD100" s="969" t="s">
        <v>1638</v>
      </c>
      <c r="AE100" s="969" t="s">
        <v>1639</v>
      </c>
      <c r="AF100" s="969" t="s">
        <v>1640</v>
      </c>
      <c r="AG100" s="969" t="s">
        <v>1641</v>
      </c>
      <c r="AH100" s="969" t="s">
        <v>1642</v>
      </c>
      <c r="AI100" s="969" t="s">
        <v>1643</v>
      </c>
      <c r="AJ100" s="932" t="s">
        <v>1644</v>
      </c>
      <c r="AK100" s="932" t="s">
        <v>1645</v>
      </c>
    </row>
    <row r="101" s="939" customFormat="true" ht="10.5" hidden="true" customHeight="true" outlineLevel="1" collapsed="false">
      <c r="A101" s="966" t="str">
        <f aca="false">A91</f>
        <v>Starting Balance</v>
      </c>
      <c r="B101" s="966"/>
      <c r="C101" s="966"/>
      <c r="D101" s="966"/>
      <c r="E101" s="966"/>
      <c r="F101" s="966"/>
      <c r="G101" s="966"/>
      <c r="H101" s="966"/>
      <c r="I101" s="966"/>
      <c r="J101" s="966"/>
      <c r="K101" s="966"/>
      <c r="L101" s="966"/>
      <c r="M101" s="966"/>
      <c r="N101" s="966"/>
      <c r="O101" s="966"/>
      <c r="P101" s="966"/>
      <c r="Q101" s="966"/>
      <c r="R101" s="966"/>
      <c r="S101" s="966"/>
      <c r="T101" s="966"/>
      <c r="U101" s="966"/>
      <c r="V101" s="966"/>
      <c r="W101" s="966"/>
      <c r="X101" s="968" t="n">
        <v>0</v>
      </c>
      <c r="Y101" s="968" t="n">
        <f aca="false">IF(X107&lt;=1,0,X107)</f>
        <v>0</v>
      </c>
      <c r="Z101" s="968" t="n">
        <f aca="false">IF(Y107&lt;=1,0,Y107)</f>
        <v>0</v>
      </c>
      <c r="AA101" s="968" t="n">
        <f aca="false">IF(Z107&lt;=1,0,Z107)</f>
        <v>0</v>
      </c>
      <c r="AB101" s="968" t="n">
        <f aca="false">IF(AA107&lt;=1,0,AA107)</f>
        <v>0</v>
      </c>
      <c r="AC101" s="968" t="n">
        <f aca="false">IF(AB107&lt;=1,0,AB107)</f>
        <v>0</v>
      </c>
      <c r="AD101" s="968" t="n">
        <f aca="false">IF(AC107&lt;=1,0,AC107)</f>
        <v>0</v>
      </c>
      <c r="AE101" s="968" t="n">
        <f aca="false">IF(AD107&lt;=1,0,AD107)</f>
        <v>0</v>
      </c>
      <c r="AF101" s="968" t="n">
        <f aca="false">IF(AE107&lt;=1,0,AE107)</f>
        <v>0</v>
      </c>
      <c r="AG101" s="968" t="n">
        <f aca="false">IF(AF107&lt;=1,0,AF107)</f>
        <v>0</v>
      </c>
      <c r="AH101" s="968" t="n">
        <f aca="false">IF(AG107&lt;=1,0,AG107)</f>
        <v>0</v>
      </c>
      <c r="AI101" s="968" t="n">
        <f aca="false">IF(AH107&lt;=1,0,AH107)</f>
        <v>0</v>
      </c>
      <c r="AJ101" s="968" t="n">
        <f aca="false">IF(AI107&lt;=1,0,AI107)</f>
        <v>0</v>
      </c>
      <c r="AK101" s="968" t="n">
        <f aca="false">IF(AJ107&lt;=1,0,AJ107)</f>
        <v>0</v>
      </c>
    </row>
    <row r="102" s="939" customFormat="true" ht="10.5" hidden="true" customHeight="true" outlineLevel="1" collapsed="false">
      <c r="A102" s="966" t="str">
        <f aca="false">A92</f>
        <v>Loan Payoff</v>
      </c>
      <c r="B102" s="966"/>
      <c r="C102" s="966"/>
      <c r="D102" s="966"/>
      <c r="E102" s="966"/>
      <c r="F102" s="966"/>
      <c r="G102" s="966"/>
      <c r="H102" s="966"/>
      <c r="I102" s="966"/>
      <c r="J102" s="966"/>
      <c r="K102" s="966"/>
      <c r="L102" s="966"/>
      <c r="M102" s="966"/>
      <c r="N102" s="966"/>
      <c r="O102" s="966"/>
      <c r="P102" s="966"/>
      <c r="Q102" s="966"/>
      <c r="R102" s="966"/>
      <c r="S102" s="966"/>
      <c r="T102" s="966"/>
      <c r="U102" s="966"/>
      <c r="V102" s="966"/>
      <c r="W102" s="966"/>
      <c r="X102" s="968"/>
      <c r="Y102" s="968"/>
      <c r="Z102" s="968"/>
      <c r="AA102" s="968"/>
      <c r="AB102" s="968"/>
      <c r="AC102" s="968"/>
      <c r="AD102" s="968"/>
      <c r="AE102" s="968"/>
      <c r="AF102" s="968"/>
      <c r="AG102" s="968"/>
      <c r="AH102" s="968"/>
      <c r="AI102" s="968"/>
      <c r="AJ102" s="968"/>
      <c r="AK102" s="968"/>
    </row>
    <row r="103" s="939" customFormat="true" ht="10.5" hidden="true" customHeight="true" outlineLevel="1" collapsed="false">
      <c r="A103" s="966" t="str">
        <f aca="false">A93</f>
        <v>New Starting Balance</v>
      </c>
      <c r="B103" s="966"/>
      <c r="C103" s="966"/>
      <c r="D103" s="966"/>
      <c r="E103" s="966"/>
      <c r="F103" s="966"/>
      <c r="G103" s="966"/>
      <c r="H103" s="966"/>
      <c r="I103" s="966"/>
      <c r="J103" s="966"/>
      <c r="K103" s="966"/>
      <c r="L103" s="966"/>
      <c r="M103" s="966"/>
      <c r="N103" s="966"/>
      <c r="O103" s="966"/>
      <c r="P103" s="966"/>
      <c r="Q103" s="966"/>
      <c r="R103" s="966"/>
      <c r="S103" s="966"/>
      <c r="T103" s="966"/>
      <c r="U103" s="966"/>
      <c r="V103" s="966"/>
      <c r="W103" s="966"/>
      <c r="X103" s="968" t="n">
        <f aca="false">X101-X102</f>
        <v>0</v>
      </c>
      <c r="Y103" s="968" t="n">
        <f aca="false">Y101-Y102</f>
        <v>0</v>
      </c>
      <c r="Z103" s="968" t="n">
        <f aca="false">Z101-Z102</f>
        <v>0</v>
      </c>
      <c r="AA103" s="968" t="n">
        <f aca="false">AA101-AA102</f>
        <v>0</v>
      </c>
      <c r="AB103" s="968" t="n">
        <f aca="false">AB101-AB102</f>
        <v>0</v>
      </c>
      <c r="AC103" s="968" t="n">
        <f aca="false">AC101-AC102</f>
        <v>0</v>
      </c>
      <c r="AD103" s="968" t="n">
        <f aca="false">AD101-AD102</f>
        <v>0</v>
      </c>
      <c r="AE103" s="968" t="n">
        <f aca="false">AE101-AE102</f>
        <v>0</v>
      </c>
      <c r="AF103" s="968" t="n">
        <f aca="false">AF101-AF102</f>
        <v>0</v>
      </c>
      <c r="AG103" s="968" t="n">
        <f aca="false">AG101-AG102</f>
        <v>0</v>
      </c>
      <c r="AH103" s="968" t="n">
        <f aca="false">AH101-AH102</f>
        <v>0</v>
      </c>
      <c r="AI103" s="968" t="n">
        <f aca="false">AI101-AI102</f>
        <v>0</v>
      </c>
      <c r="AJ103" s="968" t="n">
        <f aca="false">AJ101-AJ102</f>
        <v>0</v>
      </c>
      <c r="AK103" s="968" t="n">
        <f aca="false">AK101-AK102</f>
        <v>0</v>
      </c>
    </row>
    <row r="104" s="939" customFormat="true" ht="10.5" hidden="true" customHeight="true" outlineLevel="1" collapsed="false">
      <c r="A104" s="966" t="str">
        <f aca="false">A94</f>
        <v>Payment</v>
      </c>
      <c r="B104" s="966"/>
      <c r="C104" s="966"/>
      <c r="D104" s="966"/>
      <c r="E104" s="966"/>
      <c r="F104" s="966"/>
      <c r="G104" s="966"/>
      <c r="H104" s="966"/>
      <c r="I104" s="966"/>
      <c r="J104" s="966"/>
      <c r="K104" s="966"/>
      <c r="L104" s="966"/>
      <c r="M104" s="966"/>
      <c r="N104" s="966"/>
      <c r="O104" s="966"/>
      <c r="P104" s="966"/>
      <c r="Q104" s="966"/>
      <c r="R104" s="966"/>
      <c r="S104" s="966"/>
      <c r="T104" s="966"/>
      <c r="U104" s="966"/>
      <c r="V104" s="966"/>
      <c r="W104" s="966"/>
      <c r="X104" s="968"/>
      <c r="Y104" s="968"/>
      <c r="Z104" s="968"/>
      <c r="AA104" s="968"/>
      <c r="AB104" s="968"/>
      <c r="AC104" s="968"/>
      <c r="AD104" s="968"/>
      <c r="AE104" s="968"/>
      <c r="AF104" s="968"/>
      <c r="AG104" s="968"/>
      <c r="AH104" s="968"/>
      <c r="AI104" s="968" t="n">
        <f aca="false">IF(AI103&lt;=1,0,-PMT('Sources &amp; Uses'!$D$6/12,'Sources &amp; Uses'!$C$6*12,SUM($X$108,0)))</f>
        <v>0</v>
      </c>
      <c r="AJ104" s="968" t="n">
        <f aca="false">IF(AJ103&lt;=1,0,-PMT('Sources &amp; Uses'!$D$6/12,'Sources &amp; Uses'!$C$6*12,SUM($X$108,0)))</f>
        <v>0</v>
      </c>
      <c r="AK104" s="968" t="n">
        <f aca="false">IF(AK103&lt;=1,0,-PMT('Sources &amp; Uses'!$D$6/12,'Sources &amp; Uses'!$C$6*12,SUM($X$108,0)))</f>
        <v>0</v>
      </c>
    </row>
    <row r="105" s="939" customFormat="true" ht="10.5" hidden="true" customHeight="true" outlineLevel="1" collapsed="false">
      <c r="A105" s="966" t="str">
        <f aca="false">A95</f>
        <v>Interest</v>
      </c>
      <c r="B105" s="966"/>
      <c r="C105" s="966"/>
      <c r="D105" s="966"/>
      <c r="E105" s="966"/>
      <c r="F105" s="966"/>
      <c r="G105" s="966"/>
      <c r="H105" s="966"/>
      <c r="I105" s="966"/>
      <c r="J105" s="966"/>
      <c r="K105" s="966"/>
      <c r="L105" s="966"/>
      <c r="M105" s="966"/>
      <c r="N105" s="966"/>
      <c r="O105" s="966"/>
      <c r="P105" s="966"/>
      <c r="Q105" s="966"/>
      <c r="R105" s="966"/>
      <c r="S105" s="966"/>
      <c r="T105" s="966"/>
      <c r="U105" s="966"/>
      <c r="V105" s="966"/>
      <c r="W105" s="966"/>
      <c r="X105" s="968" t="n">
        <f aca="false">X103*'Sources &amp; Uses'!$D$6/12</f>
        <v>0</v>
      </c>
      <c r="Y105" s="968" t="n">
        <f aca="false">Y103*'Sources &amp; Uses'!$D$6/12</f>
        <v>0</v>
      </c>
      <c r="Z105" s="968" t="n">
        <f aca="false">Z103*'Sources &amp; Uses'!$D$6/12</f>
        <v>0</v>
      </c>
      <c r="AA105" s="968" t="n">
        <f aca="false">AA103*'Sources &amp; Uses'!$D$6/12</f>
        <v>0</v>
      </c>
      <c r="AB105" s="968" t="n">
        <f aca="false">AB103*'Sources &amp; Uses'!$D$6/12</f>
        <v>0</v>
      </c>
      <c r="AC105" s="968" t="n">
        <f aca="false">AC103*'Sources &amp; Uses'!$D$6/12</f>
        <v>0</v>
      </c>
      <c r="AD105" s="968" t="n">
        <f aca="false">AD103*'Sources &amp; Uses'!$D$6/12</f>
        <v>0</v>
      </c>
      <c r="AE105" s="968" t="n">
        <f aca="false">AE103*'Sources &amp; Uses'!$D$6/12</f>
        <v>0</v>
      </c>
      <c r="AF105" s="968" t="n">
        <f aca="false">AF103*'Sources &amp; Uses'!$D$6/12</f>
        <v>0</v>
      </c>
      <c r="AG105" s="968" t="n">
        <f aca="false">AG103*'Sources &amp; Uses'!$D$6/12</f>
        <v>0</v>
      </c>
      <c r="AH105" s="968" t="n">
        <f aca="false">AH103*'Sources &amp; Uses'!$D$6/12</f>
        <v>0</v>
      </c>
      <c r="AI105" s="968" t="n">
        <f aca="false">AI103*'Sources &amp; Uses'!$D$6/12</f>
        <v>0</v>
      </c>
      <c r="AJ105" s="968" t="n">
        <f aca="false">AJ103*'Sources &amp; Uses'!$D$6/12</f>
        <v>0</v>
      </c>
      <c r="AK105" s="968" t="n">
        <f aca="false">AK103*'Sources &amp; Uses'!$D$6/12</f>
        <v>0</v>
      </c>
    </row>
    <row r="106" s="939" customFormat="true" ht="10.5" hidden="true" customHeight="true" outlineLevel="1" collapsed="false">
      <c r="A106" s="966" t="str">
        <f aca="false">A96</f>
        <v>Principal</v>
      </c>
      <c r="B106" s="966"/>
      <c r="C106" s="966"/>
      <c r="D106" s="966"/>
      <c r="E106" s="966"/>
      <c r="F106" s="966"/>
      <c r="G106" s="966"/>
      <c r="H106" s="966"/>
      <c r="I106" s="966"/>
      <c r="J106" s="966"/>
      <c r="K106" s="966"/>
      <c r="L106" s="966"/>
      <c r="M106" s="966"/>
      <c r="N106" s="966"/>
      <c r="O106" s="966"/>
      <c r="P106" s="966"/>
      <c r="Q106" s="966"/>
      <c r="R106" s="966"/>
      <c r="S106" s="966"/>
      <c r="T106" s="966"/>
      <c r="U106" s="966"/>
      <c r="V106" s="966"/>
      <c r="W106" s="966"/>
      <c r="X106" s="968" t="n">
        <f aca="false">X104-X105</f>
        <v>0</v>
      </c>
      <c r="Y106" s="968" t="n">
        <f aca="false">Y104-Y105</f>
        <v>0</v>
      </c>
      <c r="Z106" s="968" t="n">
        <f aca="false">Z104-Z105</f>
        <v>0</v>
      </c>
      <c r="AA106" s="968" t="n">
        <f aca="false">AA104-AA105</f>
        <v>0</v>
      </c>
      <c r="AB106" s="968" t="n">
        <f aca="false">AB104-AB105</f>
        <v>0</v>
      </c>
      <c r="AC106" s="968" t="n">
        <f aca="false">AC104-AC105</f>
        <v>0</v>
      </c>
      <c r="AD106" s="968" t="n">
        <f aca="false">AD104-AD105</f>
        <v>0</v>
      </c>
      <c r="AE106" s="968" t="n">
        <f aca="false">AE104-AE105</f>
        <v>0</v>
      </c>
      <c r="AF106" s="968" t="n">
        <f aca="false">AF104-AF105</f>
        <v>0</v>
      </c>
      <c r="AG106" s="968" t="n">
        <f aca="false">AG104-AG105</f>
        <v>0</v>
      </c>
      <c r="AH106" s="968" t="n">
        <f aca="false">AH104-AH105</f>
        <v>0</v>
      </c>
      <c r="AI106" s="968" t="n">
        <f aca="false">AI104-AI105</f>
        <v>0</v>
      </c>
      <c r="AJ106" s="968" t="n">
        <f aca="false">AJ104-AJ105</f>
        <v>0</v>
      </c>
      <c r="AK106" s="968" t="n">
        <f aca="false">AK104-AK105</f>
        <v>0</v>
      </c>
    </row>
    <row r="107" s="939" customFormat="true" ht="10.5" hidden="true" customHeight="true" outlineLevel="1" collapsed="false">
      <c r="A107" s="966" t="str">
        <f aca="false">A97</f>
        <v>Ending Balance</v>
      </c>
      <c r="B107" s="966"/>
      <c r="C107" s="966"/>
      <c r="D107" s="966"/>
      <c r="E107" s="966"/>
      <c r="F107" s="966"/>
      <c r="G107" s="966"/>
      <c r="H107" s="966"/>
      <c r="I107" s="966"/>
      <c r="J107" s="966"/>
      <c r="K107" s="966"/>
      <c r="L107" s="966"/>
      <c r="M107" s="966"/>
      <c r="N107" s="966"/>
      <c r="O107" s="966"/>
      <c r="P107" s="966"/>
      <c r="Q107" s="966"/>
      <c r="R107" s="966"/>
      <c r="S107" s="966"/>
      <c r="T107" s="966"/>
      <c r="U107" s="966"/>
      <c r="V107" s="966"/>
      <c r="W107" s="966"/>
      <c r="X107" s="968" t="n">
        <f aca="false">X103-X106</f>
        <v>0</v>
      </c>
      <c r="Y107" s="968" t="n">
        <f aca="false">Y103-Y106</f>
        <v>0</v>
      </c>
      <c r="Z107" s="968" t="n">
        <f aca="false">Z103-Z106</f>
        <v>0</v>
      </c>
      <c r="AA107" s="968" t="n">
        <f aca="false">AA103-AA106</f>
        <v>0</v>
      </c>
      <c r="AB107" s="968" t="n">
        <f aca="false">AB103-AB106</f>
        <v>0</v>
      </c>
      <c r="AC107" s="968" t="n">
        <f aca="false">AC103-AC106</f>
        <v>0</v>
      </c>
      <c r="AD107" s="968" t="n">
        <f aca="false">AD103-AD106</f>
        <v>0</v>
      </c>
      <c r="AE107" s="968" t="n">
        <f aca="false">AE103-AE106</f>
        <v>0</v>
      </c>
      <c r="AF107" s="968" t="n">
        <f aca="false">AF103-AF106</f>
        <v>0</v>
      </c>
      <c r="AG107" s="968" t="n">
        <f aca="false">AG103-AG106</f>
        <v>0</v>
      </c>
      <c r="AH107" s="968" t="n">
        <f aca="false">AH103-AH106</f>
        <v>0</v>
      </c>
      <c r="AI107" s="968" t="n">
        <f aca="false">AI103-AI106</f>
        <v>0</v>
      </c>
      <c r="AJ107" s="968" t="n">
        <f aca="false">AJ103-AJ106</f>
        <v>0</v>
      </c>
      <c r="AK107" s="968" t="n">
        <f aca="false">AK103-AK106</f>
        <v>0</v>
      </c>
    </row>
    <row r="108" s="939" customFormat="true" ht="10.5" hidden="true" customHeight="true" outlineLevel="1" collapsed="false">
      <c r="A108" s="966" t="str">
        <f aca="false">A98</f>
        <v>Loan Amount</v>
      </c>
      <c r="B108" s="94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t="n">
        <f aca="false">X101</f>
        <v>0</v>
      </c>
      <c r="Y108" s="968"/>
      <c r="Z108" s="968"/>
      <c r="AA108" s="968"/>
      <c r="AB108" s="968"/>
      <c r="AC108" s="968"/>
      <c r="AD108" s="968"/>
      <c r="AE108" s="968"/>
      <c r="AF108" s="968"/>
      <c r="AG108" s="968"/>
      <c r="AH108" s="968"/>
      <c r="AI108" s="968"/>
      <c r="AJ108" s="968"/>
      <c r="AK108" s="968"/>
    </row>
    <row r="109" s="939" customFormat="true" ht="10.5" hidden="true" customHeight="true" outlineLevel="1" collapsed="false">
      <c r="A109" s="966"/>
      <c r="B109" s="968"/>
      <c r="C109" s="968"/>
      <c r="D109" s="968"/>
      <c r="E109" s="968"/>
      <c r="F109" s="968"/>
      <c r="G109" s="968"/>
      <c r="H109" s="968"/>
      <c r="I109" s="968"/>
      <c r="J109" s="968"/>
      <c r="K109" s="968"/>
      <c r="L109" s="968"/>
      <c r="M109" s="968"/>
      <c r="N109" s="968"/>
      <c r="O109" s="968"/>
      <c r="P109" s="968"/>
      <c r="Q109" s="968"/>
      <c r="R109" s="968"/>
      <c r="S109" s="968"/>
      <c r="T109" s="968"/>
      <c r="U109" s="968"/>
      <c r="V109" s="968"/>
      <c r="W109" s="968"/>
      <c r="X109" s="968"/>
      <c r="Y109" s="968"/>
      <c r="Z109" s="968"/>
      <c r="AA109" s="968"/>
      <c r="AB109" s="968"/>
      <c r="AC109" s="968"/>
      <c r="AD109" s="968"/>
      <c r="AE109" s="968"/>
      <c r="AF109" s="968"/>
      <c r="AG109" s="968"/>
      <c r="AH109" s="968"/>
      <c r="AI109" s="968"/>
      <c r="AJ109" s="968"/>
      <c r="AK109" s="968"/>
    </row>
    <row r="110" s="946" customFormat="true" ht="10.5" hidden="true" customHeight="true" outlineLevel="1" collapsed="false">
      <c r="A110" s="967" t="n">
        <f aca="false">'Sources &amp; Uses'!A7</f>
        <v>0</v>
      </c>
      <c r="B110" s="969" t="s">
        <v>1476</v>
      </c>
      <c r="C110" s="969" t="s">
        <v>1477</v>
      </c>
      <c r="D110" s="969" t="s">
        <v>1478</v>
      </c>
      <c r="E110" s="969" t="s">
        <v>1479</v>
      </c>
      <c r="F110" s="969" t="s">
        <v>1480</v>
      </c>
      <c r="G110" s="969" t="s">
        <v>1481</v>
      </c>
      <c r="H110" s="969" t="s">
        <v>1482</v>
      </c>
      <c r="I110" s="969" t="s">
        <v>1483</v>
      </c>
      <c r="J110" s="969" t="s">
        <v>1484</v>
      </c>
      <c r="K110" s="969" t="s">
        <v>1485</v>
      </c>
      <c r="L110" s="969" t="s">
        <v>1486</v>
      </c>
      <c r="M110" s="969" t="s">
        <v>1487</v>
      </c>
      <c r="N110" s="969" t="s">
        <v>1622</v>
      </c>
      <c r="O110" s="969" t="s">
        <v>1623</v>
      </c>
      <c r="P110" s="969" t="s">
        <v>1624</v>
      </c>
      <c r="Q110" s="969" t="s">
        <v>1625</v>
      </c>
      <c r="R110" s="969" t="s">
        <v>1626</v>
      </c>
      <c r="S110" s="969" t="s">
        <v>1627</v>
      </c>
      <c r="T110" s="969" t="s">
        <v>1628</v>
      </c>
      <c r="U110" s="969" t="s">
        <v>1629</v>
      </c>
      <c r="V110" s="969" t="s">
        <v>1630</v>
      </c>
      <c r="W110" s="969" t="s">
        <v>1631</v>
      </c>
      <c r="X110" s="969" t="s">
        <v>1632</v>
      </c>
      <c r="Y110" s="969" t="s">
        <v>1633</v>
      </c>
      <c r="Z110" s="969" t="s">
        <v>1634</v>
      </c>
      <c r="AA110" s="969" t="s">
        <v>1635</v>
      </c>
      <c r="AB110" s="969" t="s">
        <v>1636</v>
      </c>
      <c r="AC110" s="969" t="s">
        <v>1637</v>
      </c>
      <c r="AD110" s="969" t="s">
        <v>1638</v>
      </c>
      <c r="AE110" s="969" t="s">
        <v>1639</v>
      </c>
      <c r="AF110" s="969" t="s">
        <v>1640</v>
      </c>
      <c r="AG110" s="969" t="s">
        <v>1641</v>
      </c>
      <c r="AH110" s="969" t="s">
        <v>1642</v>
      </c>
      <c r="AI110" s="969" t="s">
        <v>1643</v>
      </c>
      <c r="AJ110" s="969" t="s">
        <v>1644</v>
      </c>
      <c r="AK110" s="969" t="s">
        <v>1645</v>
      </c>
    </row>
    <row r="111" s="939" customFormat="true" ht="10.5" hidden="true" customHeight="true" outlineLevel="1" collapsed="false">
      <c r="A111" s="966" t="str">
        <f aca="false">A101</f>
        <v>Starting Balance</v>
      </c>
      <c r="B111" s="966"/>
      <c r="C111" s="966"/>
      <c r="D111" s="966"/>
      <c r="E111" s="966"/>
      <c r="F111" s="966"/>
      <c r="G111" s="968" t="n">
        <f aca="false">'Sources &amp; Uses'!B7</f>
        <v>0</v>
      </c>
      <c r="H111" s="968" t="n">
        <v>0</v>
      </c>
      <c r="I111" s="968" t="n">
        <v>0</v>
      </c>
      <c r="J111" s="968" t="n">
        <v>0</v>
      </c>
      <c r="K111" s="968" t="n">
        <v>0</v>
      </c>
      <c r="L111" s="968" t="n">
        <v>0</v>
      </c>
      <c r="M111" s="968" t="n">
        <v>0</v>
      </c>
      <c r="N111" s="968" t="n">
        <v>0</v>
      </c>
      <c r="O111" s="968" t="n">
        <v>0</v>
      </c>
      <c r="P111" s="968" t="n">
        <v>0</v>
      </c>
      <c r="Q111" s="968" t="n">
        <v>0</v>
      </c>
      <c r="R111" s="968" t="n">
        <v>0</v>
      </c>
      <c r="S111" s="968" t="n">
        <v>0</v>
      </c>
      <c r="T111" s="968" t="n">
        <f aca="false">IF(S117&lt;=1,0,S117)</f>
        <v>0</v>
      </c>
      <c r="U111" s="968" t="n">
        <f aca="false">IF(T117&lt;=1,0,T117)</f>
        <v>0</v>
      </c>
      <c r="V111" s="968" t="n">
        <f aca="false">IF(U117&lt;=1,0,U117)</f>
        <v>0</v>
      </c>
      <c r="W111" s="968" t="n">
        <f aca="false">IF(V117&lt;=1,0,V117)</f>
        <v>0</v>
      </c>
      <c r="X111" s="968" t="n">
        <f aca="false">IF(W117&lt;=1,0,W117)</f>
        <v>0</v>
      </c>
      <c r="Y111" s="968" t="n">
        <f aca="false">IF(X117&lt;=1,0,X117)</f>
        <v>0</v>
      </c>
      <c r="Z111" s="968" t="n">
        <f aca="false">IF(Y117&lt;=1,0,Y117)</f>
        <v>0</v>
      </c>
      <c r="AA111" s="968" t="n">
        <f aca="false">IF(Z117&lt;=1,0,Z117)</f>
        <v>0</v>
      </c>
      <c r="AB111" s="968" t="n">
        <f aca="false">IF(AA117&lt;=1,0,AA117)</f>
        <v>0</v>
      </c>
      <c r="AC111" s="968" t="n">
        <f aca="false">IF(AB117&lt;=1,0,AB117)</f>
        <v>0</v>
      </c>
      <c r="AD111" s="968" t="n">
        <f aca="false">IF(AC117&lt;=1,0,AC117)</f>
        <v>0</v>
      </c>
      <c r="AE111" s="968" t="n">
        <f aca="false">IF(AD117&lt;=1,0,AD117)</f>
        <v>0</v>
      </c>
      <c r="AF111" s="968" t="n">
        <f aca="false">IF(AE117&lt;=1,0,AE117)</f>
        <v>0</v>
      </c>
      <c r="AG111" s="968" t="n">
        <f aca="false">IF(AF117&lt;=1,0,AF117)</f>
        <v>0</v>
      </c>
      <c r="AH111" s="968" t="n">
        <f aca="false">IF(AG117&lt;=1,0,AG117)</f>
        <v>0</v>
      </c>
      <c r="AI111" s="968" t="n">
        <f aca="false">IF(AH117&lt;=1,0,AH117)</f>
        <v>0</v>
      </c>
      <c r="AJ111" s="968" t="n">
        <f aca="false">IF(AI117&lt;=1,0,AI117)</f>
        <v>0</v>
      </c>
      <c r="AK111" s="968" t="n">
        <f aca="false">IF(AJ117&lt;=1,0,AJ117)</f>
        <v>0</v>
      </c>
    </row>
    <row r="112" s="939" customFormat="true" ht="10.5" hidden="true" customHeight="true" outlineLevel="1" collapsed="false">
      <c r="A112" s="966" t="str">
        <f aca="false">A102</f>
        <v>Loan Payoff</v>
      </c>
      <c r="B112" s="966"/>
      <c r="C112" s="966"/>
      <c r="D112" s="966"/>
      <c r="E112" s="966"/>
      <c r="F112" s="966"/>
      <c r="G112" s="968"/>
      <c r="H112" s="968"/>
      <c r="I112" s="968"/>
      <c r="J112" s="968"/>
      <c r="K112" s="968"/>
      <c r="L112" s="968"/>
      <c r="M112" s="968"/>
      <c r="N112" s="968"/>
      <c r="O112" s="968"/>
      <c r="P112" s="968"/>
      <c r="Q112" s="968"/>
      <c r="R112" s="968"/>
      <c r="S112" s="968"/>
      <c r="T112" s="968"/>
      <c r="U112" s="968"/>
      <c r="V112" s="968"/>
      <c r="W112" s="968"/>
      <c r="X112" s="968"/>
      <c r="Y112" s="968"/>
      <c r="Z112" s="968"/>
      <c r="AA112" s="968"/>
      <c r="AB112" s="968"/>
      <c r="AC112" s="968"/>
      <c r="AD112" s="968"/>
      <c r="AE112" s="968"/>
      <c r="AF112" s="968"/>
      <c r="AG112" s="968"/>
      <c r="AH112" s="968"/>
      <c r="AI112" s="968"/>
      <c r="AJ112" s="968"/>
      <c r="AK112" s="968"/>
    </row>
    <row r="113" s="939" customFormat="true" ht="10.5" hidden="true" customHeight="true" outlineLevel="1" collapsed="false">
      <c r="A113" s="966" t="str">
        <f aca="false">A103</f>
        <v>New Starting Balance</v>
      </c>
      <c r="B113" s="966"/>
      <c r="C113" s="966"/>
      <c r="D113" s="966"/>
      <c r="E113" s="966"/>
      <c r="F113" s="966"/>
      <c r="G113" s="968" t="n">
        <f aca="false">G111-G112</f>
        <v>0</v>
      </c>
      <c r="H113" s="968" t="n">
        <f aca="false">H111-H112</f>
        <v>0</v>
      </c>
      <c r="I113" s="968" t="n">
        <f aca="false">I111-I112</f>
        <v>0</v>
      </c>
      <c r="J113" s="968" t="n">
        <f aca="false">J111-J112</f>
        <v>0</v>
      </c>
      <c r="K113" s="968" t="n">
        <f aca="false">K111-K112</f>
        <v>0</v>
      </c>
      <c r="L113" s="968" t="n">
        <f aca="false">L111-L112</f>
        <v>0</v>
      </c>
      <c r="M113" s="968" t="n">
        <f aca="false">M111-M112</f>
        <v>0</v>
      </c>
      <c r="N113" s="968" t="n">
        <f aca="false">N111-N112</f>
        <v>0</v>
      </c>
      <c r="O113" s="968" t="n">
        <f aca="false">O111-O112</f>
        <v>0</v>
      </c>
      <c r="P113" s="968" t="n">
        <f aca="false">P111-P112</f>
        <v>0</v>
      </c>
      <c r="Q113" s="968" t="n">
        <f aca="false">Q111-Q112</f>
        <v>0</v>
      </c>
      <c r="R113" s="968" t="n">
        <f aca="false">R111-R112</f>
        <v>0</v>
      </c>
      <c r="S113" s="968" t="n">
        <f aca="false">S111-S112</f>
        <v>0</v>
      </c>
      <c r="T113" s="968" t="n">
        <f aca="false">T111-T112</f>
        <v>0</v>
      </c>
      <c r="U113" s="968" t="n">
        <f aca="false">U111-U112</f>
        <v>0</v>
      </c>
      <c r="V113" s="968" t="n">
        <f aca="false">V111-V112</f>
        <v>0</v>
      </c>
      <c r="W113" s="968" t="n">
        <f aca="false">W111-W112</f>
        <v>0</v>
      </c>
      <c r="X113" s="968" t="n">
        <f aca="false">X111-X112</f>
        <v>0</v>
      </c>
      <c r="Y113" s="968" t="n">
        <f aca="false">Y111-Y112</f>
        <v>0</v>
      </c>
      <c r="Z113" s="968" t="n">
        <f aca="false">Z111-Z112</f>
        <v>0</v>
      </c>
      <c r="AA113" s="968" t="n">
        <f aca="false">AA111-AA112</f>
        <v>0</v>
      </c>
      <c r="AB113" s="968" t="n">
        <f aca="false">AB111-AB112</f>
        <v>0</v>
      </c>
      <c r="AC113" s="968" t="n">
        <f aca="false">AC111-AC112</f>
        <v>0</v>
      </c>
      <c r="AD113" s="968" t="n">
        <f aca="false">AD111-AD112</f>
        <v>0</v>
      </c>
      <c r="AE113" s="968" t="n">
        <f aca="false">AE111-AE112</f>
        <v>0</v>
      </c>
      <c r="AF113" s="968" t="n">
        <f aca="false">AF111-AF112</f>
        <v>0</v>
      </c>
      <c r="AG113" s="968" t="n">
        <f aca="false">AG111-AG112</f>
        <v>0</v>
      </c>
      <c r="AH113" s="968" t="n">
        <f aca="false">AH111-AH112</f>
        <v>0</v>
      </c>
      <c r="AI113" s="968" t="n">
        <f aca="false">AI111-AI112</f>
        <v>0</v>
      </c>
      <c r="AJ113" s="968" t="n">
        <f aca="false">AJ111-AJ112</f>
        <v>0</v>
      </c>
      <c r="AK113" s="968" t="n">
        <f aca="false">AK111-AK112</f>
        <v>0</v>
      </c>
    </row>
    <row r="114" s="939" customFormat="true" ht="10.5" hidden="true" customHeight="true" outlineLevel="1" collapsed="false">
      <c r="A114" s="966" t="str">
        <f aca="false">A104</f>
        <v>Payment</v>
      </c>
      <c r="B114" s="966"/>
      <c r="C114" s="966"/>
      <c r="D114" s="966"/>
      <c r="E114" s="966"/>
      <c r="F114" s="966"/>
      <c r="G114" s="968"/>
      <c r="H114" s="968"/>
      <c r="I114" s="968"/>
      <c r="J114" s="968"/>
      <c r="K114" s="968"/>
      <c r="L114" s="968"/>
      <c r="M114" s="968"/>
      <c r="N114" s="968"/>
      <c r="O114" s="968"/>
      <c r="P114" s="968"/>
      <c r="Q114" s="968"/>
      <c r="R114" s="968"/>
      <c r="S114" s="968" t="n">
        <v>0</v>
      </c>
      <c r="T114" s="968" t="n">
        <f aca="false">IF(T113&lt;=1,0,-PMT('Sources &amp; Uses'!$D$6/12,'Sources &amp; Uses'!$C$6*12,SUM($X$108,0)))</f>
        <v>0</v>
      </c>
      <c r="U114" s="968" t="n">
        <f aca="false">IF(U113&lt;=1,0,-PMT('Sources &amp; Uses'!$D$6/12,'Sources &amp; Uses'!$C$6*12,SUM($X$108,0)))</f>
        <v>0</v>
      </c>
      <c r="V114" s="968" t="n">
        <f aca="false">IF(V113&lt;=1,0,-PMT('Sources &amp; Uses'!$D$6/12,'Sources &amp; Uses'!$C$6*12,SUM($X$108,0)))</f>
        <v>0</v>
      </c>
      <c r="W114" s="968" t="n">
        <f aca="false">IF(W113&lt;=1,0,-PMT('Sources &amp; Uses'!$D$6/12,'Sources &amp; Uses'!$C$6*12,SUM($X$108,0)))</f>
        <v>0</v>
      </c>
      <c r="X114" s="968" t="n">
        <f aca="false">IF(X113&lt;=1,0,-PMT('Sources &amp; Uses'!$D$6/12,'Sources &amp; Uses'!$C$6*12,SUM($X$108,0)))</f>
        <v>0</v>
      </c>
      <c r="Y114" s="968" t="n">
        <f aca="false">IF(Y113&lt;=1,0,-PMT('Sources &amp; Uses'!$D$6/12,'Sources &amp; Uses'!$C$6*12,SUM($X$108,0)))</f>
        <v>0</v>
      </c>
      <c r="Z114" s="968" t="n">
        <f aca="false">IF(Z113&lt;=1,0,-PMT('Sources &amp; Uses'!$D$6/12,'Sources &amp; Uses'!$C$6*12,SUM($X$108,0)))</f>
        <v>0</v>
      </c>
      <c r="AA114" s="968" t="n">
        <f aca="false">IF(AA113&lt;=1,0,-PMT('Sources &amp; Uses'!$D$6/12,'Sources &amp; Uses'!$C$6*12,SUM($X$108,0)))</f>
        <v>0</v>
      </c>
      <c r="AB114" s="968" t="n">
        <f aca="false">IF(AB113&lt;=1,0,-PMT('Sources &amp; Uses'!$D$6/12,'Sources &amp; Uses'!$C$6*12,SUM($X$108,0)))</f>
        <v>0</v>
      </c>
      <c r="AC114" s="968" t="n">
        <f aca="false">IF(AC113&lt;=1,0,-PMT('Sources &amp; Uses'!$D$6/12,'Sources &amp; Uses'!$C$6*12,SUM($X$108,0)))</f>
        <v>0</v>
      </c>
      <c r="AD114" s="968" t="n">
        <f aca="false">IF(AD113&lt;=1,0,-PMT('Sources &amp; Uses'!$D$6/12,'Sources &amp; Uses'!$C$6*12,SUM($X$108,0)))</f>
        <v>0</v>
      </c>
      <c r="AE114" s="968" t="n">
        <f aca="false">IF(AE113&lt;=1,0,-PMT('Sources &amp; Uses'!$D$6/12,'Sources &amp; Uses'!$C$6*12,SUM($X$108,0)))</f>
        <v>0</v>
      </c>
      <c r="AF114" s="968" t="n">
        <f aca="false">IF(AF113&lt;=1,0,-PMT('Sources &amp; Uses'!$D$6/12,'Sources &amp; Uses'!$C$6*12,SUM($X$108,0)))</f>
        <v>0</v>
      </c>
      <c r="AG114" s="968" t="n">
        <f aca="false">IF(AG113&lt;=1,0,-PMT('Sources &amp; Uses'!$D$6/12,'Sources &amp; Uses'!$C$6*12,SUM($X$108,0)))</f>
        <v>0</v>
      </c>
      <c r="AH114" s="968" t="n">
        <f aca="false">IF(AH113&lt;=1,0,-PMT('Sources &amp; Uses'!$D$6/12,'Sources &amp; Uses'!$C$6*12,SUM($X$108,0)))</f>
        <v>0</v>
      </c>
      <c r="AI114" s="968" t="n">
        <f aca="false">IF(AI113&lt;=1,0,-PMT('Sources &amp; Uses'!$D$6/12,'Sources &amp; Uses'!$C$6*12,SUM($X$108,0)))</f>
        <v>0</v>
      </c>
      <c r="AJ114" s="968" t="n">
        <f aca="false">IF(AJ113&lt;=1,0,-PMT('Sources &amp; Uses'!$D$6/12,'Sources &amp; Uses'!$C$6*12,SUM($X$108,0)))</f>
        <v>0</v>
      </c>
      <c r="AK114" s="968" t="n">
        <f aca="false">IF(AK113&lt;=1,0,-PMT('Sources &amp; Uses'!$D$6/12,'Sources &amp; Uses'!$C$6*12,SUM($X$108,0)))</f>
        <v>0</v>
      </c>
    </row>
    <row r="115" s="939" customFormat="true" ht="10.5" hidden="true" customHeight="true" outlineLevel="1" collapsed="false">
      <c r="A115" s="966" t="str">
        <f aca="false">A105</f>
        <v>Interest</v>
      </c>
      <c r="B115" s="966"/>
      <c r="C115" s="966"/>
      <c r="D115" s="966"/>
      <c r="E115" s="966"/>
      <c r="F115" s="966"/>
      <c r="G115" s="968" t="n">
        <f aca="false">G113*'Sources &amp; Uses'!$D$6/12</f>
        <v>0</v>
      </c>
      <c r="H115" s="968" t="n">
        <f aca="false">H113*'Sources &amp; Uses'!$D$6/12</f>
        <v>0</v>
      </c>
      <c r="I115" s="968" t="n">
        <f aca="false">I113*'Sources &amp; Uses'!$D$6/12</f>
        <v>0</v>
      </c>
      <c r="J115" s="968" t="n">
        <f aca="false">J113*'Sources &amp; Uses'!$D$6/12</f>
        <v>0</v>
      </c>
      <c r="K115" s="968" t="n">
        <f aca="false">K113*'Sources &amp; Uses'!$D$6/12</f>
        <v>0</v>
      </c>
      <c r="L115" s="968" t="n">
        <f aca="false">L113*'Sources &amp; Uses'!$D$6/12</f>
        <v>0</v>
      </c>
      <c r="M115" s="968" t="n">
        <f aca="false">M113*'Sources &amp; Uses'!$D$6/12</f>
        <v>0</v>
      </c>
      <c r="N115" s="968" t="n">
        <f aca="false">N113*'Sources &amp; Uses'!$D$6/12</f>
        <v>0</v>
      </c>
      <c r="O115" s="968" t="n">
        <f aca="false">O113*'Sources &amp; Uses'!$D$6/12</f>
        <v>0</v>
      </c>
      <c r="P115" s="968" t="n">
        <f aca="false">P113*'Sources &amp; Uses'!$D$6/12</f>
        <v>0</v>
      </c>
      <c r="Q115" s="968" t="n">
        <f aca="false">Q113*'Sources &amp; Uses'!$D$6/12</f>
        <v>0</v>
      </c>
      <c r="R115" s="968" t="n">
        <f aca="false">R113*'Sources &amp; Uses'!$D$6/12</f>
        <v>0</v>
      </c>
      <c r="S115" s="968" t="n">
        <f aca="false">S113*'Sources &amp; Uses'!$D$6/12</f>
        <v>0</v>
      </c>
      <c r="T115" s="968" t="n">
        <f aca="false">T113*'Sources &amp; Uses'!$D$6/12</f>
        <v>0</v>
      </c>
      <c r="U115" s="968" t="n">
        <f aca="false">U113*'Sources &amp; Uses'!$D$6/12</f>
        <v>0</v>
      </c>
      <c r="V115" s="968" t="n">
        <f aca="false">V113*'Sources &amp; Uses'!$D$6/12</f>
        <v>0</v>
      </c>
      <c r="W115" s="968" t="n">
        <f aca="false">W113*'Sources &amp; Uses'!$D$6/12</f>
        <v>0</v>
      </c>
      <c r="X115" s="968" t="n">
        <f aca="false">X113*'Sources &amp; Uses'!$D$6/12</f>
        <v>0</v>
      </c>
      <c r="Y115" s="968" t="n">
        <f aca="false">Y113*'Sources &amp; Uses'!$D$6/12</f>
        <v>0</v>
      </c>
      <c r="Z115" s="968" t="n">
        <f aca="false">Z113*'Sources &amp; Uses'!$D$6/12</f>
        <v>0</v>
      </c>
      <c r="AA115" s="968" t="n">
        <f aca="false">AA113*'Sources &amp; Uses'!$D$6/12</f>
        <v>0</v>
      </c>
      <c r="AB115" s="968" t="n">
        <f aca="false">AB113*'Sources &amp; Uses'!$D$6/12</f>
        <v>0</v>
      </c>
      <c r="AC115" s="968" t="n">
        <f aca="false">AC113*'Sources &amp; Uses'!$D$6/12</f>
        <v>0</v>
      </c>
      <c r="AD115" s="968" t="n">
        <f aca="false">AD113*'Sources &amp; Uses'!$D$6/12</f>
        <v>0</v>
      </c>
      <c r="AE115" s="968" t="n">
        <f aca="false">AE113*'Sources &amp; Uses'!$D$6/12</f>
        <v>0</v>
      </c>
      <c r="AF115" s="968" t="n">
        <f aca="false">AF113*'Sources &amp; Uses'!$D$6/12</f>
        <v>0</v>
      </c>
      <c r="AG115" s="968" t="n">
        <f aca="false">AG113*'Sources &amp; Uses'!$D$6/12</f>
        <v>0</v>
      </c>
      <c r="AH115" s="968" t="n">
        <f aca="false">AH113*'Sources &amp; Uses'!$D$6/12</f>
        <v>0</v>
      </c>
      <c r="AI115" s="968" t="n">
        <f aca="false">AI113*'Sources &amp; Uses'!$D$6/12</f>
        <v>0</v>
      </c>
      <c r="AJ115" s="968" t="n">
        <f aca="false">AJ113*'Sources &amp; Uses'!$D$6/12</f>
        <v>0</v>
      </c>
      <c r="AK115" s="968" t="n">
        <f aca="false">AK113*'Sources &amp; Uses'!$D$6/12</f>
        <v>0</v>
      </c>
    </row>
    <row r="116" s="939" customFormat="true" ht="10.5" hidden="true" customHeight="true" outlineLevel="1" collapsed="false">
      <c r="A116" s="966" t="str">
        <f aca="false">A106</f>
        <v>Principal</v>
      </c>
      <c r="B116" s="966"/>
      <c r="C116" s="966"/>
      <c r="D116" s="966"/>
      <c r="E116" s="966"/>
      <c r="F116" s="966"/>
      <c r="G116" s="968" t="n">
        <f aca="false">G114-G115</f>
        <v>0</v>
      </c>
      <c r="H116" s="968" t="n">
        <f aca="false">H114-H115</f>
        <v>0</v>
      </c>
      <c r="I116" s="968" t="n">
        <f aca="false">I114-I115</f>
        <v>0</v>
      </c>
      <c r="J116" s="968" t="n">
        <f aca="false">J114-J115</f>
        <v>0</v>
      </c>
      <c r="K116" s="968" t="n">
        <f aca="false">K114-K115</f>
        <v>0</v>
      </c>
      <c r="L116" s="968" t="n">
        <f aca="false">L114-L115</f>
        <v>0</v>
      </c>
      <c r="M116" s="968" t="n">
        <f aca="false">M114-M115</f>
        <v>0</v>
      </c>
      <c r="N116" s="968" t="n">
        <f aca="false">N114-N115</f>
        <v>0</v>
      </c>
      <c r="O116" s="968" t="n">
        <f aca="false">O114-O115</f>
        <v>0</v>
      </c>
      <c r="P116" s="968" t="n">
        <f aca="false">P114-P115</f>
        <v>0</v>
      </c>
      <c r="Q116" s="968" t="n">
        <f aca="false">Q114-Q115</f>
        <v>0</v>
      </c>
      <c r="R116" s="968" t="n">
        <f aca="false">R114-R115</f>
        <v>0</v>
      </c>
      <c r="S116" s="968" t="n">
        <f aca="false">S114-S115</f>
        <v>0</v>
      </c>
      <c r="T116" s="968" t="n">
        <f aca="false">T114-T115</f>
        <v>0</v>
      </c>
      <c r="U116" s="968" t="n">
        <f aca="false">U114-U115</f>
        <v>0</v>
      </c>
      <c r="V116" s="968" t="n">
        <f aca="false">V114-V115</f>
        <v>0</v>
      </c>
      <c r="W116" s="968" t="n">
        <f aca="false">W114-W115</f>
        <v>0</v>
      </c>
      <c r="X116" s="968" t="n">
        <f aca="false">X114-X115</f>
        <v>0</v>
      </c>
      <c r="Y116" s="968" t="n">
        <f aca="false">Y114-Y115</f>
        <v>0</v>
      </c>
      <c r="Z116" s="968" t="n">
        <f aca="false">Z114-Z115</f>
        <v>0</v>
      </c>
      <c r="AA116" s="968" t="n">
        <f aca="false">AA114-AA115</f>
        <v>0</v>
      </c>
      <c r="AB116" s="968" t="n">
        <f aca="false">AB114-AB115</f>
        <v>0</v>
      </c>
      <c r="AC116" s="968" t="n">
        <f aca="false">AC114-AC115</f>
        <v>0</v>
      </c>
      <c r="AD116" s="968" t="n">
        <f aca="false">AD114-AD115</f>
        <v>0</v>
      </c>
      <c r="AE116" s="968" t="n">
        <f aca="false">AE114-AE115</f>
        <v>0</v>
      </c>
      <c r="AF116" s="968" t="n">
        <f aca="false">AF114-AF115</f>
        <v>0</v>
      </c>
      <c r="AG116" s="968" t="n">
        <f aca="false">AG114-AG115</f>
        <v>0</v>
      </c>
      <c r="AH116" s="968" t="n">
        <f aca="false">AH114-AH115</f>
        <v>0</v>
      </c>
      <c r="AI116" s="968" t="n">
        <f aca="false">AI114-AI115</f>
        <v>0</v>
      </c>
      <c r="AJ116" s="968" t="n">
        <f aca="false">AJ114-AJ115</f>
        <v>0</v>
      </c>
      <c r="AK116" s="968" t="n">
        <f aca="false">AK114-AK115</f>
        <v>0</v>
      </c>
    </row>
    <row r="117" s="939" customFormat="true" ht="10.5" hidden="true" customHeight="true" outlineLevel="1" collapsed="false">
      <c r="A117" s="966" t="str">
        <f aca="false">A107</f>
        <v>Ending Balance</v>
      </c>
      <c r="B117" s="966"/>
      <c r="C117" s="966"/>
      <c r="D117" s="966"/>
      <c r="E117" s="966"/>
      <c r="F117" s="966"/>
      <c r="G117" s="968" t="n">
        <f aca="false">G113-G116</f>
        <v>0</v>
      </c>
      <c r="H117" s="968" t="n">
        <f aca="false">H113-H116</f>
        <v>0</v>
      </c>
      <c r="I117" s="968" t="n">
        <f aca="false">I113-I116</f>
        <v>0</v>
      </c>
      <c r="J117" s="968" t="n">
        <f aca="false">J113-J116</f>
        <v>0</v>
      </c>
      <c r="K117" s="968" t="n">
        <f aca="false">K113-K116</f>
        <v>0</v>
      </c>
      <c r="L117" s="968" t="n">
        <f aca="false">L113-L116</f>
        <v>0</v>
      </c>
      <c r="M117" s="968" t="n">
        <f aca="false">M113-M116</f>
        <v>0</v>
      </c>
      <c r="N117" s="968" t="n">
        <f aca="false">N113-N116</f>
        <v>0</v>
      </c>
      <c r="O117" s="968" t="n">
        <f aca="false">O113-O116</f>
        <v>0</v>
      </c>
      <c r="P117" s="968" t="n">
        <f aca="false">P113-P116</f>
        <v>0</v>
      </c>
      <c r="Q117" s="968" t="n">
        <f aca="false">Q113-Q116</f>
        <v>0</v>
      </c>
      <c r="R117" s="968" t="n">
        <f aca="false">R113-R116</f>
        <v>0</v>
      </c>
      <c r="S117" s="968" t="n">
        <f aca="false">S113-S116</f>
        <v>0</v>
      </c>
      <c r="T117" s="968" t="n">
        <f aca="false">T113-T116</f>
        <v>0</v>
      </c>
      <c r="U117" s="968" t="n">
        <f aca="false">U113-U116</f>
        <v>0</v>
      </c>
      <c r="V117" s="968" t="n">
        <f aca="false">V113-V116</f>
        <v>0</v>
      </c>
      <c r="W117" s="968" t="n">
        <f aca="false">W113-W116</f>
        <v>0</v>
      </c>
      <c r="X117" s="968" t="n">
        <f aca="false">X113-X116</f>
        <v>0</v>
      </c>
      <c r="Y117" s="968" t="n">
        <f aca="false">Y113-Y116</f>
        <v>0</v>
      </c>
      <c r="Z117" s="968" t="n">
        <f aca="false">Z113-Z116</f>
        <v>0</v>
      </c>
      <c r="AA117" s="968" t="n">
        <f aca="false">AA113-AA116</f>
        <v>0</v>
      </c>
      <c r="AB117" s="968" t="n">
        <f aca="false">AB113-AB116</f>
        <v>0</v>
      </c>
      <c r="AC117" s="968" t="n">
        <f aca="false">AC113-AC116</f>
        <v>0</v>
      </c>
      <c r="AD117" s="968" t="n">
        <f aca="false">AD113-AD116</f>
        <v>0</v>
      </c>
      <c r="AE117" s="968" t="n">
        <f aca="false">AE113-AE116</f>
        <v>0</v>
      </c>
      <c r="AF117" s="968" t="n">
        <f aca="false">AF113-AF116</f>
        <v>0</v>
      </c>
      <c r="AG117" s="968" t="n">
        <f aca="false">AG113-AG116</f>
        <v>0</v>
      </c>
      <c r="AH117" s="968" t="n">
        <f aca="false">AH113-AH116</f>
        <v>0</v>
      </c>
      <c r="AI117" s="968" t="n">
        <f aca="false">AI113-AI116</f>
        <v>0</v>
      </c>
      <c r="AJ117" s="968" t="n">
        <f aca="false">AJ113-AJ116</f>
        <v>0</v>
      </c>
      <c r="AK117" s="968" t="n">
        <f aca="false">AK113-AK116</f>
        <v>0</v>
      </c>
    </row>
    <row r="118" s="939" customFormat="true" ht="10.5" hidden="true" customHeight="true" outlineLevel="1" collapsed="false">
      <c r="A118" s="966" t="str">
        <f aca="false">A108</f>
        <v>Loan Amount</v>
      </c>
      <c r="B118" s="966"/>
      <c r="C118" s="966"/>
      <c r="D118" s="966"/>
      <c r="E118" s="966"/>
      <c r="F118" s="966"/>
      <c r="G118" s="968" t="n">
        <f aca="false">G111</f>
        <v>0</v>
      </c>
      <c r="H118" s="968"/>
      <c r="I118" s="968"/>
      <c r="J118" s="968"/>
      <c r="K118" s="968"/>
      <c r="L118" s="968"/>
      <c r="M118" s="968"/>
      <c r="N118" s="968"/>
      <c r="O118" s="968"/>
      <c r="P118" s="968"/>
      <c r="Q118" s="968"/>
      <c r="R118" s="968"/>
      <c r="S118" s="968"/>
      <c r="T118" s="968"/>
      <c r="U118" s="968"/>
      <c r="V118" s="968"/>
      <c r="W118" s="968"/>
      <c r="X118" s="968"/>
      <c r="Y118" s="968"/>
      <c r="Z118" s="968"/>
      <c r="AA118" s="968"/>
      <c r="AB118" s="968"/>
      <c r="AC118" s="968"/>
      <c r="AD118" s="968"/>
      <c r="AE118" s="968"/>
      <c r="AF118" s="968"/>
      <c r="AG118" s="968"/>
      <c r="AH118" s="968"/>
      <c r="AI118" s="968"/>
      <c r="AJ118" s="968"/>
      <c r="AK118" s="968"/>
    </row>
    <row r="119" customFormat="false" ht="12.75" hidden="false" customHeight="true" outlineLevel="0" collapsed="false"/>
    <row r="120" s="659" customFormat="true" ht="13.5" hidden="false" customHeight="true" outlineLevel="0" collapsed="false">
      <c r="A120" s="970" t="s">
        <v>1795</v>
      </c>
      <c r="B120" s="971" t="s">
        <v>1476</v>
      </c>
      <c r="C120" s="972" t="s">
        <v>1477</v>
      </c>
      <c r="D120" s="972" t="s">
        <v>1478</v>
      </c>
      <c r="E120" s="972" t="s">
        <v>1479</v>
      </c>
      <c r="F120" s="972" t="s">
        <v>1480</v>
      </c>
      <c r="G120" s="972" t="s">
        <v>1481</v>
      </c>
      <c r="H120" s="972" t="s">
        <v>1482</v>
      </c>
      <c r="I120" s="972" t="s">
        <v>1483</v>
      </c>
      <c r="J120" s="972" t="s">
        <v>1484</v>
      </c>
      <c r="K120" s="972" t="s">
        <v>1485</v>
      </c>
      <c r="L120" s="972" t="s">
        <v>1486</v>
      </c>
      <c r="M120" s="973" t="s">
        <v>1487</v>
      </c>
      <c r="N120" s="971" t="s">
        <v>1622</v>
      </c>
      <c r="O120" s="972" t="s">
        <v>1623</v>
      </c>
      <c r="P120" s="972" t="s">
        <v>1624</v>
      </c>
      <c r="Q120" s="972" t="s">
        <v>1625</v>
      </c>
      <c r="R120" s="972" t="s">
        <v>1626</v>
      </c>
      <c r="S120" s="972" t="s">
        <v>1627</v>
      </c>
      <c r="T120" s="972" t="s">
        <v>1628</v>
      </c>
      <c r="U120" s="972" t="s">
        <v>1629</v>
      </c>
      <c r="V120" s="972" t="s">
        <v>1630</v>
      </c>
      <c r="W120" s="972" t="s">
        <v>1631</v>
      </c>
      <c r="X120" s="972" t="s">
        <v>1632</v>
      </c>
      <c r="Y120" s="973" t="s">
        <v>1633</v>
      </c>
      <c r="Z120" s="971" t="s">
        <v>1634</v>
      </c>
      <c r="AA120" s="972" t="s">
        <v>1635</v>
      </c>
      <c r="AB120" s="972" t="s">
        <v>1636</v>
      </c>
      <c r="AC120" s="972" t="s">
        <v>1637</v>
      </c>
      <c r="AD120" s="972" t="s">
        <v>1638</v>
      </c>
      <c r="AE120" s="972" t="s">
        <v>1639</v>
      </c>
      <c r="AF120" s="972" t="s">
        <v>1640</v>
      </c>
      <c r="AG120" s="972" t="s">
        <v>1641</v>
      </c>
      <c r="AH120" s="972" t="s">
        <v>1642</v>
      </c>
      <c r="AI120" s="972" t="s">
        <v>1643</v>
      </c>
      <c r="AJ120" s="972" t="s">
        <v>1644</v>
      </c>
      <c r="AK120" s="973" t="s">
        <v>1645</v>
      </c>
      <c r="AL120" s="971" t="s">
        <v>1646</v>
      </c>
      <c r="AM120" s="972" t="s">
        <v>1647</v>
      </c>
      <c r="AN120" s="972" t="s">
        <v>1648</v>
      </c>
      <c r="AO120" s="972" t="s">
        <v>1649</v>
      </c>
      <c r="AP120" s="972" t="s">
        <v>1650</v>
      </c>
      <c r="AQ120" s="972" t="s">
        <v>1651</v>
      </c>
      <c r="AR120" s="972" t="s">
        <v>1652</v>
      </c>
      <c r="AS120" s="972" t="s">
        <v>1653</v>
      </c>
      <c r="AT120" s="972" t="s">
        <v>1654</v>
      </c>
      <c r="AU120" s="972" t="s">
        <v>1655</v>
      </c>
      <c r="AV120" s="972" t="s">
        <v>1656</v>
      </c>
      <c r="AW120" s="973" t="s">
        <v>1657</v>
      </c>
      <c r="AX120" s="971" t="s">
        <v>1658</v>
      </c>
      <c r="AY120" s="972" t="s">
        <v>1659</v>
      </c>
      <c r="AZ120" s="972" t="s">
        <v>1660</v>
      </c>
      <c r="BA120" s="972" t="s">
        <v>1661</v>
      </c>
      <c r="BB120" s="972" t="s">
        <v>1662</v>
      </c>
      <c r="BC120" s="972" t="s">
        <v>1663</v>
      </c>
      <c r="BD120" s="972" t="s">
        <v>1664</v>
      </c>
      <c r="BE120" s="972" t="s">
        <v>1665</v>
      </c>
      <c r="BF120" s="972" t="s">
        <v>1666</v>
      </c>
      <c r="BG120" s="972" t="s">
        <v>1667</v>
      </c>
      <c r="BH120" s="972" t="s">
        <v>1668</v>
      </c>
      <c r="BI120" s="973" t="s">
        <v>1669</v>
      </c>
      <c r="BK120" s="660"/>
      <c r="BL120" s="660"/>
      <c r="BM120" s="660"/>
      <c r="BN120" s="660"/>
    </row>
    <row r="121" s="659" customFormat="true" ht="12" hidden="false" customHeight="true" outlineLevel="0" collapsed="false">
      <c r="A121" s="529" t="s">
        <v>1796</v>
      </c>
      <c r="B121" s="974" t="n">
        <f aca="false">'P&amp;L'!B54</f>
        <v>-395805.9718</v>
      </c>
      <c r="C121" s="975" t="n">
        <f aca="false">'P&amp;L'!C54</f>
        <v>-808667.9436</v>
      </c>
      <c r="D121" s="975" t="n">
        <f aca="false">'P&amp;L'!D54</f>
        <v>-1229928.47323143</v>
      </c>
      <c r="E121" s="975" t="n">
        <f aca="false">'P&amp;L'!E54</f>
        <v>-1613933.55158924</v>
      </c>
      <c r="F121" s="975" t="n">
        <f aca="false">'P&amp;L'!F54</f>
        <v>-1960553.73650486</v>
      </c>
      <c r="G121" s="975" t="n">
        <f aca="false">'P&amp;L'!G54</f>
        <v>-2253724.13453611</v>
      </c>
      <c r="H121" s="975" t="n">
        <f aca="false">'P&amp;L'!H54</f>
        <v>-2583226.34568298</v>
      </c>
      <c r="I121" s="975" t="n">
        <f aca="false">'P&amp;L'!I54</f>
        <v>-2906610.03940064</v>
      </c>
      <c r="J121" s="975" t="n">
        <f aca="false">'P&amp;L'!J54</f>
        <v>-3193191.47925125</v>
      </c>
      <c r="K121" s="975" t="n">
        <f aca="false">'P&amp;L'!K54</f>
        <v>-3445744.94985351</v>
      </c>
      <c r="L121" s="975" t="n">
        <f aca="false">'P&amp;L'!L54</f>
        <v>-3655576.36417758</v>
      </c>
      <c r="M121" s="976" t="n">
        <f aca="false">'P&amp;L'!M54</f>
        <v>-3831207.37527624</v>
      </c>
      <c r="N121" s="974" t="n">
        <f aca="false">'P&amp;L'!N54</f>
        <v>-3467405.14387464</v>
      </c>
      <c r="O121" s="975" t="n">
        <f aca="false">'P&amp;L'!O54</f>
        <v>-3012729.72096419</v>
      </c>
      <c r="P121" s="975" t="n">
        <f aca="false">'P&amp;L'!P54</f>
        <v>-2511935.39185606</v>
      </c>
      <c r="Q121" s="975" t="n">
        <f aca="false">'P&amp;L'!Q54</f>
        <v>-1958790.81728803</v>
      </c>
      <c r="R121" s="975" t="n">
        <f aca="false">'P&amp;L'!R54</f>
        <v>-1353292.32322225</v>
      </c>
      <c r="S121" s="975" t="n">
        <f aca="false">'P&amp;L'!S54</f>
        <v>-695436.217250672</v>
      </c>
      <c r="T121" s="975" t="n">
        <f aca="false">'P&amp;L'!T54</f>
        <v>14781.2114967702</v>
      </c>
      <c r="U121" s="975" t="n">
        <f aca="false">'P&amp;L'!U54</f>
        <v>822135.692444505</v>
      </c>
      <c r="V121" s="975" t="n">
        <f aca="false">'P&amp;L'!V54</f>
        <v>1775133.97366408</v>
      </c>
      <c r="W121" s="975" t="n">
        <f aca="false">'P&amp;L'!W54</f>
        <v>2873779.8219674</v>
      </c>
      <c r="X121" s="975" t="n">
        <f aca="false">'P&amp;L'!X54</f>
        <v>4118077.02300044</v>
      </c>
      <c r="Y121" s="976" t="n">
        <f aca="false">'P&amp;L'!Y54</f>
        <v>5508029.3813374</v>
      </c>
      <c r="Z121" s="974" t="n">
        <f aca="false">'P&amp;L'!Z54</f>
        <v>9630711.87464148</v>
      </c>
      <c r="AA121" s="975" t="n">
        <f aca="false">'P&amp;L'!AA54</f>
        <v>13754166.7536711</v>
      </c>
      <c r="AB121" s="975" t="n">
        <f aca="false">'P&amp;L'!AB54</f>
        <v>17878397.8803549</v>
      </c>
      <c r="AC121" s="975" t="n">
        <f aca="false">'P&amp;L'!AC54</f>
        <v>22003409.1359311</v>
      </c>
      <c r="AD121" s="975" t="n">
        <f aca="false">'P&amp;L'!AD54</f>
        <v>26129204.4210442</v>
      </c>
      <c r="AE121" s="975" t="n">
        <f aca="false">'P&amp;L'!AE54</f>
        <v>30255787.6558418</v>
      </c>
      <c r="AF121" s="975" t="n">
        <f aca="false">'P&amp;L'!AF54</f>
        <v>34383162.7800725</v>
      </c>
      <c r="AG121" s="975" t="n">
        <f aca="false">'P&amp;L'!AG54</f>
        <v>38511333.7531834</v>
      </c>
      <c r="AH121" s="975" t="n">
        <f aca="false">'P&amp;L'!AH54</f>
        <v>42640304.5544188</v>
      </c>
      <c r="AI121" s="975" t="n">
        <f aca="false">'P&amp;L'!AI54</f>
        <v>46770079.1829194</v>
      </c>
      <c r="AJ121" s="975" t="n">
        <f aca="false">'P&amp;L'!AJ54</f>
        <v>50900661.6578215</v>
      </c>
      <c r="AK121" s="976" t="n">
        <f aca="false">'P&amp;L'!AK54</f>
        <v>55032056.0183571</v>
      </c>
      <c r="AL121" s="974" t="n">
        <f aca="false">'P&amp;L'!AL54</f>
        <v>59781390.6619156</v>
      </c>
      <c r="AM121" s="975" t="n">
        <f aca="false">'P&amp;L'!AM54</f>
        <v>64531545.3302612</v>
      </c>
      <c r="AN121" s="975" t="n">
        <f aca="false">'P&amp;L'!AN54</f>
        <v>69282524.1235177</v>
      </c>
      <c r="AO121" s="975" t="n">
        <f aca="false">'P&amp;L'!AO54</f>
        <v>74034331.1623096</v>
      </c>
      <c r="AP121" s="975" t="n">
        <f aca="false">'P&amp;L'!AP54</f>
        <v>78786970.5878648</v>
      </c>
      <c r="AQ121" s="975" t="n">
        <f aca="false">'P&amp;L'!AQ54</f>
        <v>83540446.5621169</v>
      </c>
      <c r="AR121" s="975" t="n">
        <f aca="false">'P&amp;L'!AR54</f>
        <v>88294763.2678095</v>
      </c>
      <c r="AS121" s="975" t="n">
        <f aca="false">'P&amp;L'!AS54</f>
        <v>93049924.9085997</v>
      </c>
      <c r="AT121" s="975" t="n">
        <f aca="false">'P&amp;L'!AT54</f>
        <v>97805935.7091631</v>
      </c>
      <c r="AU121" s="975" t="n">
        <f aca="false">'P&amp;L'!AU54</f>
        <v>102562799.915299</v>
      </c>
      <c r="AV121" s="975" t="n">
        <f aca="false">'P&amp;L'!AV54</f>
        <v>107320521.794034</v>
      </c>
      <c r="AW121" s="976" t="n">
        <f aca="false">'P&amp;L'!AW54</f>
        <v>112079105.633732</v>
      </c>
      <c r="AX121" s="974" t="n">
        <f aca="false">'P&amp;L'!AX54</f>
        <v>117452353.51833</v>
      </c>
      <c r="AY121" s="975" t="n">
        <f aca="false">'P&amp;L'!AY54</f>
        <v>122826472.005049</v>
      </c>
      <c r="AZ121" s="975" t="n">
        <f aca="false">'P&amp;L'!AZ54</f>
        <v>128201465.446901</v>
      </c>
      <c r="BA121" s="975" t="n">
        <f aca="false">'P&amp;L'!BA54</f>
        <v>133577338.21866</v>
      </c>
      <c r="BB121" s="975" t="n">
        <f aca="false">'P&amp;L'!BB54</f>
        <v>138954094.716976</v>
      </c>
      <c r="BC121" s="975" t="n">
        <f aca="false">'P&amp;L'!BC54</f>
        <v>144331739.360483</v>
      </c>
      <c r="BD121" s="975" t="n">
        <f aca="false">'P&amp;L'!BD54</f>
        <v>149710276.589906</v>
      </c>
      <c r="BE121" s="975" t="n">
        <f aca="false">'P&amp;L'!BE54</f>
        <v>155089710.868174</v>
      </c>
      <c r="BF121" s="975" t="n">
        <f aca="false">'P&amp;L'!BF54</f>
        <v>160470046.680533</v>
      </c>
      <c r="BG121" s="975" t="n">
        <f aca="false">'P&amp;L'!BG54</f>
        <v>165851288.534651</v>
      </c>
      <c r="BH121" s="975" t="n">
        <f aca="false">'P&amp;L'!BH54</f>
        <v>171233440.960739</v>
      </c>
      <c r="BI121" s="976" t="n">
        <f aca="false">'P&amp;L'!BI54</f>
        <v>176616508.511656</v>
      </c>
      <c r="BJ121" s="834" t="n">
        <f aca="false">'P&amp;L'!BJ54</f>
        <v>-3831207.37527624</v>
      </c>
      <c r="BK121" s="675" t="n">
        <f aca="false">'P&amp;L'!BK54</f>
        <v>5508029.3813374</v>
      </c>
      <c r="BL121" s="675" t="n">
        <f aca="false">'P&amp;L'!BL54</f>
        <v>55032056.0183571</v>
      </c>
      <c r="BM121" s="675" t="n">
        <f aca="false">'P&amp;L'!BM54</f>
        <v>112079105.633732</v>
      </c>
      <c r="BN121" s="675" t="n">
        <f aca="false">'P&amp;L'!BN54</f>
        <v>176616508.511656</v>
      </c>
    </row>
    <row r="122" s="659" customFormat="true" ht="12" hidden="false" customHeight="true" outlineLevel="0" collapsed="false">
      <c r="A122" s="529" t="s">
        <v>1773</v>
      </c>
      <c r="B122" s="977" t="n">
        <f aca="false">B52</f>
        <v>9994578.0003863</v>
      </c>
      <c r="C122" s="959" t="n">
        <f aca="false">C52</f>
        <v>9598538.38475069</v>
      </c>
      <c r="D122" s="959" t="n">
        <f aca="false">D52</f>
        <v>9185561.36421327</v>
      </c>
      <c r="E122" s="959" t="n">
        <f aca="false">E52</f>
        <v>8764811.18322942</v>
      </c>
      <c r="F122" s="959" t="n">
        <f aca="false">F52</f>
        <v>8381318.22669959</v>
      </c>
      <c r="G122" s="959" t="n">
        <f aca="false">G52</f>
        <v>8035430.23064539</v>
      </c>
      <c r="H122" s="959" t="n">
        <f aca="false">H52</f>
        <v>7711016.57141172</v>
      </c>
      <c r="I122" s="959" t="n">
        <f aca="false">I52</f>
        <v>7371571.85376486</v>
      </c>
      <c r="J122" s="959" t="n">
        <f aca="false">J52</f>
        <v>7050502.8255245</v>
      </c>
      <c r="K122" s="959" t="n">
        <f aca="false">K52</f>
        <v>6770955.57916217</v>
      </c>
      <c r="L122" s="959" t="n">
        <f aca="false">L52</f>
        <v>6535843.4593412</v>
      </c>
      <c r="M122" s="960" t="n">
        <f aca="false">M52</f>
        <v>6344386.38122366</v>
      </c>
      <c r="N122" s="977" t="n">
        <f aca="false">N52</f>
        <v>6204603.78210309</v>
      </c>
      <c r="O122" s="959" t="n">
        <f aca="false">O52</f>
        <v>6614051.68839412</v>
      </c>
      <c r="P122" s="959" t="n">
        <f aca="false">P52</f>
        <v>7114082.52134368</v>
      </c>
      <c r="Q122" s="959" t="n">
        <f aca="false">Q52</f>
        <v>7663413.07565112</v>
      </c>
      <c r="R122" s="959" t="n">
        <f aca="false">R52</f>
        <v>8264355.4441405</v>
      </c>
      <c r="S122" s="959" t="n">
        <f aca="false">S52</f>
        <v>8916909.60869328</v>
      </c>
      <c r="T122" s="959" t="n">
        <f aca="false">T52</f>
        <v>9619616.20021932</v>
      </c>
      <c r="U122" s="959" t="n">
        <f aca="false">U52</f>
        <v>10269275.0062542</v>
      </c>
      <c r="V122" s="959" t="n">
        <f aca="false">V52</f>
        <v>11001311.7488788</v>
      </c>
      <c r="W122" s="959" t="n">
        <f aca="false">W52</f>
        <v>11856388.6364014</v>
      </c>
      <c r="X122" s="959" t="n">
        <f aca="false">X52</f>
        <v>12834505.0851854</v>
      </c>
      <c r="Y122" s="960" t="n">
        <f aca="false">Y52</f>
        <v>13935660.5086761</v>
      </c>
      <c r="Z122" s="977" t="n">
        <f aca="false">Z52</f>
        <v>15189977.7486319</v>
      </c>
      <c r="AA122" s="959" t="n">
        <f aca="false">AA52</f>
        <v>18734532.7506411</v>
      </c>
      <c r="AB122" s="959" t="n">
        <f aca="false">AB52</f>
        <v>22278968.0778304</v>
      </c>
      <c r="AC122" s="959" t="n">
        <f aca="false">AC52</f>
        <v>25823283.1318259</v>
      </c>
      <c r="AD122" s="959" t="n">
        <f aca="false">AD52</f>
        <v>29367477.3112615</v>
      </c>
      <c r="AE122" s="959" t="n">
        <f aca="false">AE52</f>
        <v>32911550.0117644</v>
      </c>
      <c r="AF122" s="959" t="n">
        <f aca="false">AF52</f>
        <v>36455500.62594</v>
      </c>
      <c r="AG122" s="959" t="n">
        <f aca="false">AG52</f>
        <v>39999328.5433566</v>
      </c>
      <c r="AH122" s="959" t="n">
        <f aca="false">AH52</f>
        <v>43543033.1505305</v>
      </c>
      <c r="AI122" s="959" t="n">
        <f aca="false">AI52</f>
        <v>47086613.8309104</v>
      </c>
      <c r="AJ122" s="959" t="n">
        <f aca="false">AJ52</f>
        <v>50630069.9648624</v>
      </c>
      <c r="AK122" s="960" t="n">
        <f aca="false">AK52</f>
        <v>54173400.9296542</v>
      </c>
      <c r="AL122" s="977" t="n">
        <f aca="false">AL52</f>
        <v>57723791.7937864</v>
      </c>
      <c r="AM122" s="959" t="n">
        <f aca="false">AM52</f>
        <v>61791426.2268585</v>
      </c>
      <c r="AN122" s="959" t="n">
        <f aca="false">AN52</f>
        <v>65858933.6038298</v>
      </c>
      <c r="AO122" s="959" t="n">
        <f aca="false">AO52</f>
        <v>69926313.2894198</v>
      </c>
      <c r="AP122" s="959" t="n">
        <f aca="false">AP52</f>
        <v>73993564.6451716</v>
      </c>
      <c r="AQ122" s="959" t="n">
        <f aca="false">AQ52</f>
        <v>78060687.029436</v>
      </c>
      <c r="AR122" s="959" t="n">
        <f aca="false">AR52</f>
        <v>82127679.7973555</v>
      </c>
      <c r="AS122" s="959" t="n">
        <f aca="false">AS52</f>
        <v>86194542.3008484</v>
      </c>
      <c r="AT122" s="959" t="n">
        <f aca="false">AT52</f>
        <v>90261273.8885927</v>
      </c>
      <c r="AU122" s="959" t="n">
        <f aca="false">AU52</f>
        <v>94327873.9060094</v>
      </c>
      <c r="AV122" s="959" t="n">
        <f aca="false">AV52</f>
        <v>98394341.6952471</v>
      </c>
      <c r="AW122" s="960" t="n">
        <f aca="false">AW52</f>
        <v>102460676.595165</v>
      </c>
      <c r="AX122" s="977" t="n">
        <f aca="false">AX52</f>
        <v>106534024.9017</v>
      </c>
      <c r="AY122" s="959" t="n">
        <f aca="false">AY52</f>
        <v>111121820.134327</v>
      </c>
      <c r="AZ122" s="959" t="n">
        <f aca="false">AZ52</f>
        <v>115709480.474312</v>
      </c>
      <c r="BA122" s="959" t="n">
        <f aca="false">BA52</f>
        <v>120297005.24719</v>
      </c>
      <c r="BB122" s="959" t="n">
        <f aca="false">BB52</f>
        <v>124884393.775127</v>
      </c>
      <c r="BC122" s="959" t="n">
        <f aca="false">BC52</f>
        <v>129471645.376897</v>
      </c>
      <c r="BD122" s="959" t="n">
        <f aca="false">BD52</f>
        <v>134058759.36787</v>
      </c>
      <c r="BE122" s="959" t="n">
        <f aca="false">BE52</f>
        <v>138645735.059991</v>
      </c>
      <c r="BF122" s="959" t="n">
        <f aca="false">BF52</f>
        <v>143232571.761766</v>
      </c>
      <c r="BG122" s="959" t="n">
        <f aca="false">BG52</f>
        <v>147819268.778245</v>
      </c>
      <c r="BH122" s="959" t="n">
        <f aca="false">BH52</f>
        <v>152405825.410999</v>
      </c>
      <c r="BI122" s="960" t="n">
        <f aca="false">BI52</f>
        <v>156992240.958111</v>
      </c>
      <c r="BJ122" s="834" t="n">
        <f aca="false">BJ52</f>
        <v>6344386.38122366</v>
      </c>
      <c r="BK122" s="675" t="n">
        <f aca="false">BK52</f>
        <v>13935660.5086761</v>
      </c>
      <c r="BL122" s="675" t="n">
        <f aca="false">BL52</f>
        <v>54173400.9296542</v>
      </c>
      <c r="BM122" s="675" t="n">
        <f aca="false">BM52</f>
        <v>102460676.595165</v>
      </c>
      <c r="BN122" s="675" t="n">
        <f aca="false">BN52</f>
        <v>156992240.958111</v>
      </c>
    </row>
    <row r="123" s="659" customFormat="true" ht="12" hidden="false" customHeight="true" outlineLevel="0" collapsed="false">
      <c r="A123" s="529" t="s">
        <v>1797</v>
      </c>
      <c r="B123" s="978" t="n">
        <f aca="false">SUM('P&amp;L'!B41:D41)</f>
        <v>1230149.6294</v>
      </c>
      <c r="C123" s="979" t="n">
        <f aca="false">SUM('P&amp;L'!C41:E41)</f>
        <v>1269153.3354869</v>
      </c>
      <c r="D123" s="979" t="n">
        <f aca="false">SUM('P&amp;L'!D41:F41)</f>
        <v>1304520.74766071</v>
      </c>
      <c r="E123" s="979" t="n">
        <f aca="false">SUM('P&amp;L'!E41:G41)</f>
        <v>1379427.85800833</v>
      </c>
      <c r="F123" s="979" t="n">
        <f aca="false">SUM('P&amp;L'!F41:H41)</f>
        <v>1553274.88844286</v>
      </c>
      <c r="G123" s="979" t="n">
        <f aca="false">SUM('P&amp;L'!G41:I41)</f>
        <v>1791541.57996429</v>
      </c>
      <c r="H123" s="979" t="n">
        <f aca="false">SUM('P&amp;L'!H41:J41)</f>
        <v>2032384.29648571</v>
      </c>
      <c r="I123" s="979" t="n">
        <f aca="false">SUM('P&amp;L'!I41:K41)</f>
        <v>2213483.97800714</v>
      </c>
      <c r="J123" s="979" t="n">
        <f aca="false">SUM('P&amp;L'!J41:L41)</f>
        <v>2363895.24952857</v>
      </c>
      <c r="K123" s="979" t="n">
        <f aca="false">SUM('P&amp;L'!K41:M41)</f>
        <v>2516095.96105</v>
      </c>
      <c r="L123" s="979" t="n">
        <f aca="false">SUM('P&amp;L'!L41:N41)</f>
        <v>2884594.38889929</v>
      </c>
      <c r="M123" s="980" t="n">
        <f aca="false">SUM('P&amp;L'!M41:O41)</f>
        <v>3294807.472565</v>
      </c>
      <c r="N123" s="978" t="n">
        <f aca="false">SUM('P&amp;L'!N41:P41)</f>
        <v>3786133.29204714</v>
      </c>
      <c r="O123" s="979" t="n">
        <f aca="false">SUM('P&amp;L'!O41:Q41)</f>
        <v>4138390.67101786</v>
      </c>
      <c r="P123" s="979" t="n">
        <f aca="false">SUM('P&amp;L'!P41:R41)</f>
        <v>4531536.58998857</v>
      </c>
      <c r="Q123" s="979" t="n">
        <f aca="false">SUM('P&amp;L'!Q41:S41)</f>
        <v>4920799.04895929</v>
      </c>
      <c r="R123" s="979" t="n">
        <f aca="false">SUM('P&amp;L'!R41:T41)</f>
        <v>5310061.50793</v>
      </c>
      <c r="S123" s="979" t="n">
        <f aca="false">SUM('P&amp;L'!S41:U41)</f>
        <v>5654551.96690072</v>
      </c>
      <c r="T123" s="979" t="n">
        <f aca="false">SUM('P&amp;L'!T41:V41)</f>
        <v>5905767.42587143</v>
      </c>
      <c r="U123" s="979" t="n">
        <f aca="false">SUM('P&amp;L'!U41:W41)</f>
        <v>6063707.88484214</v>
      </c>
      <c r="V123" s="979" t="n">
        <f aca="false">SUM('P&amp;L'!V41:X41)</f>
        <v>6173145.34381286</v>
      </c>
      <c r="W123" s="979" t="n">
        <f aca="false">SUM('P&amp;L'!W41:Y41)</f>
        <v>6282582.80278357</v>
      </c>
      <c r="X123" s="979" t="n">
        <f aca="false">SUM('P&amp;L'!X41:Z41)</f>
        <v>7143849.02680779</v>
      </c>
      <c r="Y123" s="980" t="n">
        <f aca="false">SUM('P&amp;L'!Y41:AA41)</f>
        <v>7968636.09784176</v>
      </c>
      <c r="Z123" s="978" t="n">
        <f aca="false">SUM('P&amp;L'!Z41:AB41)</f>
        <v>8756944.0158855</v>
      </c>
      <c r="AA123" s="979" t="n">
        <f aca="false">SUM('P&amp;L'!AA41:AC41)</f>
        <v>8756944.0158855</v>
      </c>
      <c r="AB123" s="979" t="n">
        <f aca="false">SUM('P&amp;L'!AB41:AD41)</f>
        <v>8756944.0158855</v>
      </c>
      <c r="AC123" s="979" t="n">
        <f aca="false">SUM('P&amp;L'!AC41:AE41)</f>
        <v>8756944.0158855</v>
      </c>
      <c r="AD123" s="979" t="n">
        <f aca="false">SUM('P&amp;L'!AD41:AF41)</f>
        <v>8756944.0158855</v>
      </c>
      <c r="AE123" s="979" t="n">
        <f aca="false">SUM('P&amp;L'!AE41:AG41)</f>
        <v>8756944.0158855</v>
      </c>
      <c r="AF123" s="979" t="n">
        <f aca="false">SUM('P&amp;L'!AF41:AH41)</f>
        <v>8756944.0158855</v>
      </c>
      <c r="AG123" s="979" t="n">
        <f aca="false">SUM('P&amp;L'!AG41:AI41)</f>
        <v>8756944.0158855</v>
      </c>
      <c r="AH123" s="979" t="n">
        <f aca="false">SUM('P&amp;L'!AH41:AJ41)</f>
        <v>8756944.0158855</v>
      </c>
      <c r="AI123" s="979" t="n">
        <f aca="false">SUM('P&amp;L'!AI41:AK41)</f>
        <v>8756944.0158855</v>
      </c>
      <c r="AJ123" s="979" t="n">
        <f aca="false">SUM('P&amp;L'!AJ41:AL41)</f>
        <v>8939545.32471359</v>
      </c>
      <c r="AK123" s="980" t="n">
        <f aca="false">SUM('P&amp;L'!AK41:AM41)</f>
        <v>9122146.63354169</v>
      </c>
      <c r="AL123" s="978" t="n">
        <f aca="false">SUM('P&amp;L'!AL41:AN41)</f>
        <v>9304747.94236978</v>
      </c>
      <c r="AM123" s="979" t="n">
        <f aca="false">SUM('P&amp;L'!AM41:AO41)</f>
        <v>9304747.94236978</v>
      </c>
      <c r="AN123" s="979" t="n">
        <f aca="false">SUM('P&amp;L'!AN41:AP41)</f>
        <v>9304747.94236978</v>
      </c>
      <c r="AO123" s="979" t="n">
        <f aca="false">SUM('P&amp;L'!AO41:AQ41)</f>
        <v>9304747.94236978</v>
      </c>
      <c r="AP123" s="979" t="n">
        <f aca="false">SUM('P&amp;L'!AP41:AR41)</f>
        <v>9304747.94236978</v>
      </c>
      <c r="AQ123" s="979" t="n">
        <f aca="false">SUM('P&amp;L'!AQ41:AS41)</f>
        <v>9304747.94236978</v>
      </c>
      <c r="AR123" s="979" t="n">
        <f aca="false">SUM('P&amp;L'!AR41:AT41)</f>
        <v>9304747.94236978</v>
      </c>
      <c r="AS123" s="979" t="n">
        <f aca="false">SUM('P&amp;L'!AS41:AU41)</f>
        <v>9304747.94236978</v>
      </c>
      <c r="AT123" s="979" t="n">
        <f aca="false">SUM('P&amp;L'!AT41:AV41)</f>
        <v>9304747.94236978</v>
      </c>
      <c r="AU123" s="979" t="n">
        <f aca="false">SUM('P&amp;L'!AU41:AW41)</f>
        <v>9304747.94236978</v>
      </c>
      <c r="AV123" s="979" t="n">
        <f aca="false">SUM('P&amp;L'!AV41:AX41)</f>
        <v>9490675.81502719</v>
      </c>
      <c r="AW123" s="980" t="n">
        <f aca="false">SUM('P&amp;L'!AW41:AY41)</f>
        <v>9676603.6876846</v>
      </c>
      <c r="AX123" s="978" t="n">
        <f aca="false">SUM('P&amp;L'!AX41:AZ41)</f>
        <v>9862531.56034201</v>
      </c>
      <c r="AY123" s="979" t="n">
        <f aca="false">SUM('P&amp;L'!AY41:BA41)</f>
        <v>9862531.56034201</v>
      </c>
      <c r="AZ123" s="979" t="n">
        <f aca="false">SUM('P&amp;L'!AZ41:BB41)</f>
        <v>9862531.56034201</v>
      </c>
      <c r="BA123" s="979" t="n">
        <f aca="false">SUM('P&amp;L'!BA41:BC41)</f>
        <v>9862531.56034201</v>
      </c>
      <c r="BB123" s="979" t="n">
        <f aca="false">SUM('P&amp;L'!BB41:BD41)</f>
        <v>9862531.56034201</v>
      </c>
      <c r="BC123" s="979" t="n">
        <f aca="false">SUM('P&amp;L'!BC41:BE41)</f>
        <v>9862531.56034201</v>
      </c>
      <c r="BD123" s="979" t="n">
        <f aca="false">SUM('P&amp;L'!BD41:BF41)</f>
        <v>9862531.56034201</v>
      </c>
      <c r="BE123" s="979" t="n">
        <f aca="false">SUM('P&amp;L'!BE41:BG41)</f>
        <v>9862531.56034201</v>
      </c>
      <c r="BF123" s="979" t="n">
        <f aca="false">SUM('P&amp;L'!BF41:BH41)</f>
        <v>9862531.56034201</v>
      </c>
      <c r="BG123" s="979" t="n">
        <f aca="false">SUM('P&amp;L'!BG41:BI41)</f>
        <v>9862531.56034201</v>
      </c>
      <c r="BH123" s="979" t="n">
        <f aca="false">SUM('P&amp;L'!BH41:BI41)+('P&amp;L'!BI41)</f>
        <v>9862531.56034201</v>
      </c>
      <c r="BI123" s="980" t="n">
        <f aca="false">'P&amp;L'!BI41*3</f>
        <v>9862531.56034201</v>
      </c>
      <c r="BJ123" s="959" t="n">
        <f aca="false">'P&amp;L'!BJ41/4</f>
        <v>1789514.43623601</v>
      </c>
      <c r="BK123" s="981" t="n">
        <f aca="false">'P&amp;L'!BK41/4</f>
        <v>5223820.64241536</v>
      </c>
      <c r="BL123" s="981" t="n">
        <f aca="false">'P&amp;L'!BL41/4</f>
        <v>8756944.0158855</v>
      </c>
      <c r="BM123" s="981" t="n">
        <f aca="false">'P&amp;L'!BM41/4</f>
        <v>9304747.94236977</v>
      </c>
      <c r="BN123" s="981" t="n">
        <f aca="false">'P&amp;L'!BN41/4</f>
        <v>9862531.56034201</v>
      </c>
    </row>
    <row r="124" s="659" customFormat="true" ht="13.5" hidden="false" customHeight="true" outlineLevel="0" collapsed="false">
      <c r="A124" s="887" t="s">
        <v>1798</v>
      </c>
      <c r="B124" s="982" t="n">
        <f aca="false">MAX(0, MIN(B121, B122) - B123)</f>
        <v>0</v>
      </c>
      <c r="C124" s="983" t="n">
        <f aca="false">MAX(0, MIN(C121, C122) - C123)</f>
        <v>0</v>
      </c>
      <c r="D124" s="983" t="n">
        <f aca="false">MAX(0, MIN(D121, D122) - D123)</f>
        <v>0</v>
      </c>
      <c r="E124" s="983" t="n">
        <f aca="false">MAX(0, MIN(E121, E122) - E123)</f>
        <v>0</v>
      </c>
      <c r="F124" s="983" t="n">
        <f aca="false">MAX(0, MIN(F121, F122) - F123)</f>
        <v>0</v>
      </c>
      <c r="G124" s="983" t="n">
        <f aca="false">MAX(0, MIN(G121, G122) - G123)</f>
        <v>0</v>
      </c>
      <c r="H124" s="983" t="n">
        <f aca="false">MAX(0, MIN(H121, H122) - H123)</f>
        <v>0</v>
      </c>
      <c r="I124" s="983" t="n">
        <f aca="false">MAX(0, MIN(I121, I122) - I123)</f>
        <v>0</v>
      </c>
      <c r="J124" s="983" t="n">
        <f aca="false">MAX(0, MIN(J121, J122) - J123)</f>
        <v>0</v>
      </c>
      <c r="K124" s="983" t="n">
        <f aca="false">MAX(0, MIN(K121, K122) - K123)</f>
        <v>0</v>
      </c>
      <c r="L124" s="983" t="n">
        <f aca="false">MAX(0, MIN(L121, L122) - L123)</f>
        <v>0</v>
      </c>
      <c r="M124" s="984" t="n">
        <f aca="false">MAX(0, MIN(M121, M122) - M123)</f>
        <v>0</v>
      </c>
      <c r="N124" s="982" t="n">
        <f aca="false">MAX(0, MIN(N121, N122) - N123)</f>
        <v>0</v>
      </c>
      <c r="O124" s="983" t="n">
        <f aca="false">MAX(0, MIN(O121, O122) - O123)</f>
        <v>0</v>
      </c>
      <c r="P124" s="983" t="n">
        <f aca="false">MAX(0, MIN(P121, P122) - P123)</f>
        <v>0</v>
      </c>
      <c r="Q124" s="983" t="n">
        <f aca="false">MAX(0, MIN(Q121, Q122) - Q123)</f>
        <v>0</v>
      </c>
      <c r="R124" s="983" t="n">
        <f aca="false">MAX(0, MIN(R121, R122) - R123)</f>
        <v>0</v>
      </c>
      <c r="S124" s="983" t="n">
        <f aca="false">MAX(0, MIN(S121, S122) - S123)</f>
        <v>0</v>
      </c>
      <c r="T124" s="983" t="n">
        <f aca="false">MAX(0, MIN(T121, T122) - T123)</f>
        <v>0</v>
      </c>
      <c r="U124" s="983" t="n">
        <f aca="false">MAX(0, MIN(U121, U122) - U123)</f>
        <v>0</v>
      </c>
      <c r="V124" s="983" t="n">
        <f aca="false">MAX(0, MIN(V121, V122) - V123)</f>
        <v>0</v>
      </c>
      <c r="W124" s="983" t="n">
        <f aca="false">MAX(0, MIN(W121, W122) - W123)</f>
        <v>0</v>
      </c>
      <c r="X124" s="983" t="n">
        <f aca="false">MAX(0, MIN(X121, X122) - X123)</f>
        <v>0</v>
      </c>
      <c r="Y124" s="984" t="n">
        <f aca="false">MAX(0, MIN(Y121, Y122) - Y123)</f>
        <v>0</v>
      </c>
      <c r="Z124" s="982" t="n">
        <f aca="false">MAX(0, MIN(Z121, Z122) - Z123)</f>
        <v>873767.858755983</v>
      </c>
      <c r="AA124" s="983" t="n">
        <f aca="false">MAX(0, MIN(AA121, AA122) - AA123)</f>
        <v>4997222.7377856</v>
      </c>
      <c r="AB124" s="983" t="n">
        <f aca="false">MAX(0, MIN(AB121, AB122) - AB123)</f>
        <v>9121453.86446938</v>
      </c>
      <c r="AC124" s="983" t="n">
        <f aca="false">MAX(0, MIN(AC121, AC122) - AC123)</f>
        <v>13246465.1200456</v>
      </c>
      <c r="AD124" s="983" t="n">
        <f aca="false">MAX(0, MIN(AD121, AD122) - AD123)</f>
        <v>17372260.4051587</v>
      </c>
      <c r="AE124" s="983" t="n">
        <f aca="false">MAX(0, MIN(AE121, AE122) - AE123)</f>
        <v>21498843.6399563</v>
      </c>
      <c r="AF124" s="983" t="n">
        <f aca="false">MAX(0, MIN(AF121, AF122) - AF123)</f>
        <v>25626218.764187</v>
      </c>
      <c r="AG124" s="983" t="n">
        <f aca="false">MAX(0, MIN(AG121, AG122) - AG123)</f>
        <v>29754389.7372979</v>
      </c>
      <c r="AH124" s="983" t="n">
        <f aca="false">MAX(0, MIN(AH121, AH122) - AH123)</f>
        <v>33883360.5385333</v>
      </c>
      <c r="AI124" s="983" t="n">
        <f aca="false">MAX(0, MIN(AI121, AI122) - AI123)</f>
        <v>38013135.1670339</v>
      </c>
      <c r="AJ124" s="983" t="n">
        <f aca="false">MAX(0, MIN(AJ121, AJ122) - AJ123)</f>
        <v>41690524.6401488</v>
      </c>
      <c r="AK124" s="984" t="n">
        <f aca="false">MAX(0, MIN(AK121, AK122) - AK123)</f>
        <v>45051254.2961126</v>
      </c>
      <c r="AL124" s="982" t="n">
        <f aca="false">MAX(0, MIN(AL121, AL122) - AL123)</f>
        <v>48419043.8514166</v>
      </c>
      <c r="AM124" s="983" t="n">
        <f aca="false">MAX(0, MIN(AM121, AM122) - AM123)</f>
        <v>52486678.2844887</v>
      </c>
      <c r="AN124" s="983" t="n">
        <f aca="false">MAX(0, MIN(AN121, AN122) - AN123)</f>
        <v>56554185.6614601</v>
      </c>
      <c r="AO124" s="983" t="n">
        <f aca="false">MAX(0, MIN(AO121, AO122) - AO123)</f>
        <v>60621565.3470501</v>
      </c>
      <c r="AP124" s="983" t="n">
        <f aca="false">MAX(0, MIN(AP121, AP122) - AP123)</f>
        <v>64688816.7028019</v>
      </c>
      <c r="AQ124" s="983" t="n">
        <f aca="false">MAX(0, MIN(AQ121, AQ122) - AQ123)</f>
        <v>68755939.0870662</v>
      </c>
      <c r="AR124" s="983" t="n">
        <f aca="false">MAX(0, MIN(AR121, AR122) - AR123)</f>
        <v>72822931.8549857</v>
      </c>
      <c r="AS124" s="983" t="n">
        <f aca="false">MAX(0, MIN(AS121, AS122) - AS123)</f>
        <v>76889794.3584787</v>
      </c>
      <c r="AT124" s="983" t="n">
        <f aca="false">MAX(0, MIN(AT121, AT122) - AT123)</f>
        <v>80956525.9462229</v>
      </c>
      <c r="AU124" s="983" t="n">
        <f aca="false">MAX(0, MIN(AU121, AU122) - AU123)</f>
        <v>85023125.9636397</v>
      </c>
      <c r="AV124" s="983" t="n">
        <f aca="false">MAX(0, MIN(AV121, AV122) - AV123)</f>
        <v>88903665.8802199</v>
      </c>
      <c r="AW124" s="984" t="n">
        <f aca="false">MAX(0, MIN(AW121, AW122) - AW123)</f>
        <v>92784072.9074802</v>
      </c>
      <c r="AX124" s="982" t="n">
        <f aca="false">MAX(0, MIN(AX121, AX122) - AX123)</f>
        <v>96671493.3413576</v>
      </c>
      <c r="AY124" s="983" t="n">
        <f aca="false">MAX(0, MIN(AY121, AY122) - AY123)</f>
        <v>101259288.573985</v>
      </c>
      <c r="AZ124" s="983" t="n">
        <f aca="false">MAX(0, MIN(AZ121, AZ122) - AZ123)</f>
        <v>105846948.91397</v>
      </c>
      <c r="BA124" s="983" t="n">
        <f aca="false">MAX(0, MIN(BA121, BA122) - BA123)</f>
        <v>110434473.686848</v>
      </c>
      <c r="BB124" s="983" t="n">
        <f aca="false">MAX(0, MIN(BB121, BB122) - BB123)</f>
        <v>115021862.214785</v>
      </c>
      <c r="BC124" s="983" t="n">
        <f aca="false">MAX(0, MIN(BC121, BC122) - BC123)</f>
        <v>119609113.816555</v>
      </c>
      <c r="BD124" s="983" t="n">
        <f aca="false">MAX(0, MIN(BD121, BD122) - BD123)</f>
        <v>124196227.807528</v>
      </c>
      <c r="BE124" s="983" t="n">
        <f aca="false">MAX(0, MIN(BE121, BE122) - BE123)</f>
        <v>128783203.499649</v>
      </c>
      <c r="BF124" s="983" t="n">
        <f aca="false">MAX(0, MIN(BF121, BF122) - BF123)</f>
        <v>133370040.201424</v>
      </c>
      <c r="BG124" s="983" t="n">
        <f aca="false">MAX(0, MIN(BG121, BG122) - BG123)</f>
        <v>137956737.217903</v>
      </c>
      <c r="BH124" s="983" t="n">
        <f aca="false">MAX(0, MIN(BH121, BH122) - BH123)</f>
        <v>142543293.850657</v>
      </c>
      <c r="BI124" s="984" t="n">
        <f aca="false">MAX(0, MIN(BI121, BI122) - BI123)</f>
        <v>147129709.397769</v>
      </c>
      <c r="BJ124" s="985" t="n">
        <f aca="false">MAX(0, MIN(BJ121, BJ122) - BJ123)</f>
        <v>0</v>
      </c>
      <c r="BK124" s="985" t="n">
        <f aca="false">MAX(0, MIN(BK121, BK122) - BK123)</f>
        <v>284208.73892204</v>
      </c>
      <c r="BL124" s="985" t="n">
        <f aca="false">MAX(0, MIN(BL121, BL122) - BL123)</f>
        <v>45416456.9137687</v>
      </c>
      <c r="BM124" s="985" t="n">
        <f aca="false">MAX(0, MIN(BM121, BM122) - BM123)</f>
        <v>93155928.652795</v>
      </c>
      <c r="BN124" s="985" t="n">
        <f aca="false">MAX(0, MIN(BN121, BN122) - BN123)</f>
        <v>147129709.397769</v>
      </c>
    </row>
  </sheetData>
  <mergeCells count="2">
    <mergeCell ref="B2:M2"/>
    <mergeCell ref="B6:M6"/>
  </mergeCells>
  <conditionalFormatting sqref="BO4">
    <cfRule type="containsText" priority="2" operator="containsText" aboveAverage="0" equalAverage="0" bottom="0" percent="0" rank="0" text="Inventory Problem" dxfId="0">
      <formula>NOT(ISERROR(SEARCH("Inventory Problem",BO4)))</formula>
    </cfRule>
  </conditionalFormatting>
  <conditionalFormatting sqref="A4">
    <cfRule type="containsText" priority="3" operator="containsText" aboveAverage="0" equalAverage="0" bottom="0" percent="0" rank="0" text="Inventory Problem" dxfId="0">
      <formula>NOT(ISERROR(SEARCH("Inventory Problem",A4)))</formula>
    </cfRule>
  </conditionalFormatting>
  <conditionalFormatting sqref="B2">
    <cfRule type="containsText" priority="4" operator="containsText" aboveAverage="0" equalAverage="0" bottom="0" percent="0" rank="0" text="START UP INVENTORY &gt; ONE YEAR" dxfId="0">
      <formula>NOT(ISERROR(SEARCH("START UP INVENTORY &gt; ONE YEAR",B2)))</formula>
    </cfRule>
  </conditionalFormatting>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9DFF43"/>
    <pageSetUpPr fitToPage="false"/>
  </sheetPr>
  <dimension ref="A1:BO39"/>
  <sheetViews>
    <sheetView showFormulas="false" showGridLines="true" showRowColHeaders="true" showZeros="true" rightToLeft="false" tabSelected="false" showOutlineSymbols="true" defaultGridColor="true" view="normal" topLeftCell="A1" colorId="64" zoomScale="130" zoomScaleNormal="130" zoomScalePageLayoutView="100" workbookViewId="0">
      <pane xSplit="1" ySplit="0" topLeftCell="BA1" activePane="topRight" state="frozen"/>
      <selection pane="topLeft" activeCell="A1" activeCellId="0" sqref="A1"/>
      <selection pane="topRight" activeCell="BL41" activeCellId="0" sqref="BL41"/>
    </sheetView>
  </sheetViews>
  <sheetFormatPr defaultColWidth="9.18359375" defaultRowHeight="12" customHeight="true" zeroHeight="false" outlineLevelRow="0" outlineLevelCol="1"/>
  <cols>
    <col collapsed="false" customWidth="true" hidden="false" outlineLevel="0" max="1" min="1" style="986" width="18.82"/>
    <col collapsed="false" customWidth="true" hidden="false" outlineLevel="0" max="2" min="2" style="986" width="14.54"/>
    <col collapsed="false" customWidth="true" hidden="false" outlineLevel="0" max="13" min="3" style="986" width="9.54"/>
    <col collapsed="false" customWidth="true" hidden="false" outlineLevel="1" max="47" min="14" style="986" width="9.54"/>
    <col collapsed="false" customWidth="true" hidden="false" outlineLevel="1" max="61" min="48" style="986" width="10.45"/>
    <col collapsed="false" customWidth="true" hidden="false" outlineLevel="0" max="63" min="62" style="986" width="9.54"/>
    <col collapsed="false" customWidth="true" hidden="false" outlineLevel="0" max="66" min="64" style="986" width="10.45"/>
    <col collapsed="false" customWidth="true" hidden="false" outlineLevel="0" max="67" min="67" style="986" width="18.82"/>
    <col collapsed="false" customWidth="false" hidden="false" outlineLevel="0" max="74" min="68" style="986" width="9.18"/>
    <col collapsed="false" customWidth="true" hidden="false" outlineLevel="0" max="75" min="75" style="986" width="23.27"/>
    <col collapsed="false" customWidth="true" hidden="false" outlineLevel="0" max="100" min="76" style="986" width="8.73"/>
    <col collapsed="false" customWidth="true" hidden="false" outlineLevel="0" max="123" min="101" style="986" width="9.54"/>
    <col collapsed="false" customWidth="true" hidden="true" outlineLevel="0" max="180" min="124" style="986" width="11.54"/>
    <col collapsed="false" customWidth="false" hidden="false" outlineLevel="0" max="16384" min="181" style="986" width="9.18"/>
  </cols>
  <sheetData>
    <row r="1" s="1003" customFormat="true" ht="12" hidden="false" customHeight="true" outlineLevel="0" collapsed="false">
      <c r="A1" s="987"/>
      <c r="B1" s="988" t="s">
        <v>1476</v>
      </c>
      <c r="C1" s="988" t="s">
        <v>1477</v>
      </c>
      <c r="D1" s="988" t="s">
        <v>1478</v>
      </c>
      <c r="E1" s="988" t="s">
        <v>1479</v>
      </c>
      <c r="F1" s="988" t="s">
        <v>1480</v>
      </c>
      <c r="G1" s="988" t="s">
        <v>1481</v>
      </c>
      <c r="H1" s="988" t="s">
        <v>1482</v>
      </c>
      <c r="I1" s="988" t="s">
        <v>1483</v>
      </c>
      <c r="J1" s="988" t="s">
        <v>1484</v>
      </c>
      <c r="K1" s="988" t="s">
        <v>1485</v>
      </c>
      <c r="L1" s="988" t="s">
        <v>1486</v>
      </c>
      <c r="M1" s="989" t="s">
        <v>1487</v>
      </c>
      <c r="N1" s="990" t="str">
        <f aca="false">Revenue!N56</f>
        <v>Month 13</v>
      </c>
      <c r="O1" s="991" t="str">
        <f aca="false">Revenue!O56</f>
        <v>Month 14</v>
      </c>
      <c r="P1" s="991" t="str">
        <f aca="false">Revenue!P56</f>
        <v>Month 15</v>
      </c>
      <c r="Q1" s="991" t="str">
        <f aca="false">Revenue!Q56</f>
        <v>Month 16</v>
      </c>
      <c r="R1" s="991" t="str">
        <f aca="false">Revenue!R56</f>
        <v>Month 17</v>
      </c>
      <c r="S1" s="991" t="str">
        <f aca="false">Revenue!S56</f>
        <v>Month 18</v>
      </c>
      <c r="T1" s="991" t="str">
        <f aca="false">Revenue!T56</f>
        <v>Month 19</v>
      </c>
      <c r="U1" s="991" t="str">
        <f aca="false">Revenue!U56</f>
        <v>Month 20</v>
      </c>
      <c r="V1" s="991" t="str">
        <f aca="false">Revenue!V56</f>
        <v>Month 21</v>
      </c>
      <c r="W1" s="991" t="str">
        <f aca="false">Revenue!W56</f>
        <v>Month 22</v>
      </c>
      <c r="X1" s="991" t="str">
        <f aca="false">Revenue!X56</f>
        <v>Month 23</v>
      </c>
      <c r="Y1" s="992" t="str">
        <f aca="false">Revenue!Y56</f>
        <v>Month 24</v>
      </c>
      <c r="Z1" s="993" t="str">
        <f aca="false">Revenue!Z56</f>
        <v>Month 25</v>
      </c>
      <c r="AA1" s="994" t="str">
        <f aca="false">Revenue!AA56</f>
        <v>Month 26</v>
      </c>
      <c r="AB1" s="994" t="str">
        <f aca="false">Revenue!AB56</f>
        <v>Month 27</v>
      </c>
      <c r="AC1" s="994" t="str">
        <f aca="false">Revenue!AC56</f>
        <v>Month 28</v>
      </c>
      <c r="AD1" s="994" t="str">
        <f aca="false">Revenue!AD56</f>
        <v>Month 29</v>
      </c>
      <c r="AE1" s="994" t="str">
        <f aca="false">Revenue!AE56</f>
        <v>Month 30</v>
      </c>
      <c r="AF1" s="994" t="str">
        <f aca="false">Revenue!AF56</f>
        <v>Month 31</v>
      </c>
      <c r="AG1" s="994" t="str">
        <f aca="false">Revenue!AG56</f>
        <v>Month 32</v>
      </c>
      <c r="AH1" s="994" t="str">
        <f aca="false">Revenue!AH56</f>
        <v>Month 33</v>
      </c>
      <c r="AI1" s="994" t="str">
        <f aca="false">Revenue!AI56</f>
        <v>Month 34</v>
      </c>
      <c r="AJ1" s="994" t="str">
        <f aca="false">Revenue!AJ56</f>
        <v>Month 35</v>
      </c>
      <c r="AK1" s="995" t="str">
        <f aca="false">Revenue!AK56</f>
        <v>Month 36</v>
      </c>
      <c r="AL1" s="996" t="str">
        <f aca="false">Revenue!AL56</f>
        <v>Month 37</v>
      </c>
      <c r="AM1" s="997" t="str">
        <f aca="false">Revenue!AM56</f>
        <v>Month 38</v>
      </c>
      <c r="AN1" s="997" t="str">
        <f aca="false">Revenue!AN56</f>
        <v>Month 39</v>
      </c>
      <c r="AO1" s="997" t="str">
        <f aca="false">Revenue!AO56</f>
        <v>Month 40</v>
      </c>
      <c r="AP1" s="997" t="str">
        <f aca="false">Revenue!AP56</f>
        <v>Month 41</v>
      </c>
      <c r="AQ1" s="997" t="str">
        <f aca="false">Revenue!AQ56</f>
        <v>Month 42</v>
      </c>
      <c r="AR1" s="997" t="str">
        <f aca="false">Revenue!AR56</f>
        <v>Month 43</v>
      </c>
      <c r="AS1" s="997" t="str">
        <f aca="false">Revenue!AS56</f>
        <v>Month 44</v>
      </c>
      <c r="AT1" s="997" t="str">
        <f aca="false">Revenue!AT56</f>
        <v>Month 45</v>
      </c>
      <c r="AU1" s="997" t="str">
        <f aca="false">Revenue!AU56</f>
        <v>Month 46</v>
      </c>
      <c r="AV1" s="997" t="str">
        <f aca="false">Revenue!AV56</f>
        <v>Month 47</v>
      </c>
      <c r="AW1" s="998" t="str">
        <f aca="false">Revenue!AW56</f>
        <v>Month 48</v>
      </c>
      <c r="AX1" s="999" t="str">
        <f aca="false">Revenue!AX56</f>
        <v>Month 49</v>
      </c>
      <c r="AY1" s="1000" t="str">
        <f aca="false">Revenue!AY56</f>
        <v>Month 50</v>
      </c>
      <c r="AZ1" s="1000" t="str">
        <f aca="false">Revenue!AZ56</f>
        <v>Month 51</v>
      </c>
      <c r="BA1" s="1000" t="str">
        <f aca="false">Revenue!BA56</f>
        <v>Month 52</v>
      </c>
      <c r="BB1" s="1000" t="str">
        <f aca="false">Revenue!BB56</f>
        <v>Month 53</v>
      </c>
      <c r="BC1" s="1000" t="str">
        <f aca="false">Revenue!BC56</f>
        <v>Month 54</v>
      </c>
      <c r="BD1" s="1000" t="str">
        <f aca="false">Revenue!BD56</f>
        <v>Month 55</v>
      </c>
      <c r="BE1" s="1000" t="str">
        <f aca="false">Revenue!BE56</f>
        <v>Month 56</v>
      </c>
      <c r="BF1" s="1000" t="str">
        <f aca="false">Revenue!BF56</f>
        <v>Month 57</v>
      </c>
      <c r="BG1" s="1000" t="str">
        <f aca="false">Revenue!BG56</f>
        <v>Month 58</v>
      </c>
      <c r="BH1" s="1000" t="str">
        <f aca="false">Revenue!BH56</f>
        <v>Month 59</v>
      </c>
      <c r="BI1" s="1001" t="str">
        <f aca="false">Revenue!BI56</f>
        <v>Month 60</v>
      </c>
      <c r="BJ1" s="1002" t="s">
        <v>1488</v>
      </c>
      <c r="BK1" s="1002" t="s">
        <v>1672</v>
      </c>
      <c r="BL1" s="1002" t="s">
        <v>1673</v>
      </c>
      <c r="BM1" s="1002" t="s">
        <v>1674</v>
      </c>
      <c r="BN1" s="1002" t="s">
        <v>1675</v>
      </c>
      <c r="BO1" s="987"/>
    </row>
    <row r="2" customFormat="false" ht="12" hidden="false" customHeight="true" outlineLevel="0" collapsed="false">
      <c r="A2" s="1004" t="s">
        <v>1492</v>
      </c>
      <c r="B2" s="1005"/>
      <c r="C2" s="1005"/>
      <c r="D2" s="1005"/>
      <c r="E2" s="1005"/>
      <c r="F2" s="1005"/>
      <c r="G2" s="1005"/>
      <c r="H2" s="1005"/>
      <c r="I2" s="1005"/>
      <c r="J2" s="1005"/>
      <c r="K2" s="1005"/>
      <c r="L2" s="1005"/>
      <c r="M2" s="1006"/>
      <c r="N2" s="1007"/>
      <c r="O2" s="1008"/>
      <c r="P2" s="1008"/>
      <c r="Q2" s="1008"/>
      <c r="R2" s="1008"/>
      <c r="S2" s="1008"/>
      <c r="T2" s="1008"/>
      <c r="U2" s="1008"/>
      <c r="V2" s="1008"/>
      <c r="W2" s="1008"/>
      <c r="X2" s="1008"/>
      <c r="Y2" s="1009"/>
      <c r="Z2" s="1010"/>
      <c r="AA2" s="1011"/>
      <c r="AB2" s="1011"/>
      <c r="AC2" s="1011"/>
      <c r="AD2" s="1011"/>
      <c r="AE2" s="1011"/>
      <c r="AF2" s="1011"/>
      <c r="AG2" s="1011"/>
      <c r="AH2" s="1011"/>
      <c r="AI2" s="1011"/>
      <c r="AJ2" s="1011"/>
      <c r="AK2" s="1012"/>
      <c r="AL2" s="1013"/>
      <c r="AM2" s="1014"/>
      <c r="AN2" s="1014"/>
      <c r="AO2" s="1014"/>
      <c r="AP2" s="1014"/>
      <c r="AQ2" s="1014"/>
      <c r="AR2" s="1014"/>
      <c r="AS2" s="1014"/>
      <c r="AT2" s="1014"/>
      <c r="AU2" s="1014"/>
      <c r="AV2" s="1014"/>
      <c r="AW2" s="1015"/>
      <c r="AX2" s="1016"/>
      <c r="AY2" s="1017"/>
      <c r="AZ2" s="1017"/>
      <c r="BA2" s="1017"/>
      <c r="BB2" s="1017"/>
      <c r="BC2" s="1017"/>
      <c r="BD2" s="1017"/>
      <c r="BE2" s="1017"/>
      <c r="BF2" s="1017"/>
      <c r="BG2" s="1017"/>
      <c r="BH2" s="1017"/>
      <c r="BI2" s="1018"/>
      <c r="BJ2" s="1019"/>
      <c r="BK2" s="1019"/>
      <c r="BL2" s="1019"/>
      <c r="BM2" s="1019"/>
      <c r="BN2" s="1019"/>
      <c r="BO2" s="1004" t="s">
        <v>1492</v>
      </c>
    </row>
    <row r="3" customFormat="false" ht="12" hidden="false" customHeight="true" outlineLevel="0" collapsed="false">
      <c r="A3" s="1020" t="s">
        <v>1493</v>
      </c>
      <c r="B3" s="1021" t="n">
        <f aca="false">'Cash Flow'!B52</f>
        <v>9994578.0003863</v>
      </c>
      <c r="C3" s="1021" t="n">
        <f aca="false">'Cash Flow'!C52</f>
        <v>9598538.38475069</v>
      </c>
      <c r="D3" s="1021" t="n">
        <f aca="false">'Cash Flow'!D52</f>
        <v>9185561.36421327</v>
      </c>
      <c r="E3" s="1021" t="n">
        <f aca="false">'Cash Flow'!E52</f>
        <v>8764811.18322942</v>
      </c>
      <c r="F3" s="1021" t="n">
        <f aca="false">'Cash Flow'!F52</f>
        <v>8381318.22669959</v>
      </c>
      <c r="G3" s="1021" t="n">
        <f aca="false">'Cash Flow'!G52</f>
        <v>8035430.23064539</v>
      </c>
      <c r="H3" s="1021" t="n">
        <f aca="false">'Cash Flow'!H52</f>
        <v>7711016.57141172</v>
      </c>
      <c r="I3" s="1021" t="n">
        <f aca="false">'Cash Flow'!I52</f>
        <v>7371571.85376486</v>
      </c>
      <c r="J3" s="1021" t="n">
        <f aca="false">'Cash Flow'!J52</f>
        <v>7050502.8255245</v>
      </c>
      <c r="K3" s="1021" t="n">
        <f aca="false">'Cash Flow'!K52</f>
        <v>6770955.57916217</v>
      </c>
      <c r="L3" s="1021" t="n">
        <f aca="false">'Cash Flow'!L52</f>
        <v>6535843.4593412</v>
      </c>
      <c r="M3" s="1022" t="n">
        <f aca="false">'Cash Flow'!M52</f>
        <v>6344386.38122366</v>
      </c>
      <c r="N3" s="1023" t="n">
        <f aca="false">'Cash Flow'!N52</f>
        <v>6204603.78210309</v>
      </c>
      <c r="O3" s="1024" t="n">
        <f aca="false">'Cash Flow'!O52</f>
        <v>6614051.68839412</v>
      </c>
      <c r="P3" s="1024" t="n">
        <f aca="false">'Cash Flow'!P52</f>
        <v>7114082.52134368</v>
      </c>
      <c r="Q3" s="1024" t="n">
        <f aca="false">'Cash Flow'!Q52</f>
        <v>7663413.07565112</v>
      </c>
      <c r="R3" s="1024" t="n">
        <f aca="false">'Cash Flow'!R52</f>
        <v>8264355.4441405</v>
      </c>
      <c r="S3" s="1024" t="n">
        <f aca="false">'Cash Flow'!S52</f>
        <v>8916909.60869328</v>
      </c>
      <c r="T3" s="1024" t="n">
        <f aca="false">'Cash Flow'!T52</f>
        <v>9619616.20021932</v>
      </c>
      <c r="U3" s="1024" t="n">
        <f aca="false">'Cash Flow'!U52</f>
        <v>10269275.0062542</v>
      </c>
      <c r="V3" s="1024" t="n">
        <f aca="false">'Cash Flow'!V52</f>
        <v>11001311.7488788</v>
      </c>
      <c r="W3" s="1024" t="n">
        <f aca="false">'Cash Flow'!W52</f>
        <v>11856388.6364014</v>
      </c>
      <c r="X3" s="1024" t="n">
        <f aca="false">'Cash Flow'!X52</f>
        <v>12834505.0851854</v>
      </c>
      <c r="Y3" s="1025" t="n">
        <f aca="false">'Cash Flow'!Y52</f>
        <v>13935660.5086761</v>
      </c>
      <c r="Z3" s="1026" t="n">
        <f aca="false">'Cash Flow'!Z52</f>
        <v>15189977.7486319</v>
      </c>
      <c r="AA3" s="1027" t="n">
        <f aca="false">'Cash Flow'!AA52</f>
        <v>18734532.7506411</v>
      </c>
      <c r="AB3" s="1027" t="n">
        <f aca="false">'Cash Flow'!AB52</f>
        <v>22278968.0778304</v>
      </c>
      <c r="AC3" s="1027" t="n">
        <f aca="false">'Cash Flow'!AC52</f>
        <v>25823283.1318259</v>
      </c>
      <c r="AD3" s="1027" t="n">
        <f aca="false">'Cash Flow'!AD52</f>
        <v>29367477.3112615</v>
      </c>
      <c r="AE3" s="1027" t="n">
        <f aca="false">'Cash Flow'!AE52</f>
        <v>32911550.0117644</v>
      </c>
      <c r="AF3" s="1027" t="n">
        <f aca="false">'Cash Flow'!AF52</f>
        <v>36455500.62594</v>
      </c>
      <c r="AG3" s="1027" t="n">
        <f aca="false">'Cash Flow'!AG52</f>
        <v>39999328.5433566</v>
      </c>
      <c r="AH3" s="1027" t="n">
        <f aca="false">'Cash Flow'!AH52</f>
        <v>43543033.1505305</v>
      </c>
      <c r="AI3" s="1027" t="n">
        <f aca="false">'Cash Flow'!AI52</f>
        <v>47086613.8309104</v>
      </c>
      <c r="AJ3" s="1027" t="n">
        <f aca="false">'Cash Flow'!AJ52</f>
        <v>50630069.9648624</v>
      </c>
      <c r="AK3" s="1028" t="n">
        <f aca="false">'Cash Flow'!AK52</f>
        <v>54173400.9296542</v>
      </c>
      <c r="AL3" s="1029" t="n">
        <f aca="false">'Cash Flow'!AL52</f>
        <v>57723791.7937864</v>
      </c>
      <c r="AM3" s="1030" t="n">
        <f aca="false">'Cash Flow'!AM52</f>
        <v>61791426.2268585</v>
      </c>
      <c r="AN3" s="1030" t="n">
        <f aca="false">'Cash Flow'!AN52</f>
        <v>65858933.6038298</v>
      </c>
      <c r="AO3" s="1030" t="n">
        <f aca="false">'Cash Flow'!AO52</f>
        <v>69926313.2894198</v>
      </c>
      <c r="AP3" s="1030" t="n">
        <f aca="false">'Cash Flow'!AP52</f>
        <v>73993564.6451716</v>
      </c>
      <c r="AQ3" s="1030" t="n">
        <f aca="false">'Cash Flow'!AQ52</f>
        <v>78060687.029436</v>
      </c>
      <c r="AR3" s="1030" t="n">
        <f aca="false">'Cash Flow'!AR52</f>
        <v>82127679.7973555</v>
      </c>
      <c r="AS3" s="1030" t="n">
        <f aca="false">'Cash Flow'!AS52</f>
        <v>86194542.3008484</v>
      </c>
      <c r="AT3" s="1030" t="n">
        <f aca="false">'Cash Flow'!AT52</f>
        <v>90261273.8885927</v>
      </c>
      <c r="AU3" s="1030" t="n">
        <f aca="false">'Cash Flow'!AU52</f>
        <v>94327873.9060094</v>
      </c>
      <c r="AV3" s="1030" t="n">
        <f aca="false">'Cash Flow'!AV52</f>
        <v>98394341.6952471</v>
      </c>
      <c r="AW3" s="1031" t="n">
        <f aca="false">'Cash Flow'!AW52</f>
        <v>102460676.595165</v>
      </c>
      <c r="AX3" s="1032" t="n">
        <f aca="false">'Cash Flow'!AX52</f>
        <v>106534024.9017</v>
      </c>
      <c r="AY3" s="1033" t="n">
        <f aca="false">'Cash Flow'!AY52</f>
        <v>111121820.134327</v>
      </c>
      <c r="AZ3" s="1033" t="n">
        <f aca="false">'Cash Flow'!AZ52</f>
        <v>115709480.474312</v>
      </c>
      <c r="BA3" s="1033" t="n">
        <f aca="false">'Cash Flow'!BA52</f>
        <v>120297005.24719</v>
      </c>
      <c r="BB3" s="1033" t="n">
        <f aca="false">'Cash Flow'!BB52</f>
        <v>124884393.775127</v>
      </c>
      <c r="BC3" s="1033" t="n">
        <f aca="false">'Cash Flow'!BC52</f>
        <v>129471645.376897</v>
      </c>
      <c r="BD3" s="1033" t="n">
        <f aca="false">'Cash Flow'!BD52</f>
        <v>134058759.36787</v>
      </c>
      <c r="BE3" s="1033" t="n">
        <f aca="false">'Cash Flow'!BE52</f>
        <v>138645735.059991</v>
      </c>
      <c r="BF3" s="1033" t="n">
        <f aca="false">'Cash Flow'!BF52</f>
        <v>143232571.761766</v>
      </c>
      <c r="BG3" s="1033" t="n">
        <f aca="false">'Cash Flow'!BG52</f>
        <v>147819268.778245</v>
      </c>
      <c r="BH3" s="1033" t="n">
        <f aca="false">'Cash Flow'!BH52</f>
        <v>152405825.410999</v>
      </c>
      <c r="BI3" s="1034" t="n">
        <f aca="false">'Cash Flow'!BI52</f>
        <v>156992240.958111</v>
      </c>
      <c r="BJ3" s="1019" t="n">
        <f aca="false">M3</f>
        <v>6344386.38122366</v>
      </c>
      <c r="BK3" s="1019" t="n">
        <f aca="false">Y3</f>
        <v>13935660.5086761</v>
      </c>
      <c r="BL3" s="1019" t="n">
        <f aca="false">AK3</f>
        <v>54173400.9296542</v>
      </c>
      <c r="BM3" s="1019" t="n">
        <f aca="false">AW3</f>
        <v>102460676.595165</v>
      </c>
      <c r="BN3" s="1019" t="n">
        <f aca="false">BI3</f>
        <v>156992240.958111</v>
      </c>
      <c r="BO3" s="1020" t="s">
        <v>1493</v>
      </c>
    </row>
    <row r="4" customFormat="false" ht="12" hidden="false" customHeight="true" outlineLevel="0" collapsed="false">
      <c r="A4" s="1020" t="s">
        <v>1494</v>
      </c>
      <c r="B4" s="1021" t="n">
        <f aca="false">Revenue!B118/(365/12)*'Cash Flow'!B3</f>
        <v>0</v>
      </c>
      <c r="C4" s="1021" t="n">
        <f aca="false">Revenue!C118/(365/12)*'Cash Flow'!C3</f>
        <v>0</v>
      </c>
      <c r="D4" s="1021" t="n">
        <f aca="false">Revenue!D118/(365/12)*'Cash Flow'!D3</f>
        <v>904.576438356164</v>
      </c>
      <c r="E4" s="1021" t="n">
        <f aca="false">Revenue!E118/(365/12)*'Cash Flow'!E3</f>
        <v>132358.744966732</v>
      </c>
      <c r="F4" s="1021" t="n">
        <f aca="false">Revenue!F118/(365/12)*'Cash Flow'!F3</f>
        <v>264717.489933464</v>
      </c>
      <c r="G4" s="1021" t="n">
        <f aca="false">Revenue!G118/(365/12)*'Cash Flow'!G3</f>
        <v>529434.979866928</v>
      </c>
      <c r="H4" s="1021" t="n">
        <f aca="false">Revenue!H118/(365/12)*'Cash Flow'!H3</f>
        <v>794152.469800392</v>
      </c>
      <c r="I4" s="1021" t="n">
        <f aca="false">Revenue!I118/(365/12)*'Cash Flow'!I3</f>
        <v>1058869.95973386</v>
      </c>
      <c r="J4" s="1021" t="n">
        <f aca="false">Revenue!J118/(365/12)*'Cash Flow'!J3</f>
        <v>1323587.44966732</v>
      </c>
      <c r="K4" s="1021" t="n">
        <f aca="false">Revenue!K118/(365/12)*'Cash Flow'!K3</f>
        <v>1588304.93960078</v>
      </c>
      <c r="L4" s="1021" t="n">
        <f aca="false">Revenue!L118/(365/12)*'Cash Flow'!L3</f>
        <v>1853022.42953425</v>
      </c>
      <c r="M4" s="1022" t="n">
        <f aca="false">Revenue!M118/(365/12)*'Cash Flow'!M3</f>
        <v>2117739.91946771</v>
      </c>
      <c r="N4" s="1023" t="n">
        <f aca="false">Revenue!N118/(365/12)*'Cash Flow'!N3</f>
        <v>3238149.47091429</v>
      </c>
      <c r="O4" s="1024" t="n">
        <f aca="false">Revenue!O118/(365/12)*'Cash Flow'!O3</f>
        <v>3597943.85657143</v>
      </c>
      <c r="P4" s="1024" t="n">
        <f aca="false">Revenue!P118/(365/12)*'Cash Flow'!P3</f>
        <v>3957738.24222857</v>
      </c>
      <c r="Q4" s="1024" t="n">
        <f aca="false">Revenue!Q118/(365/12)*'Cash Flow'!Q3</f>
        <v>4317532.62788572</v>
      </c>
      <c r="R4" s="1024" t="n">
        <f aca="false">Revenue!R118/(365/12)*'Cash Flow'!R3</f>
        <v>4677327.01354286</v>
      </c>
      <c r="S4" s="1024" t="n">
        <f aca="false">Revenue!S118/(365/12)*'Cash Flow'!S3</f>
        <v>5037121.3992</v>
      </c>
      <c r="T4" s="1024" t="n">
        <f aca="false">Revenue!T118/(365/12)*'Cash Flow'!T3</f>
        <v>5396915.78485715</v>
      </c>
      <c r="U4" s="1024" t="n">
        <f aca="false">Revenue!U118/(365/12)*'Cash Flow'!U3</f>
        <v>5756710.17051429</v>
      </c>
      <c r="V4" s="1024" t="n">
        <f aca="false">Revenue!V118/(365/12)*'Cash Flow'!V3</f>
        <v>6116504.55617143</v>
      </c>
      <c r="W4" s="1024" t="n">
        <f aca="false">Revenue!W118/(365/12)*'Cash Flow'!W3</f>
        <v>6476298.94182857</v>
      </c>
      <c r="X4" s="1024" t="n">
        <f aca="false">Revenue!X118/(365/12)*'Cash Flow'!X3</f>
        <v>6836093.32748571</v>
      </c>
      <c r="Y4" s="1025" t="n">
        <f aca="false">Revenue!Y118/(365/12)*'Cash Flow'!Y3</f>
        <v>7195887.71314286</v>
      </c>
      <c r="Z4" s="1026" t="n">
        <f aca="false">Revenue!Z118/(365/12)*'Cash Flow'!Z3</f>
        <v>13737603.816</v>
      </c>
      <c r="AA4" s="1027" t="n">
        <f aca="false">Revenue!AA118/(365/12)*'Cash Flow'!AA3</f>
        <v>13737603.816</v>
      </c>
      <c r="AB4" s="1027" t="n">
        <f aca="false">Revenue!AB118/(365/12)*'Cash Flow'!AB3</f>
        <v>13737603.816</v>
      </c>
      <c r="AC4" s="1027" t="n">
        <f aca="false">Revenue!AC118/(365/12)*'Cash Flow'!AC3</f>
        <v>13737603.816</v>
      </c>
      <c r="AD4" s="1027" t="n">
        <f aca="false">Revenue!AD118/(365/12)*'Cash Flow'!AD3</f>
        <v>13737603.816</v>
      </c>
      <c r="AE4" s="1027" t="n">
        <f aca="false">Revenue!AE118/(365/12)*'Cash Flow'!AE3</f>
        <v>13737603.816</v>
      </c>
      <c r="AF4" s="1027" t="n">
        <f aca="false">Revenue!AF118/(365/12)*'Cash Flow'!AF3</f>
        <v>13737603.816</v>
      </c>
      <c r="AG4" s="1027" t="n">
        <f aca="false">Revenue!AG118/(365/12)*'Cash Flow'!AG3</f>
        <v>13737603.816</v>
      </c>
      <c r="AH4" s="1027" t="n">
        <f aca="false">Revenue!AH118/(365/12)*'Cash Flow'!AH3</f>
        <v>13737603.816</v>
      </c>
      <c r="AI4" s="1027" t="n">
        <f aca="false">Revenue!AI118/(365/12)*'Cash Flow'!AI3</f>
        <v>13737603.816</v>
      </c>
      <c r="AJ4" s="1027" t="n">
        <f aca="false">Revenue!AJ118/(365/12)*'Cash Flow'!AJ3</f>
        <v>13737603.816</v>
      </c>
      <c r="AK4" s="1028" t="n">
        <f aca="false">Revenue!AK118/(365/12)*'Cash Flow'!AK3</f>
        <v>13737603.816</v>
      </c>
      <c r="AL4" s="1029" t="n">
        <f aca="false">Revenue!AL118/(365/12)*'Cash Flow'!AL3</f>
        <v>14882404.134</v>
      </c>
      <c r="AM4" s="1030" t="n">
        <f aca="false">Revenue!AM118/(365/12)*'Cash Flow'!AM3</f>
        <v>14882404.134</v>
      </c>
      <c r="AN4" s="1030" t="n">
        <f aca="false">Revenue!AN118/(365/12)*'Cash Flow'!AN3</f>
        <v>14882404.134</v>
      </c>
      <c r="AO4" s="1030" t="n">
        <f aca="false">Revenue!AO118/(365/12)*'Cash Flow'!AO3</f>
        <v>14882404.134</v>
      </c>
      <c r="AP4" s="1030" t="n">
        <f aca="false">Revenue!AP118/(365/12)*'Cash Flow'!AP3</f>
        <v>14882404.134</v>
      </c>
      <c r="AQ4" s="1030" t="n">
        <f aca="false">Revenue!AQ118/(365/12)*'Cash Flow'!AQ3</f>
        <v>14882404.134</v>
      </c>
      <c r="AR4" s="1030" t="n">
        <f aca="false">Revenue!AR118/(365/12)*'Cash Flow'!AR3</f>
        <v>14882404.134</v>
      </c>
      <c r="AS4" s="1030" t="n">
        <f aca="false">Revenue!AS118/(365/12)*'Cash Flow'!AS3</f>
        <v>14882404.134</v>
      </c>
      <c r="AT4" s="1030" t="n">
        <f aca="false">Revenue!AT118/(365/12)*'Cash Flow'!AT3</f>
        <v>14882404.134</v>
      </c>
      <c r="AU4" s="1030" t="n">
        <f aca="false">Revenue!AU118/(365/12)*'Cash Flow'!AU3</f>
        <v>14882404.134</v>
      </c>
      <c r="AV4" s="1030" t="n">
        <f aca="false">Revenue!AV118/(365/12)*'Cash Flow'!AV3</f>
        <v>14882404.134</v>
      </c>
      <c r="AW4" s="1031" t="n">
        <f aca="false">Revenue!AW118/(365/12)*'Cash Flow'!AW3</f>
        <v>14882404.134</v>
      </c>
      <c r="AX4" s="1032" t="n">
        <f aca="false">Revenue!AX118/(365/12)*'Cash Flow'!AX3</f>
        <v>16027204.452</v>
      </c>
      <c r="AY4" s="1033" t="n">
        <f aca="false">Revenue!AY118/(365/12)*'Cash Flow'!AY3</f>
        <v>16027204.452</v>
      </c>
      <c r="AZ4" s="1033" t="n">
        <f aca="false">Revenue!AZ118/(365/12)*'Cash Flow'!AZ3</f>
        <v>16027204.452</v>
      </c>
      <c r="BA4" s="1033" t="n">
        <f aca="false">Revenue!BA118/(365/12)*'Cash Flow'!BA3</f>
        <v>16027204.452</v>
      </c>
      <c r="BB4" s="1033" t="n">
        <f aca="false">Revenue!BB118/(365/12)*'Cash Flow'!BB3</f>
        <v>16027204.452</v>
      </c>
      <c r="BC4" s="1033" t="n">
        <f aca="false">Revenue!BC118/(365/12)*'Cash Flow'!BC3</f>
        <v>16027204.452</v>
      </c>
      <c r="BD4" s="1033" t="n">
        <f aca="false">Revenue!BD118/(365/12)*'Cash Flow'!BD3</f>
        <v>16027204.452</v>
      </c>
      <c r="BE4" s="1033" t="n">
        <f aca="false">Revenue!BE118/(365/12)*'Cash Flow'!BE3</f>
        <v>16027204.452</v>
      </c>
      <c r="BF4" s="1033" t="n">
        <f aca="false">Revenue!BF118/(365/12)*'Cash Flow'!BF3</f>
        <v>16027204.452</v>
      </c>
      <c r="BG4" s="1033" t="n">
        <f aca="false">Revenue!BG118/(365/12)*'Cash Flow'!BG3</f>
        <v>16027204.452</v>
      </c>
      <c r="BH4" s="1033" t="n">
        <f aca="false">Revenue!BH118/(365/12)*'Cash Flow'!BH3</f>
        <v>16027204.452</v>
      </c>
      <c r="BI4" s="1034" t="n">
        <f aca="false">Revenue!BI118/(365/12)*'Cash Flow'!BI3</f>
        <v>16027204.452</v>
      </c>
      <c r="BJ4" s="1019" t="n">
        <f aca="false">M4</f>
        <v>2117739.91946771</v>
      </c>
      <c r="BK4" s="1019" t="n">
        <f aca="false">Y4</f>
        <v>7195887.71314286</v>
      </c>
      <c r="BL4" s="1019" t="n">
        <f aca="false">AK4</f>
        <v>13737603.816</v>
      </c>
      <c r="BM4" s="1019" t="n">
        <f aca="false">AW4</f>
        <v>14882404.134</v>
      </c>
      <c r="BN4" s="1019" t="n">
        <f aca="false">BI4</f>
        <v>16027204.452</v>
      </c>
      <c r="BO4" s="1020" t="s">
        <v>1494</v>
      </c>
    </row>
    <row r="5" customFormat="false" ht="12" hidden="false" customHeight="true" outlineLevel="0" collapsed="false">
      <c r="A5" s="1020" t="s">
        <v>1495</v>
      </c>
      <c r="B5" s="1021" t="n">
        <f aca="false">Revenue!B150/(365/12)*'Cash Flow'!B4</f>
        <v>0</v>
      </c>
      <c r="C5" s="1021" t="n">
        <f aca="false">Revenue!C150/(365/12)*'Cash Flow'!C4</f>
        <v>0</v>
      </c>
      <c r="D5" s="1021" t="n">
        <f aca="false">Revenue!D150/(365/12)*'Cash Flow'!D4</f>
        <v>0</v>
      </c>
      <c r="E5" s="1021" t="n">
        <f aca="false">Revenue!E150/(365/12)*'Cash Flow'!E4</f>
        <v>0</v>
      </c>
      <c r="F5" s="1021" t="n">
        <f aca="false">Revenue!F150/(365/12)*'Cash Flow'!F4</f>
        <v>0</v>
      </c>
      <c r="G5" s="1021" t="n">
        <f aca="false">Revenue!G150/(365/12)*'Cash Flow'!G4</f>
        <v>0</v>
      </c>
      <c r="H5" s="1021" t="n">
        <f aca="false">Revenue!H150/(365/12)*'Cash Flow'!H4</f>
        <v>0</v>
      </c>
      <c r="I5" s="1021" t="n">
        <f aca="false">Revenue!I150/(365/12)*'Cash Flow'!I4</f>
        <v>0</v>
      </c>
      <c r="J5" s="1021" t="n">
        <f aca="false">Revenue!J150/(365/12)*'Cash Flow'!J4</f>
        <v>0</v>
      </c>
      <c r="K5" s="1021" t="n">
        <f aca="false">Revenue!K150/(365/12)*'Cash Flow'!K4</f>
        <v>0</v>
      </c>
      <c r="L5" s="1021" t="n">
        <f aca="false">Revenue!L150/(365/12)*'Cash Flow'!L4</f>
        <v>0</v>
      </c>
      <c r="M5" s="1022" t="n">
        <f aca="false">Revenue!M150/(365/12)*'Cash Flow'!M4</f>
        <v>0</v>
      </c>
      <c r="N5" s="1023" t="n">
        <f aca="false">Revenue!N150/(365/12)*'Cash Flow'!N4</f>
        <v>0</v>
      </c>
      <c r="O5" s="1024" t="n">
        <f aca="false">Revenue!O150/(365/12)*'Cash Flow'!O4</f>
        <v>0</v>
      </c>
      <c r="P5" s="1024" t="n">
        <f aca="false">Revenue!P150/(365/12)*'Cash Flow'!P4</f>
        <v>0</v>
      </c>
      <c r="Q5" s="1024" t="n">
        <f aca="false">Revenue!Q150/(365/12)*'Cash Flow'!Q4</f>
        <v>0</v>
      </c>
      <c r="R5" s="1024" t="n">
        <f aca="false">Revenue!R150/(365/12)*'Cash Flow'!R4</f>
        <v>0</v>
      </c>
      <c r="S5" s="1024" t="n">
        <f aca="false">Revenue!S150/(365/12)*'Cash Flow'!S4</f>
        <v>0</v>
      </c>
      <c r="T5" s="1024" t="n">
        <f aca="false">Revenue!T150/(365/12)*'Cash Flow'!T4</f>
        <v>0</v>
      </c>
      <c r="U5" s="1024" t="n">
        <f aca="false">Revenue!U150/(365/12)*'Cash Flow'!U4</f>
        <v>0</v>
      </c>
      <c r="V5" s="1024" t="n">
        <f aca="false">Revenue!V150/(365/12)*'Cash Flow'!V4</f>
        <v>0</v>
      </c>
      <c r="W5" s="1024" t="n">
        <f aca="false">Revenue!W150/(365/12)*'Cash Flow'!W4</f>
        <v>0</v>
      </c>
      <c r="X5" s="1024" t="n">
        <f aca="false">Revenue!X150/(365/12)*'Cash Flow'!X4</f>
        <v>0</v>
      </c>
      <c r="Y5" s="1025" t="n">
        <f aca="false">Revenue!Y150/(365/12)*'Cash Flow'!Y4</f>
        <v>0</v>
      </c>
      <c r="Z5" s="1026" t="n">
        <f aca="false">Revenue!Z150/(365/12)*'Cash Flow'!Z4</f>
        <v>0</v>
      </c>
      <c r="AA5" s="1027" t="n">
        <f aca="false">Revenue!AA150/(365/12)*'Cash Flow'!AA4</f>
        <v>0</v>
      </c>
      <c r="AB5" s="1027" t="n">
        <f aca="false">Revenue!AB150/(365/12)*'Cash Flow'!AB4</f>
        <v>0</v>
      </c>
      <c r="AC5" s="1027" t="n">
        <f aca="false">Revenue!AC150/(365/12)*'Cash Flow'!AC4</f>
        <v>0</v>
      </c>
      <c r="AD5" s="1027" t="n">
        <f aca="false">Revenue!AD150/(365/12)*'Cash Flow'!AD4</f>
        <v>0</v>
      </c>
      <c r="AE5" s="1027" t="n">
        <f aca="false">Revenue!AE150/(365/12)*'Cash Flow'!AE4</f>
        <v>0</v>
      </c>
      <c r="AF5" s="1027" t="n">
        <f aca="false">Revenue!AF150/(365/12)*'Cash Flow'!AF4</f>
        <v>0</v>
      </c>
      <c r="AG5" s="1027" t="n">
        <f aca="false">Revenue!AG150/(365/12)*'Cash Flow'!AG4</f>
        <v>0</v>
      </c>
      <c r="AH5" s="1027" t="n">
        <f aca="false">Revenue!AH150/(365/12)*'Cash Flow'!AH4</f>
        <v>0</v>
      </c>
      <c r="AI5" s="1027" t="n">
        <f aca="false">Revenue!AI150/(365/12)*'Cash Flow'!AI4</f>
        <v>0</v>
      </c>
      <c r="AJ5" s="1027" t="n">
        <f aca="false">Revenue!AJ150/(365/12)*'Cash Flow'!AJ4</f>
        <v>0</v>
      </c>
      <c r="AK5" s="1028" t="n">
        <f aca="false">Revenue!AK150/(365/12)*'Cash Flow'!AK4</f>
        <v>0</v>
      </c>
      <c r="AL5" s="1029" t="n">
        <f aca="false">Revenue!AL150/(365/12)*'Cash Flow'!AL4</f>
        <v>0</v>
      </c>
      <c r="AM5" s="1030" t="n">
        <f aca="false">Revenue!AM150/(365/12)*'Cash Flow'!AM4</f>
        <v>0</v>
      </c>
      <c r="AN5" s="1030" t="n">
        <f aca="false">Revenue!AN150/(365/12)*'Cash Flow'!AN4</f>
        <v>0</v>
      </c>
      <c r="AO5" s="1030" t="n">
        <f aca="false">Revenue!AO150/(365/12)*'Cash Flow'!AO4</f>
        <v>0</v>
      </c>
      <c r="AP5" s="1030" t="n">
        <f aca="false">Revenue!AP150/(365/12)*'Cash Flow'!AP4</f>
        <v>0</v>
      </c>
      <c r="AQ5" s="1030" t="n">
        <f aca="false">Revenue!AQ150/(365/12)*'Cash Flow'!AQ4</f>
        <v>0</v>
      </c>
      <c r="AR5" s="1030" t="n">
        <f aca="false">Revenue!AR150/(365/12)*'Cash Flow'!AR4</f>
        <v>0</v>
      </c>
      <c r="AS5" s="1030" t="n">
        <f aca="false">Revenue!AS150/(365/12)*'Cash Flow'!AS4</f>
        <v>0</v>
      </c>
      <c r="AT5" s="1030" t="n">
        <f aca="false">Revenue!AT150/(365/12)*'Cash Flow'!AT4</f>
        <v>0</v>
      </c>
      <c r="AU5" s="1030" t="n">
        <f aca="false">Revenue!AU150/(365/12)*'Cash Flow'!AU4</f>
        <v>0</v>
      </c>
      <c r="AV5" s="1030" t="n">
        <f aca="false">Revenue!AV150/(365/12)*'Cash Flow'!AV4</f>
        <v>0</v>
      </c>
      <c r="AW5" s="1031" t="n">
        <f aca="false">Revenue!AW150/(365/12)*'Cash Flow'!AW4</f>
        <v>0</v>
      </c>
      <c r="AX5" s="1032" t="n">
        <f aca="false">Revenue!AX150/(365/12)*'Cash Flow'!AX4</f>
        <v>0</v>
      </c>
      <c r="AY5" s="1033" t="n">
        <f aca="false">Revenue!AY150/(365/12)*'Cash Flow'!AY4</f>
        <v>0</v>
      </c>
      <c r="AZ5" s="1033" t="n">
        <f aca="false">Revenue!AZ150/(365/12)*'Cash Flow'!AZ4</f>
        <v>0</v>
      </c>
      <c r="BA5" s="1033" t="n">
        <f aca="false">Revenue!BA150/(365/12)*'Cash Flow'!BA4</f>
        <v>0</v>
      </c>
      <c r="BB5" s="1033" t="n">
        <f aca="false">Revenue!BB150/(365/12)*'Cash Flow'!BB4</f>
        <v>0</v>
      </c>
      <c r="BC5" s="1033" t="n">
        <f aca="false">Revenue!BC150/(365/12)*'Cash Flow'!BC4</f>
        <v>0</v>
      </c>
      <c r="BD5" s="1033" t="n">
        <f aca="false">Revenue!BD150/(365/12)*'Cash Flow'!BD4</f>
        <v>0</v>
      </c>
      <c r="BE5" s="1033" t="n">
        <f aca="false">Revenue!BE150/(365/12)*'Cash Flow'!BE4</f>
        <v>0</v>
      </c>
      <c r="BF5" s="1033" t="n">
        <f aca="false">Revenue!BF150/(365/12)*'Cash Flow'!BF4</f>
        <v>0</v>
      </c>
      <c r="BG5" s="1033" t="n">
        <f aca="false">Revenue!BG150/(365/12)*'Cash Flow'!BG4</f>
        <v>0</v>
      </c>
      <c r="BH5" s="1033" t="n">
        <f aca="false">Revenue!BH150/(365/12)*'Cash Flow'!BH4</f>
        <v>0</v>
      </c>
      <c r="BI5" s="1034" t="n">
        <f aca="false">Revenue!BI150/(365/12)*'Cash Flow'!BI4</f>
        <v>0</v>
      </c>
      <c r="BJ5" s="1019" t="n">
        <f aca="false">M5</f>
        <v>0</v>
      </c>
      <c r="BK5" s="1019" t="n">
        <f aca="false">Y5</f>
        <v>0</v>
      </c>
      <c r="BL5" s="1019" t="n">
        <f aca="false">AK5</f>
        <v>0</v>
      </c>
      <c r="BM5" s="1019" t="n">
        <f aca="false">AW5</f>
        <v>0</v>
      </c>
      <c r="BN5" s="1019" t="n">
        <f aca="false">BI5</f>
        <v>0</v>
      </c>
      <c r="BO5" s="1020" t="s">
        <v>1495</v>
      </c>
    </row>
    <row r="6" customFormat="false" ht="12" hidden="false" customHeight="true" outlineLevel="0" collapsed="false">
      <c r="A6" s="1020" t="s">
        <v>1496</v>
      </c>
      <c r="B6" s="1021" t="n">
        <f aca="false">++SUM(Existing!D11)+'Cash Flow'!B7-'Cash Flow'!B8+'Sources &amp; Uses'!B29</f>
        <v>0</v>
      </c>
      <c r="C6" s="1021" t="n">
        <f aca="false">B6+'Cash Flow'!C7-'Cash Flow'!C8</f>
        <v>0</v>
      </c>
      <c r="D6" s="1021" t="n">
        <f aca="false">C6+'Cash Flow'!D7-'Cash Flow'!D8</f>
        <v>0</v>
      </c>
      <c r="E6" s="1021" t="n">
        <f aca="false">D6+'Cash Flow'!E7-'Cash Flow'!E8</f>
        <v>0</v>
      </c>
      <c r="F6" s="1021" t="n">
        <f aca="false">E6+'Cash Flow'!F7-'Cash Flow'!F8</f>
        <v>0</v>
      </c>
      <c r="G6" s="1021" t="n">
        <f aca="false">F6+'Cash Flow'!G7-'Cash Flow'!G8</f>
        <v>0</v>
      </c>
      <c r="H6" s="1021" t="n">
        <f aca="false">G6+'Cash Flow'!H7-'Cash Flow'!H8</f>
        <v>0</v>
      </c>
      <c r="I6" s="1021" t="n">
        <f aca="false">H6+'Cash Flow'!I7-'Cash Flow'!I8</f>
        <v>0</v>
      </c>
      <c r="J6" s="1021" t="n">
        <f aca="false">I6+'Cash Flow'!J7-'Cash Flow'!J8</f>
        <v>0</v>
      </c>
      <c r="K6" s="1021" t="n">
        <f aca="false">J6+'Cash Flow'!K7-'Cash Flow'!K8</f>
        <v>0</v>
      </c>
      <c r="L6" s="1021" t="n">
        <f aca="false">K6+'Cash Flow'!L7-'Cash Flow'!L8</f>
        <v>0</v>
      </c>
      <c r="M6" s="1022" t="n">
        <f aca="false">L6+'Cash Flow'!M7-'Cash Flow'!M8</f>
        <v>0</v>
      </c>
      <c r="N6" s="1023" t="n">
        <f aca="false">M6+'Cash Flow'!N7-'Cash Flow'!N8</f>
        <v>0</v>
      </c>
      <c r="O6" s="1024" t="n">
        <f aca="false">N6+'Cash Flow'!O7-'Cash Flow'!O8</f>
        <v>0</v>
      </c>
      <c r="P6" s="1024" t="n">
        <f aca="false">O6+'Cash Flow'!P7-'Cash Flow'!P8</f>
        <v>0</v>
      </c>
      <c r="Q6" s="1024" t="n">
        <f aca="false">P6+'Cash Flow'!Q7-'Cash Flow'!Q8</f>
        <v>0</v>
      </c>
      <c r="R6" s="1024" t="n">
        <f aca="false">Q6+'Cash Flow'!R7-'Cash Flow'!R8</f>
        <v>0</v>
      </c>
      <c r="S6" s="1024" t="n">
        <f aca="false">R6+'Cash Flow'!S7-'Cash Flow'!S8</f>
        <v>0</v>
      </c>
      <c r="T6" s="1024" t="n">
        <f aca="false">S6+'Cash Flow'!T7-'Cash Flow'!T8</f>
        <v>0</v>
      </c>
      <c r="U6" s="1024" t="n">
        <f aca="false">T6+'Cash Flow'!U7-'Cash Flow'!U8</f>
        <v>0</v>
      </c>
      <c r="V6" s="1024" t="n">
        <f aca="false">U6+'Cash Flow'!V7-'Cash Flow'!V8</f>
        <v>0</v>
      </c>
      <c r="W6" s="1024" t="n">
        <f aca="false">V6+'Cash Flow'!W7-'Cash Flow'!W8</f>
        <v>0</v>
      </c>
      <c r="X6" s="1024" t="n">
        <f aca="false">W6+'Cash Flow'!X7-'Cash Flow'!X8</f>
        <v>0</v>
      </c>
      <c r="Y6" s="1025" t="n">
        <f aca="false">X6+'Cash Flow'!Y7-'Cash Flow'!Y8</f>
        <v>0</v>
      </c>
      <c r="Z6" s="1026" t="n">
        <f aca="false">Y6+'Cash Flow'!Z7-'Cash Flow'!Z8</f>
        <v>0</v>
      </c>
      <c r="AA6" s="1027" t="n">
        <f aca="false">Z6+'Cash Flow'!AA7-'Cash Flow'!AA8</f>
        <v>0</v>
      </c>
      <c r="AB6" s="1027" t="n">
        <f aca="false">AA6+'Cash Flow'!AB7-'Cash Flow'!AB8</f>
        <v>0</v>
      </c>
      <c r="AC6" s="1027" t="n">
        <f aca="false">AB6+'Cash Flow'!AC7-'Cash Flow'!AC8</f>
        <v>0</v>
      </c>
      <c r="AD6" s="1027" t="n">
        <f aca="false">AC6+'Cash Flow'!AD7-'Cash Flow'!AD8</f>
        <v>0</v>
      </c>
      <c r="AE6" s="1027" t="n">
        <f aca="false">AD6+'Cash Flow'!AE7-'Cash Flow'!AE8</f>
        <v>0</v>
      </c>
      <c r="AF6" s="1027" t="n">
        <f aca="false">AE6+'Cash Flow'!AF7-'Cash Flow'!AF8</f>
        <v>0</v>
      </c>
      <c r="AG6" s="1027" t="n">
        <f aca="false">AF6+'Cash Flow'!AG7-'Cash Flow'!AG8</f>
        <v>0</v>
      </c>
      <c r="AH6" s="1027" t="n">
        <f aca="false">AG6+'Cash Flow'!AH7-'Cash Flow'!AH8</f>
        <v>0</v>
      </c>
      <c r="AI6" s="1027" t="n">
        <f aca="false">AH6+'Cash Flow'!AI7-'Cash Flow'!AI8</f>
        <v>0</v>
      </c>
      <c r="AJ6" s="1027" t="n">
        <f aca="false">AI6+'Cash Flow'!AJ7-'Cash Flow'!AJ8</f>
        <v>0</v>
      </c>
      <c r="AK6" s="1028" t="n">
        <f aca="false">AJ6+'Cash Flow'!AK7-'Cash Flow'!AK8</f>
        <v>0</v>
      </c>
      <c r="AL6" s="1029" t="n">
        <f aca="false">AK6+'Cash Flow'!AL7-'Cash Flow'!AL8</f>
        <v>0</v>
      </c>
      <c r="AM6" s="1030" t="n">
        <f aca="false">AL6+'Cash Flow'!AM7-'Cash Flow'!AM8</f>
        <v>0</v>
      </c>
      <c r="AN6" s="1030" t="n">
        <f aca="false">AM6+'Cash Flow'!AN7-'Cash Flow'!AN8</f>
        <v>0</v>
      </c>
      <c r="AO6" s="1030" t="n">
        <f aca="false">AN6+'Cash Flow'!AO7-'Cash Flow'!AO8</f>
        <v>0</v>
      </c>
      <c r="AP6" s="1030" t="n">
        <f aca="false">AO6+'Cash Flow'!AP7-'Cash Flow'!AP8</f>
        <v>0</v>
      </c>
      <c r="AQ6" s="1030" t="n">
        <f aca="false">AP6+'Cash Flow'!AQ7-'Cash Flow'!AQ8</f>
        <v>0</v>
      </c>
      <c r="AR6" s="1030" t="n">
        <f aca="false">AQ6+'Cash Flow'!AR7-'Cash Flow'!AR8</f>
        <v>0</v>
      </c>
      <c r="AS6" s="1030" t="n">
        <f aca="false">AR6+'Cash Flow'!AS7-'Cash Flow'!AS8</f>
        <v>0</v>
      </c>
      <c r="AT6" s="1030" t="n">
        <f aca="false">AS6+'Cash Flow'!AT7-'Cash Flow'!AT8</f>
        <v>0</v>
      </c>
      <c r="AU6" s="1030" t="n">
        <f aca="false">AT6+'Cash Flow'!AU7-'Cash Flow'!AU8</f>
        <v>0</v>
      </c>
      <c r="AV6" s="1030" t="n">
        <f aca="false">AU6+'Cash Flow'!AV7-'Cash Flow'!AV8</f>
        <v>0</v>
      </c>
      <c r="AW6" s="1031" t="n">
        <f aca="false">AV6+'Cash Flow'!AW7-'Cash Flow'!AW8</f>
        <v>0</v>
      </c>
      <c r="AX6" s="1032" t="n">
        <f aca="false">AW6+'Cash Flow'!AX7-'Cash Flow'!AX8</f>
        <v>0</v>
      </c>
      <c r="AY6" s="1033" t="n">
        <f aca="false">AX6+'Cash Flow'!AY7-'Cash Flow'!AY8</f>
        <v>0</v>
      </c>
      <c r="AZ6" s="1033" t="n">
        <f aca="false">AY6+'Cash Flow'!AZ7-'Cash Flow'!AZ8</f>
        <v>0</v>
      </c>
      <c r="BA6" s="1033" t="n">
        <f aca="false">AZ6+'Cash Flow'!BA7-'Cash Flow'!BA8</f>
        <v>0</v>
      </c>
      <c r="BB6" s="1033" t="n">
        <f aca="false">BA6+'Cash Flow'!BB7-'Cash Flow'!BB8</f>
        <v>0</v>
      </c>
      <c r="BC6" s="1033" t="n">
        <f aca="false">BB6+'Cash Flow'!BC7-'Cash Flow'!BC8</f>
        <v>0</v>
      </c>
      <c r="BD6" s="1033" t="n">
        <f aca="false">BC6+'Cash Flow'!BD7-'Cash Flow'!BD8</f>
        <v>0</v>
      </c>
      <c r="BE6" s="1033" t="n">
        <f aca="false">BD6+'Cash Flow'!BE7-'Cash Flow'!BE8</f>
        <v>0</v>
      </c>
      <c r="BF6" s="1033" t="n">
        <f aca="false">BE6+'Cash Flow'!BF7-'Cash Flow'!BF8</f>
        <v>0</v>
      </c>
      <c r="BG6" s="1033" t="n">
        <f aca="false">BF6+'Cash Flow'!BG7-'Cash Flow'!BG8</f>
        <v>0</v>
      </c>
      <c r="BH6" s="1033" t="n">
        <f aca="false">BG6+'Cash Flow'!BH7-'Cash Flow'!BH8</f>
        <v>0</v>
      </c>
      <c r="BI6" s="1034" t="n">
        <f aca="false">BH6+'Cash Flow'!BI7-'Cash Flow'!BI8</f>
        <v>0</v>
      </c>
      <c r="BJ6" s="1019" t="n">
        <f aca="false">M6</f>
        <v>0</v>
      </c>
      <c r="BK6" s="1019" t="n">
        <f aca="false">Y6</f>
        <v>0</v>
      </c>
      <c r="BL6" s="1019" t="n">
        <f aca="false">AK6</f>
        <v>0</v>
      </c>
      <c r="BM6" s="1019" t="n">
        <f aca="false">AW6</f>
        <v>0</v>
      </c>
      <c r="BN6" s="1019" t="n">
        <f aca="false">BI6</f>
        <v>0</v>
      </c>
      <c r="BO6" s="1020" t="s">
        <v>1496</v>
      </c>
    </row>
    <row r="7" customFormat="false" ht="12" hidden="false" customHeight="true" outlineLevel="0" collapsed="false">
      <c r="A7" s="1004" t="s">
        <v>1799</v>
      </c>
      <c r="B7" s="1021" t="n">
        <f aca="false">SUM(B3:B6)</f>
        <v>9994578.0003863</v>
      </c>
      <c r="C7" s="1021" t="n">
        <f aca="false">SUM(C3:C6)</f>
        <v>9598538.38475069</v>
      </c>
      <c r="D7" s="1021" t="n">
        <f aca="false">SUM(D3:D6)</f>
        <v>9186465.94065162</v>
      </c>
      <c r="E7" s="1021" t="n">
        <f aca="false">SUM(E3:E6)</f>
        <v>8897169.92819616</v>
      </c>
      <c r="F7" s="1021" t="n">
        <f aca="false">SUM(F3:F6)</f>
        <v>8646035.71663305</v>
      </c>
      <c r="G7" s="1021" t="n">
        <f aca="false">SUM(G3:G6)</f>
        <v>8564865.21051232</v>
      </c>
      <c r="H7" s="1021" t="n">
        <f aca="false">SUM(H3:H6)</f>
        <v>8505169.04121211</v>
      </c>
      <c r="I7" s="1021" t="n">
        <f aca="false">SUM(I3:I6)</f>
        <v>8430441.81349871</v>
      </c>
      <c r="J7" s="1021" t="n">
        <f aca="false">SUM(J3:J6)</f>
        <v>8374090.27519182</v>
      </c>
      <c r="K7" s="1021" t="n">
        <f aca="false">SUM(K3:K6)</f>
        <v>8359260.51876296</v>
      </c>
      <c r="L7" s="1021" t="n">
        <f aca="false">SUM(L3:L6)</f>
        <v>8388865.88887545</v>
      </c>
      <c r="M7" s="1022" t="n">
        <f aca="false">SUM(M3:M6)</f>
        <v>8462126.30069137</v>
      </c>
      <c r="N7" s="1023" t="n">
        <f aca="false">SUM(N3:N6)</f>
        <v>9442753.25301738</v>
      </c>
      <c r="O7" s="1024" t="n">
        <f aca="false">SUM(O3:O6)</f>
        <v>10211995.5449655</v>
      </c>
      <c r="P7" s="1024" t="n">
        <f aca="false">SUM(P3:P6)</f>
        <v>11071820.7635723</v>
      </c>
      <c r="Q7" s="1024" t="n">
        <f aca="false">SUM(Q3:Q6)</f>
        <v>11980945.7035368</v>
      </c>
      <c r="R7" s="1024" t="n">
        <f aca="false">SUM(R3:R6)</f>
        <v>12941682.4576834</v>
      </c>
      <c r="S7" s="1024" t="n">
        <f aca="false">SUM(S3:S6)</f>
        <v>13954031.0078933</v>
      </c>
      <c r="T7" s="1024" t="n">
        <f aca="false">SUM(T3:T6)</f>
        <v>15016531.9850765</v>
      </c>
      <c r="U7" s="1024" t="n">
        <f aca="false">SUM(U3:U6)</f>
        <v>16025985.1767685</v>
      </c>
      <c r="V7" s="1024" t="n">
        <f aca="false">SUM(V3:V6)</f>
        <v>17117816.3050503</v>
      </c>
      <c r="W7" s="1024" t="n">
        <f aca="false">SUM(W3:W6)</f>
        <v>18332687.57823</v>
      </c>
      <c r="X7" s="1024" t="n">
        <f aca="false">SUM(X3:X6)</f>
        <v>19670598.4126711</v>
      </c>
      <c r="Y7" s="1025" t="n">
        <f aca="false">SUM(Y3:Y6)</f>
        <v>21131548.2218189</v>
      </c>
      <c r="Z7" s="1026" t="n">
        <f aca="false">SUM(Z3:Z6)</f>
        <v>28927581.5646319</v>
      </c>
      <c r="AA7" s="1027" t="n">
        <f aca="false">SUM(AA3:AA6)</f>
        <v>32472136.5666411</v>
      </c>
      <c r="AB7" s="1027" t="n">
        <f aca="false">SUM(AB3:AB6)</f>
        <v>36016571.8938304</v>
      </c>
      <c r="AC7" s="1027" t="n">
        <f aca="false">SUM(AC3:AC6)</f>
        <v>39560886.9478259</v>
      </c>
      <c r="AD7" s="1027" t="n">
        <f aca="false">SUM(AD3:AD6)</f>
        <v>43105081.1272614</v>
      </c>
      <c r="AE7" s="1027" t="n">
        <f aca="false">SUM(AE3:AE6)</f>
        <v>46649153.8277644</v>
      </c>
      <c r="AF7" s="1027" t="n">
        <f aca="false">SUM(AF3:AF6)</f>
        <v>50193104.44194</v>
      </c>
      <c r="AG7" s="1027" t="n">
        <f aca="false">SUM(AG3:AG6)</f>
        <v>53736932.3593566</v>
      </c>
      <c r="AH7" s="1027" t="n">
        <f aca="false">SUM(AH3:AH6)</f>
        <v>57280636.9665305</v>
      </c>
      <c r="AI7" s="1027" t="n">
        <f aca="false">SUM(AI3:AI6)</f>
        <v>60824217.6469104</v>
      </c>
      <c r="AJ7" s="1027" t="n">
        <f aca="false">SUM(AJ3:AJ6)</f>
        <v>64367673.7808624</v>
      </c>
      <c r="AK7" s="1028" t="n">
        <f aca="false">SUM(AK3:AK6)</f>
        <v>67911004.7456542</v>
      </c>
      <c r="AL7" s="1029" t="n">
        <f aca="false">SUM(AL3:AL6)</f>
        <v>72606195.9277864</v>
      </c>
      <c r="AM7" s="1030" t="n">
        <f aca="false">SUM(AM3:AM6)</f>
        <v>76673830.3608585</v>
      </c>
      <c r="AN7" s="1030" t="n">
        <f aca="false">SUM(AN3:AN6)</f>
        <v>80741337.7378298</v>
      </c>
      <c r="AO7" s="1030" t="n">
        <f aca="false">SUM(AO3:AO6)</f>
        <v>84808717.4234199</v>
      </c>
      <c r="AP7" s="1030" t="n">
        <f aca="false">SUM(AP3:AP6)</f>
        <v>88875968.7791716</v>
      </c>
      <c r="AQ7" s="1030" t="n">
        <f aca="false">SUM(AQ3:AQ6)</f>
        <v>92943091.163436</v>
      </c>
      <c r="AR7" s="1030" t="n">
        <f aca="false">SUM(AR3:AR6)</f>
        <v>97010083.9313555</v>
      </c>
      <c r="AS7" s="1030" t="n">
        <f aca="false">SUM(AS3:AS6)</f>
        <v>101076946.434848</v>
      </c>
      <c r="AT7" s="1030" t="n">
        <f aca="false">SUM(AT3:AT6)</f>
        <v>105143678.022593</v>
      </c>
      <c r="AU7" s="1030" t="n">
        <f aca="false">SUM(AU3:AU6)</f>
        <v>109210278.040009</v>
      </c>
      <c r="AV7" s="1030" t="n">
        <f aca="false">SUM(AV3:AV6)</f>
        <v>113276745.829247</v>
      </c>
      <c r="AW7" s="1031" t="n">
        <f aca="false">SUM(AW3:AW6)</f>
        <v>117343080.729165</v>
      </c>
      <c r="AX7" s="1032" t="n">
        <f aca="false">SUM(AX3:AX6)</f>
        <v>122561229.3537</v>
      </c>
      <c r="AY7" s="1033" t="n">
        <f aca="false">SUM(AY3:AY6)</f>
        <v>127149024.586327</v>
      </c>
      <c r="AZ7" s="1033" t="n">
        <f aca="false">SUM(AZ3:AZ6)</f>
        <v>131736684.926312</v>
      </c>
      <c r="BA7" s="1033" t="n">
        <f aca="false">SUM(BA3:BA6)</f>
        <v>136324209.699191</v>
      </c>
      <c r="BB7" s="1033" t="n">
        <f aca="false">SUM(BB3:BB6)</f>
        <v>140911598.227127</v>
      </c>
      <c r="BC7" s="1033" t="n">
        <f aca="false">SUM(BC3:BC6)</f>
        <v>145498849.828897</v>
      </c>
      <c r="BD7" s="1033" t="n">
        <f aca="false">SUM(BD3:BD6)</f>
        <v>150085963.81987</v>
      </c>
      <c r="BE7" s="1033" t="n">
        <f aca="false">SUM(BE3:BE6)</f>
        <v>154672939.511991</v>
      </c>
      <c r="BF7" s="1033" t="n">
        <f aca="false">SUM(BF3:BF6)</f>
        <v>159259776.213766</v>
      </c>
      <c r="BG7" s="1033" t="n">
        <f aca="false">SUM(BG3:BG6)</f>
        <v>163846473.230245</v>
      </c>
      <c r="BH7" s="1033" t="n">
        <f aca="false">SUM(BH3:BH6)</f>
        <v>168433029.862999</v>
      </c>
      <c r="BI7" s="1034" t="n">
        <f aca="false">SUM(BI3:BI6)</f>
        <v>173019445.410111</v>
      </c>
      <c r="BJ7" s="1019" t="n">
        <f aca="false">SUM(BJ3:BJ6)</f>
        <v>8462126.30069137</v>
      </c>
      <c r="BK7" s="1019" t="n">
        <f aca="false">SUM(BK3:BK6)</f>
        <v>21131548.2218189</v>
      </c>
      <c r="BL7" s="1019" t="n">
        <f aca="false">SUM(BL3:BL6)</f>
        <v>67911004.7456542</v>
      </c>
      <c r="BM7" s="1019" t="n">
        <f aca="false">SUM(BM3:BM6)</f>
        <v>117343080.729165</v>
      </c>
      <c r="BN7" s="1019" t="n">
        <f aca="false">SUM(BN3:BN6)</f>
        <v>173019445.410111</v>
      </c>
      <c r="BO7" s="1004" t="s">
        <v>1799</v>
      </c>
    </row>
    <row r="8" customFormat="false" ht="12" hidden="false" customHeight="true" outlineLevel="0" collapsed="false">
      <c r="A8" s="1004"/>
      <c r="B8" s="1021"/>
      <c r="C8" s="1021"/>
      <c r="D8" s="1021"/>
      <c r="E8" s="1021"/>
      <c r="F8" s="1021"/>
      <c r="G8" s="1021"/>
      <c r="H8" s="1021"/>
      <c r="I8" s="1021"/>
      <c r="J8" s="1021"/>
      <c r="K8" s="1021"/>
      <c r="L8" s="1021"/>
      <c r="M8" s="1022"/>
      <c r="N8" s="1023"/>
      <c r="O8" s="1024"/>
      <c r="P8" s="1024"/>
      <c r="Q8" s="1024"/>
      <c r="R8" s="1024"/>
      <c r="S8" s="1024"/>
      <c r="T8" s="1024"/>
      <c r="U8" s="1024"/>
      <c r="V8" s="1024"/>
      <c r="W8" s="1024"/>
      <c r="X8" s="1024"/>
      <c r="Y8" s="1025"/>
      <c r="Z8" s="1026"/>
      <c r="AA8" s="1027"/>
      <c r="AB8" s="1027"/>
      <c r="AC8" s="1027"/>
      <c r="AD8" s="1027"/>
      <c r="AE8" s="1027"/>
      <c r="AF8" s="1027"/>
      <c r="AG8" s="1027"/>
      <c r="AH8" s="1027"/>
      <c r="AI8" s="1027"/>
      <c r="AJ8" s="1027"/>
      <c r="AK8" s="1028"/>
      <c r="AL8" s="1029"/>
      <c r="AM8" s="1030"/>
      <c r="AN8" s="1030"/>
      <c r="AO8" s="1030"/>
      <c r="AP8" s="1030"/>
      <c r="AQ8" s="1030"/>
      <c r="AR8" s="1030"/>
      <c r="AS8" s="1030"/>
      <c r="AT8" s="1030"/>
      <c r="AU8" s="1030"/>
      <c r="AV8" s="1030"/>
      <c r="AW8" s="1031"/>
      <c r="AX8" s="1032"/>
      <c r="AY8" s="1033"/>
      <c r="AZ8" s="1033"/>
      <c r="BA8" s="1033"/>
      <c r="BB8" s="1033"/>
      <c r="BC8" s="1033"/>
      <c r="BD8" s="1033"/>
      <c r="BE8" s="1033"/>
      <c r="BF8" s="1033"/>
      <c r="BG8" s="1033"/>
      <c r="BH8" s="1033"/>
      <c r="BI8" s="1034"/>
      <c r="BJ8" s="1019"/>
      <c r="BK8" s="1019"/>
      <c r="BL8" s="1019"/>
      <c r="BM8" s="1019"/>
      <c r="BN8" s="1019"/>
      <c r="BO8" s="1004"/>
    </row>
    <row r="9" customFormat="false" ht="12" hidden="false" customHeight="true" outlineLevel="0" collapsed="false">
      <c r="A9" s="1004" t="s">
        <v>1800</v>
      </c>
      <c r="B9" s="1021"/>
      <c r="C9" s="1021"/>
      <c r="D9" s="1021"/>
      <c r="E9" s="1021"/>
      <c r="F9" s="1021"/>
      <c r="G9" s="1021"/>
      <c r="H9" s="1021"/>
      <c r="I9" s="1021"/>
      <c r="J9" s="1021"/>
      <c r="K9" s="1021"/>
      <c r="L9" s="1021"/>
      <c r="M9" s="1022"/>
      <c r="N9" s="1023"/>
      <c r="O9" s="1024"/>
      <c r="P9" s="1024"/>
      <c r="Q9" s="1024"/>
      <c r="R9" s="1024"/>
      <c r="S9" s="1024"/>
      <c r="T9" s="1024"/>
      <c r="U9" s="1024"/>
      <c r="V9" s="1024"/>
      <c r="W9" s="1024"/>
      <c r="X9" s="1024"/>
      <c r="Y9" s="1025"/>
      <c r="Z9" s="1026"/>
      <c r="AA9" s="1027"/>
      <c r="AB9" s="1027"/>
      <c r="AC9" s="1027"/>
      <c r="AD9" s="1027"/>
      <c r="AE9" s="1027"/>
      <c r="AF9" s="1027"/>
      <c r="AG9" s="1027"/>
      <c r="AH9" s="1027"/>
      <c r="AI9" s="1027"/>
      <c r="AJ9" s="1027"/>
      <c r="AK9" s="1028"/>
      <c r="AL9" s="1029"/>
      <c r="AM9" s="1030"/>
      <c r="AN9" s="1030"/>
      <c r="AO9" s="1030"/>
      <c r="AP9" s="1030"/>
      <c r="AQ9" s="1030"/>
      <c r="AR9" s="1030"/>
      <c r="AS9" s="1030"/>
      <c r="AT9" s="1030"/>
      <c r="AU9" s="1030"/>
      <c r="AV9" s="1030"/>
      <c r="AW9" s="1031"/>
      <c r="AX9" s="1032"/>
      <c r="AY9" s="1033"/>
      <c r="AZ9" s="1033"/>
      <c r="BA9" s="1033"/>
      <c r="BB9" s="1033"/>
      <c r="BC9" s="1033"/>
      <c r="BD9" s="1033"/>
      <c r="BE9" s="1033"/>
      <c r="BF9" s="1033"/>
      <c r="BG9" s="1033"/>
      <c r="BH9" s="1033"/>
      <c r="BI9" s="1034"/>
      <c r="BJ9" s="1019"/>
      <c r="BK9" s="1019"/>
      <c r="BL9" s="1019"/>
      <c r="BM9" s="1019"/>
      <c r="BN9" s="1019"/>
      <c r="BO9" s="1004" t="s">
        <v>1800</v>
      </c>
    </row>
    <row r="10" customFormat="false" ht="12" hidden="false" customHeight="true" outlineLevel="0" collapsed="false">
      <c r="A10" s="1020" t="s">
        <v>1497</v>
      </c>
      <c r="B10" s="1021" t="n">
        <f aca="false">'Cash Flow'!B11</f>
        <v>0</v>
      </c>
      <c r="C10" s="1021" t="n">
        <f aca="false">B10+'Cash Flow'!C12-'Cash Flow'!C13+'Cash Flow'!C11</f>
        <v>0</v>
      </c>
      <c r="D10" s="1021" t="n">
        <f aca="false">C10+'Cash Flow'!D12-'Cash Flow'!D13+'Cash Flow'!D11</f>
        <v>0</v>
      </c>
      <c r="E10" s="1021" t="n">
        <f aca="false">D10+'Cash Flow'!E12-'Cash Flow'!E13+'Cash Flow'!E11</f>
        <v>0</v>
      </c>
      <c r="F10" s="1021" t="n">
        <f aca="false">E10+'Cash Flow'!F12-'Cash Flow'!F13+'Cash Flow'!F11</f>
        <v>0</v>
      </c>
      <c r="G10" s="1021" t="n">
        <f aca="false">F10+'Cash Flow'!G12-'Cash Flow'!G13+'Cash Flow'!G11</f>
        <v>0</v>
      </c>
      <c r="H10" s="1021" t="n">
        <f aca="false">G10+'Cash Flow'!H12-'Cash Flow'!H13+'Cash Flow'!H11</f>
        <v>5134620</v>
      </c>
      <c r="I10" s="1021" t="n">
        <f aca="false">H10+'Cash Flow'!I12-'Cash Flow'!I13+'Cash Flow'!I11</f>
        <v>8696214.6</v>
      </c>
      <c r="J10" s="1021" t="n">
        <f aca="false">I10+'Cash Flow'!J12-'Cash Flow'!J13+'Cash Flow'!J11</f>
        <v>11563737.6</v>
      </c>
      <c r="K10" s="1021" t="n">
        <f aca="false">J10+'Cash Flow'!K12-'Cash Flow'!K13+'Cash Flow'!K11</f>
        <v>14645993.4</v>
      </c>
      <c r="L10" s="1021" t="n">
        <f aca="false">K10+'Cash Flow'!L12-'Cash Flow'!L13+'Cash Flow'!L11</f>
        <v>17083378.8</v>
      </c>
      <c r="M10" s="1022" t="n">
        <f aca="false">L10+'Cash Flow'!M12-'Cash Flow'!M13+'Cash Flow'!M11</f>
        <v>20165634.6</v>
      </c>
      <c r="N10" s="1023" t="n">
        <f aca="false">M10+'Cash Flow'!N12-'Cash Flow'!N13+'Cash Flow'!N11</f>
        <v>22529820</v>
      </c>
      <c r="O10" s="1024" t="n">
        <f aca="false">N10+'Cash Flow'!O12-'Cash Flow'!O13+'Cash Flow'!O11</f>
        <v>22995835.2</v>
      </c>
      <c r="P10" s="1024" t="n">
        <f aca="false">O10+'Cash Flow'!P12-'Cash Flow'!P13+'Cash Flow'!P11</f>
        <v>23461850.4</v>
      </c>
      <c r="Q10" s="1024" t="n">
        <f aca="false">P10+'Cash Flow'!Q12-'Cash Flow'!Q13+'Cash Flow'!Q11</f>
        <v>23461850.4</v>
      </c>
      <c r="R10" s="1024" t="n">
        <f aca="false">Q10+'Cash Flow'!R12-'Cash Flow'!R13+'Cash Flow'!R11</f>
        <v>23461850.4</v>
      </c>
      <c r="S10" s="1024" t="n">
        <f aca="false">R10+'Cash Flow'!S12-'Cash Flow'!S13+'Cash Flow'!S11</f>
        <v>23461850.4</v>
      </c>
      <c r="T10" s="1024" t="n">
        <f aca="false">S10+'Cash Flow'!T12-'Cash Flow'!T13+'Cash Flow'!T11</f>
        <v>23461850.4</v>
      </c>
      <c r="U10" s="1024" t="n">
        <f aca="false">T10+'Cash Flow'!U12-'Cash Flow'!U13+'Cash Flow'!U11</f>
        <v>23461850.4</v>
      </c>
      <c r="V10" s="1024" t="n">
        <f aca="false">U10+'Cash Flow'!V12-'Cash Flow'!V13+'Cash Flow'!V11</f>
        <v>23461850.4</v>
      </c>
      <c r="W10" s="1024" t="n">
        <f aca="false">V10+'Cash Flow'!W12-'Cash Flow'!W13+'Cash Flow'!W11</f>
        <v>23461850.4</v>
      </c>
      <c r="X10" s="1024" t="n">
        <f aca="false">W10+'Cash Flow'!X12-'Cash Flow'!X13+'Cash Flow'!X11</f>
        <v>23461850.4</v>
      </c>
      <c r="Y10" s="1025" t="n">
        <f aca="false">X10+'Cash Flow'!Y12-'Cash Flow'!Y13+'Cash Flow'!Y11</f>
        <v>23461850.4</v>
      </c>
      <c r="Z10" s="1026" t="n">
        <f aca="false">Y10+'Cash Flow'!Z12-'Cash Flow'!Z13+'Cash Flow'!Z11</f>
        <v>23461850.4</v>
      </c>
      <c r="AA10" s="1027" t="n">
        <f aca="false">Z10+'Cash Flow'!AA12-'Cash Flow'!AA13+'Cash Flow'!AA11</f>
        <v>23461850.4</v>
      </c>
      <c r="AB10" s="1027" t="n">
        <f aca="false">AA10+'Cash Flow'!AB12-'Cash Flow'!AB13+'Cash Flow'!AB11</f>
        <v>23461850.4</v>
      </c>
      <c r="AC10" s="1027" t="n">
        <f aca="false">AB10+'Cash Flow'!AC12-'Cash Flow'!AC13+'Cash Flow'!AC11</f>
        <v>23461850.4</v>
      </c>
      <c r="AD10" s="1027" t="n">
        <f aca="false">AC10+'Cash Flow'!AD12-'Cash Flow'!AD13+'Cash Flow'!AD11</f>
        <v>23461850.4</v>
      </c>
      <c r="AE10" s="1027" t="n">
        <f aca="false">AD10+'Cash Flow'!AE12-'Cash Flow'!AE13+'Cash Flow'!AE11</f>
        <v>23461850.4</v>
      </c>
      <c r="AF10" s="1027" t="n">
        <f aca="false">AE10+'Cash Flow'!AF12-'Cash Flow'!AF13+'Cash Flow'!AF11</f>
        <v>23461850.4</v>
      </c>
      <c r="AG10" s="1027" t="n">
        <f aca="false">AF10+'Cash Flow'!AG12-'Cash Flow'!AG13+'Cash Flow'!AG11</f>
        <v>23461850.4</v>
      </c>
      <c r="AH10" s="1027" t="n">
        <f aca="false">AG10+'Cash Flow'!AH12-'Cash Flow'!AH13+'Cash Flow'!AH11</f>
        <v>23461850.4</v>
      </c>
      <c r="AI10" s="1027" t="n">
        <f aca="false">AH10+'Cash Flow'!AI12-'Cash Flow'!AI13+'Cash Flow'!AI11</f>
        <v>23461850.4</v>
      </c>
      <c r="AJ10" s="1027" t="n">
        <f aca="false">AI10+'Cash Flow'!AJ12-'Cash Flow'!AJ13+'Cash Flow'!AJ11</f>
        <v>23461850.4</v>
      </c>
      <c r="AK10" s="1028" t="n">
        <f aca="false">AJ10+'Cash Flow'!AK12-'Cash Flow'!AK13+'Cash Flow'!AK11</f>
        <v>23461850.4</v>
      </c>
      <c r="AL10" s="1029" t="n">
        <f aca="false">AK10+'Cash Flow'!AL12-'Cash Flow'!AL13+'Cash Flow'!AL11</f>
        <v>23461850.4</v>
      </c>
      <c r="AM10" s="1030" t="n">
        <f aca="false">AL10+'Cash Flow'!AM12-'Cash Flow'!AM13+'Cash Flow'!AM11</f>
        <v>23461850.4</v>
      </c>
      <c r="AN10" s="1030" t="n">
        <f aca="false">AM10+'Cash Flow'!AN12-'Cash Flow'!AN13+'Cash Flow'!AN11</f>
        <v>23461850.4</v>
      </c>
      <c r="AO10" s="1030" t="n">
        <f aca="false">AN10+'Cash Flow'!AO12-'Cash Flow'!AO13+'Cash Flow'!AO11</f>
        <v>23461850.4</v>
      </c>
      <c r="AP10" s="1030" t="n">
        <f aca="false">AO10+'Cash Flow'!AP12-'Cash Flow'!AP13+'Cash Flow'!AP11</f>
        <v>23461850.4</v>
      </c>
      <c r="AQ10" s="1030" t="n">
        <f aca="false">AP10+'Cash Flow'!AQ12-'Cash Flow'!AQ13+'Cash Flow'!AQ11</f>
        <v>23461850.4</v>
      </c>
      <c r="AR10" s="1030" t="n">
        <f aca="false">AQ10+'Cash Flow'!AR12-'Cash Flow'!AR13+'Cash Flow'!AR11</f>
        <v>23461850.4</v>
      </c>
      <c r="AS10" s="1030" t="n">
        <f aca="false">AR10+'Cash Flow'!AS12-'Cash Flow'!AS13+'Cash Flow'!AS11</f>
        <v>23461850.4</v>
      </c>
      <c r="AT10" s="1030" t="n">
        <f aca="false">AS10+'Cash Flow'!AT12-'Cash Flow'!AT13+'Cash Flow'!AT11</f>
        <v>23461850.4</v>
      </c>
      <c r="AU10" s="1030" t="n">
        <f aca="false">AT10+'Cash Flow'!AU12-'Cash Flow'!AU13+'Cash Flow'!AU11</f>
        <v>23461850.4</v>
      </c>
      <c r="AV10" s="1030" t="n">
        <f aca="false">AU10+'Cash Flow'!AV12-'Cash Flow'!AV13+'Cash Flow'!AV11</f>
        <v>23461850.4</v>
      </c>
      <c r="AW10" s="1031" t="n">
        <f aca="false">AV10+'Cash Flow'!AW12-'Cash Flow'!AW13+'Cash Flow'!AW11</f>
        <v>23461850.4</v>
      </c>
      <c r="AX10" s="1032" t="n">
        <f aca="false">AW10+'Cash Flow'!AX12-'Cash Flow'!AX13+'Cash Flow'!AX11</f>
        <v>23461850.4</v>
      </c>
      <c r="AY10" s="1033" t="n">
        <f aca="false">AX10+'Cash Flow'!AY12-'Cash Flow'!AY13+'Cash Flow'!AY11</f>
        <v>23461850.4</v>
      </c>
      <c r="AZ10" s="1033" t="n">
        <f aca="false">AY10+'Cash Flow'!AZ12-'Cash Flow'!AZ13+'Cash Flow'!AZ11</f>
        <v>23461850.4</v>
      </c>
      <c r="BA10" s="1033" t="n">
        <f aca="false">AZ10+'Cash Flow'!BA12-'Cash Flow'!BA13+'Cash Flow'!BA11</f>
        <v>23461850.4</v>
      </c>
      <c r="BB10" s="1033" t="n">
        <f aca="false">BA10+'Cash Flow'!BB12-'Cash Flow'!BB13+'Cash Flow'!BB11</f>
        <v>23461850.4</v>
      </c>
      <c r="BC10" s="1033" t="n">
        <f aca="false">BB10+'Cash Flow'!BC12-'Cash Flow'!BC13+'Cash Flow'!BC11</f>
        <v>23461850.4</v>
      </c>
      <c r="BD10" s="1033" t="n">
        <f aca="false">BC10+'Cash Flow'!BD12-'Cash Flow'!BD13+'Cash Flow'!BD11</f>
        <v>23461850.4</v>
      </c>
      <c r="BE10" s="1033" t="n">
        <f aca="false">BD10+'Cash Flow'!BE12-'Cash Flow'!BE13+'Cash Flow'!BE11</f>
        <v>23461850.4</v>
      </c>
      <c r="BF10" s="1033" t="n">
        <f aca="false">BE10+'Cash Flow'!BF12-'Cash Flow'!BF13+'Cash Flow'!BF11</f>
        <v>23461850.4</v>
      </c>
      <c r="BG10" s="1033" t="n">
        <f aca="false">BF10+'Cash Flow'!BG12-'Cash Flow'!BG13+'Cash Flow'!BG11</f>
        <v>23461850.4</v>
      </c>
      <c r="BH10" s="1033" t="n">
        <f aca="false">BG10+'Cash Flow'!BH12-'Cash Flow'!BH13+'Cash Flow'!BH11</f>
        <v>23461850.4</v>
      </c>
      <c r="BI10" s="1034" t="n">
        <f aca="false">BH10+'Cash Flow'!BI12-'Cash Flow'!BI13+'Cash Flow'!BI11</f>
        <v>23461850.4</v>
      </c>
      <c r="BJ10" s="1019" t="n">
        <f aca="false">M10</f>
        <v>20165634.6</v>
      </c>
      <c r="BK10" s="1019" t="n">
        <f aca="false">Y10</f>
        <v>23461850.4</v>
      </c>
      <c r="BL10" s="1019" t="n">
        <f aca="false">AK10</f>
        <v>23461850.4</v>
      </c>
      <c r="BM10" s="1019" t="n">
        <f aca="false">AW10</f>
        <v>23461850.4</v>
      </c>
      <c r="BN10" s="1019" t="n">
        <f aca="false">BI10</f>
        <v>23461850.4</v>
      </c>
      <c r="BO10" s="1020" t="s">
        <v>1497</v>
      </c>
    </row>
    <row r="11" customFormat="false" ht="12" hidden="false" customHeight="true" outlineLevel="0" collapsed="false">
      <c r="A11" s="1020" t="s">
        <v>1801</v>
      </c>
      <c r="B11" s="1021" t="n">
        <f aca="false">'P&amp;L'!B38</f>
        <v>0</v>
      </c>
      <c r="C11" s="1021" t="n">
        <f aca="false">B11+'P&amp;L'!C38</f>
        <v>0</v>
      </c>
      <c r="D11" s="1021" t="n">
        <f aca="false">C11+'P&amp;L'!D38</f>
        <v>0</v>
      </c>
      <c r="E11" s="1021" t="n">
        <f aca="false">D11+'P&amp;L'!E38</f>
        <v>0</v>
      </c>
      <c r="F11" s="1021" t="n">
        <f aca="false">E11+'P&amp;L'!F38</f>
        <v>0</v>
      </c>
      <c r="G11" s="1021" t="n">
        <f aca="false">F11+'P&amp;L'!G38</f>
        <v>0</v>
      </c>
      <c r="H11" s="1021" t="n">
        <f aca="false">G11+'P&amp;L'!H38</f>
        <v>42788.5</v>
      </c>
      <c r="I11" s="1021" t="n">
        <f aca="false">H11+'P&amp;L'!I38</f>
        <v>115256.955</v>
      </c>
      <c r="J11" s="1021" t="n">
        <f aca="false">I11+'P&amp;L'!J38</f>
        <v>211621.435</v>
      </c>
      <c r="K11" s="1021" t="n">
        <f aca="false">J11+'P&amp;L'!K38</f>
        <v>333671.38</v>
      </c>
      <c r="L11" s="1021" t="n">
        <f aca="false">K11+'P&amp;L'!L38</f>
        <v>476032.87</v>
      </c>
      <c r="M11" s="1022" t="n">
        <f aca="false">L11+'P&amp;L'!M38</f>
        <v>644079.825</v>
      </c>
      <c r="N11" s="1023" t="n">
        <f aca="false">M11+'P&amp;L'!N38</f>
        <v>831828.325</v>
      </c>
      <c r="O11" s="1024" t="n">
        <f aca="false">N11+'P&amp;L'!O38</f>
        <v>1023460.285</v>
      </c>
      <c r="P11" s="1024" t="n">
        <f aca="false">O11+'P&amp;L'!P38</f>
        <v>1218975.705</v>
      </c>
      <c r="Q11" s="1024" t="n">
        <f aca="false">P11+'P&amp;L'!Q38</f>
        <v>1414491.125</v>
      </c>
      <c r="R11" s="1024" t="n">
        <f aca="false">Q11+'P&amp;L'!R38</f>
        <v>1610006.545</v>
      </c>
      <c r="S11" s="1024" t="n">
        <f aca="false">R11+'P&amp;L'!S38</f>
        <v>1805521.965</v>
      </c>
      <c r="T11" s="1024" t="n">
        <f aca="false">S11+'P&amp;L'!T38</f>
        <v>2001037.385</v>
      </c>
      <c r="U11" s="1024" t="n">
        <f aca="false">T11+'P&amp;L'!U38</f>
        <v>2196552.805</v>
      </c>
      <c r="V11" s="1024" t="n">
        <f aca="false">U11+'P&amp;L'!V38</f>
        <v>2392068.225</v>
      </c>
      <c r="W11" s="1024" t="n">
        <f aca="false">V11+'P&amp;L'!W38</f>
        <v>2587583.645</v>
      </c>
      <c r="X11" s="1024" t="n">
        <f aca="false">W11+'P&amp;L'!X38</f>
        <v>2783099.065</v>
      </c>
      <c r="Y11" s="1025" t="n">
        <f aca="false">X11+'P&amp;L'!Y38</f>
        <v>2978614.485</v>
      </c>
      <c r="Z11" s="1026" t="n">
        <f aca="false">Y11+'P&amp;L'!Z38</f>
        <v>3174129.905</v>
      </c>
      <c r="AA11" s="1027" t="n">
        <f aca="false">Z11+'P&amp;L'!AA38</f>
        <v>3369645.325</v>
      </c>
      <c r="AB11" s="1027" t="n">
        <f aca="false">AA11+'P&amp;L'!AB38</f>
        <v>3565160.745</v>
      </c>
      <c r="AC11" s="1027" t="n">
        <f aca="false">AB11+'P&amp;L'!AC38</f>
        <v>3760676.165</v>
      </c>
      <c r="AD11" s="1027" t="n">
        <f aca="false">AC11+'P&amp;L'!AD38</f>
        <v>3956191.585</v>
      </c>
      <c r="AE11" s="1027" t="n">
        <f aca="false">AD11+'P&amp;L'!AE38</f>
        <v>4151707.005</v>
      </c>
      <c r="AF11" s="1027" t="n">
        <f aca="false">AE11+'P&amp;L'!AF38</f>
        <v>4347222.425</v>
      </c>
      <c r="AG11" s="1027" t="n">
        <f aca="false">AF11+'P&amp;L'!AG38</f>
        <v>4542737.845</v>
      </c>
      <c r="AH11" s="1027" t="n">
        <f aca="false">AG11+'P&amp;L'!AH38</f>
        <v>4738253.265</v>
      </c>
      <c r="AI11" s="1027" t="n">
        <f aca="false">AH11+'P&amp;L'!AI38</f>
        <v>4933768.685</v>
      </c>
      <c r="AJ11" s="1027" t="n">
        <f aca="false">AI11+'P&amp;L'!AJ38</f>
        <v>5129284.105</v>
      </c>
      <c r="AK11" s="1028" t="n">
        <f aca="false">AJ11+'P&amp;L'!AK38</f>
        <v>5324799.525</v>
      </c>
      <c r="AL11" s="1029" t="n">
        <f aca="false">AK11+'P&amp;L'!AL38</f>
        <v>5520314.945</v>
      </c>
      <c r="AM11" s="1030" t="n">
        <f aca="false">AL11+'P&amp;L'!AM38</f>
        <v>5715830.365</v>
      </c>
      <c r="AN11" s="1030" t="n">
        <f aca="false">AM11+'P&amp;L'!AN38</f>
        <v>5911345.785</v>
      </c>
      <c r="AO11" s="1030" t="n">
        <f aca="false">AN11+'P&amp;L'!AO38</f>
        <v>6106861.205</v>
      </c>
      <c r="AP11" s="1030" t="n">
        <f aca="false">AO11+'P&amp;L'!AP38</f>
        <v>6302376.625</v>
      </c>
      <c r="AQ11" s="1030" t="n">
        <f aca="false">AP11+'P&amp;L'!AQ38</f>
        <v>6497892.045</v>
      </c>
      <c r="AR11" s="1030" t="n">
        <f aca="false">AQ11+'P&amp;L'!AR38</f>
        <v>6693407.465</v>
      </c>
      <c r="AS11" s="1030" t="n">
        <f aca="false">AR11+'P&amp;L'!AS38</f>
        <v>6888922.885</v>
      </c>
      <c r="AT11" s="1030" t="n">
        <f aca="false">AS11+'P&amp;L'!AT38</f>
        <v>7084438.305</v>
      </c>
      <c r="AU11" s="1030" t="n">
        <f aca="false">AT11+'P&amp;L'!AU38</f>
        <v>7279953.725</v>
      </c>
      <c r="AV11" s="1030" t="n">
        <f aca="false">AU11+'P&amp;L'!AV38</f>
        <v>7475469.145</v>
      </c>
      <c r="AW11" s="1031" t="n">
        <f aca="false">AV11+'P&amp;L'!AW38</f>
        <v>7670984.565</v>
      </c>
      <c r="AX11" s="1032" t="n">
        <f aca="false">AW11+'P&amp;L'!AX38</f>
        <v>7866499.985</v>
      </c>
      <c r="AY11" s="1033" t="n">
        <f aca="false">AX11+'P&amp;L'!AY38</f>
        <v>8062015.405</v>
      </c>
      <c r="AZ11" s="1033" t="n">
        <f aca="false">AY11+'P&amp;L'!AZ38</f>
        <v>8257530.825</v>
      </c>
      <c r="BA11" s="1033" t="n">
        <f aca="false">AZ11+'P&amp;L'!BA38</f>
        <v>8453046.245</v>
      </c>
      <c r="BB11" s="1033" t="n">
        <f aca="false">BA11+'P&amp;L'!BB38</f>
        <v>8648561.665</v>
      </c>
      <c r="BC11" s="1033" t="n">
        <f aca="false">BB11+'P&amp;L'!BC38</f>
        <v>8844077.085</v>
      </c>
      <c r="BD11" s="1033" t="n">
        <f aca="false">BC11+'P&amp;L'!BD38</f>
        <v>9039592.505</v>
      </c>
      <c r="BE11" s="1033" t="n">
        <f aca="false">BD11+'P&amp;L'!BE38</f>
        <v>9235107.925</v>
      </c>
      <c r="BF11" s="1033" t="n">
        <f aca="false">BE11+'P&amp;L'!BF38</f>
        <v>9430623.345</v>
      </c>
      <c r="BG11" s="1033" t="n">
        <f aca="false">BF11+'P&amp;L'!BG38</f>
        <v>9626138.765</v>
      </c>
      <c r="BH11" s="1033" t="n">
        <f aca="false">BG11+'P&amp;L'!BH38</f>
        <v>9821654.185</v>
      </c>
      <c r="BI11" s="1034" t="n">
        <f aca="false">BH11+'P&amp;L'!BI38</f>
        <v>10017169.605</v>
      </c>
      <c r="BJ11" s="1019" t="n">
        <f aca="false">M11</f>
        <v>644079.825</v>
      </c>
      <c r="BK11" s="1019" t="n">
        <f aca="false">Y11</f>
        <v>2978614.485</v>
      </c>
      <c r="BL11" s="1019" t="n">
        <f aca="false">AK11</f>
        <v>5324799.525</v>
      </c>
      <c r="BM11" s="1019" t="n">
        <f aca="false">AW11</f>
        <v>7670984.565</v>
      </c>
      <c r="BN11" s="1019" t="n">
        <f aca="false">BI11</f>
        <v>10017169.605</v>
      </c>
      <c r="BO11" s="1020" t="s">
        <v>1801</v>
      </c>
    </row>
    <row r="12" customFormat="false" ht="12" hidden="false" customHeight="true" outlineLevel="0" collapsed="false">
      <c r="A12" s="1020" t="s">
        <v>1530</v>
      </c>
      <c r="B12" s="1021" t="n">
        <f aca="false">'Sources &amp; Uses'!B30+'Cash Flow'!B9</f>
        <v>0</v>
      </c>
      <c r="C12" s="1021" t="n">
        <f aca="false">'Cash Flow'!C9+B12</f>
        <v>0</v>
      </c>
      <c r="D12" s="1021" t="n">
        <f aca="false">'Cash Flow'!D9+C12</f>
        <v>0</v>
      </c>
      <c r="E12" s="1021" t="n">
        <f aca="false">'Cash Flow'!E9+D12</f>
        <v>0</v>
      </c>
      <c r="F12" s="1021" t="n">
        <f aca="false">'Cash Flow'!F9+E12</f>
        <v>0</v>
      </c>
      <c r="G12" s="1021" t="n">
        <f aca="false">'Cash Flow'!G9+F12</f>
        <v>0</v>
      </c>
      <c r="H12" s="1021" t="n">
        <f aca="false">'Cash Flow'!H9+G12</f>
        <v>0</v>
      </c>
      <c r="I12" s="1021" t="n">
        <f aca="false">'Cash Flow'!I9+H12</f>
        <v>0</v>
      </c>
      <c r="J12" s="1021" t="n">
        <f aca="false">'Cash Flow'!J9+I12</f>
        <v>0</v>
      </c>
      <c r="K12" s="1021" t="n">
        <f aca="false">'Cash Flow'!K9+J12</f>
        <v>0</v>
      </c>
      <c r="L12" s="1021" t="n">
        <f aca="false">'Cash Flow'!L9+K12</f>
        <v>0</v>
      </c>
      <c r="M12" s="1022" t="n">
        <f aca="false">'Cash Flow'!M9+L12</f>
        <v>0</v>
      </c>
      <c r="N12" s="1023" t="n">
        <f aca="false">'Cash Flow'!N9+M12</f>
        <v>0</v>
      </c>
      <c r="O12" s="1024" t="n">
        <f aca="false">'Cash Flow'!O9+N12</f>
        <v>0</v>
      </c>
      <c r="P12" s="1024" t="n">
        <f aca="false">'Cash Flow'!P9+O12</f>
        <v>0</v>
      </c>
      <c r="Q12" s="1024" t="n">
        <f aca="false">'Cash Flow'!Q9+P12</f>
        <v>0</v>
      </c>
      <c r="R12" s="1024" t="n">
        <f aca="false">'Cash Flow'!R9+Q12</f>
        <v>0</v>
      </c>
      <c r="S12" s="1024" t="n">
        <f aca="false">'Cash Flow'!S9+R12</f>
        <v>0</v>
      </c>
      <c r="T12" s="1024" t="n">
        <f aca="false">'Cash Flow'!T9+S12</f>
        <v>0</v>
      </c>
      <c r="U12" s="1024" t="n">
        <f aca="false">'Cash Flow'!U9+T12</f>
        <v>0</v>
      </c>
      <c r="V12" s="1024" t="n">
        <f aca="false">'Cash Flow'!V9+U12</f>
        <v>0</v>
      </c>
      <c r="W12" s="1024" t="n">
        <f aca="false">'Cash Flow'!W9+V12</f>
        <v>0</v>
      </c>
      <c r="X12" s="1024" t="n">
        <f aca="false">'Cash Flow'!X9+W12</f>
        <v>0</v>
      </c>
      <c r="Y12" s="1025" t="n">
        <f aca="false">'Cash Flow'!Y9+X12</f>
        <v>0</v>
      </c>
      <c r="Z12" s="1026" t="n">
        <f aca="false">'Cash Flow'!Z9+Y12</f>
        <v>0</v>
      </c>
      <c r="AA12" s="1027" t="n">
        <f aca="false">'Cash Flow'!AA9+Z12</f>
        <v>0</v>
      </c>
      <c r="AB12" s="1027" t="n">
        <f aca="false">'Cash Flow'!AB9+AA12</f>
        <v>0</v>
      </c>
      <c r="AC12" s="1027" t="n">
        <f aca="false">'Cash Flow'!AC9+AB12</f>
        <v>0</v>
      </c>
      <c r="AD12" s="1027" t="n">
        <f aca="false">'Cash Flow'!AD9+AC12</f>
        <v>0</v>
      </c>
      <c r="AE12" s="1027" t="n">
        <f aca="false">'Cash Flow'!AE9+AD12</f>
        <v>0</v>
      </c>
      <c r="AF12" s="1027" t="n">
        <f aca="false">'Cash Flow'!AF9+AE12</f>
        <v>0</v>
      </c>
      <c r="AG12" s="1027" t="n">
        <f aca="false">'Cash Flow'!AG9+AF12</f>
        <v>0</v>
      </c>
      <c r="AH12" s="1027" t="n">
        <f aca="false">'Cash Flow'!AH9+AG12</f>
        <v>0</v>
      </c>
      <c r="AI12" s="1027" t="n">
        <f aca="false">'Cash Flow'!AI9+AH12</f>
        <v>0</v>
      </c>
      <c r="AJ12" s="1027" t="n">
        <f aca="false">'Cash Flow'!AJ9+AI12</f>
        <v>0</v>
      </c>
      <c r="AK12" s="1028" t="n">
        <f aca="false">'Cash Flow'!AK9+AJ12</f>
        <v>0</v>
      </c>
      <c r="AL12" s="1029" t="n">
        <f aca="false">'Cash Flow'!AL9+AK12</f>
        <v>0</v>
      </c>
      <c r="AM12" s="1030" t="n">
        <f aca="false">'Cash Flow'!AM9+AL12</f>
        <v>0</v>
      </c>
      <c r="AN12" s="1030" t="n">
        <f aca="false">'Cash Flow'!AN9+AM12</f>
        <v>0</v>
      </c>
      <c r="AO12" s="1030" t="n">
        <f aca="false">'Cash Flow'!AO9+AN12</f>
        <v>0</v>
      </c>
      <c r="AP12" s="1030" t="n">
        <f aca="false">'Cash Flow'!AP9+AO12</f>
        <v>0</v>
      </c>
      <c r="AQ12" s="1030" t="n">
        <f aca="false">'Cash Flow'!AQ9+AP12</f>
        <v>0</v>
      </c>
      <c r="AR12" s="1030" t="n">
        <f aca="false">'Cash Flow'!AR9+AQ12</f>
        <v>0</v>
      </c>
      <c r="AS12" s="1030" t="n">
        <f aca="false">'Cash Flow'!AS9+AR12</f>
        <v>0</v>
      </c>
      <c r="AT12" s="1030" t="n">
        <f aca="false">'Cash Flow'!AT9+AS12</f>
        <v>0</v>
      </c>
      <c r="AU12" s="1030" t="n">
        <f aca="false">'Cash Flow'!AU9+AT12</f>
        <v>0</v>
      </c>
      <c r="AV12" s="1030" t="n">
        <f aca="false">'Cash Flow'!AV9+AU12</f>
        <v>0</v>
      </c>
      <c r="AW12" s="1031" t="n">
        <f aca="false">'Cash Flow'!AW9+AV12</f>
        <v>0</v>
      </c>
      <c r="AX12" s="1032" t="n">
        <f aca="false">'Cash Flow'!AX9+AW12</f>
        <v>0</v>
      </c>
      <c r="AY12" s="1033" t="n">
        <f aca="false">'Cash Flow'!AY9+AX12</f>
        <v>0</v>
      </c>
      <c r="AZ12" s="1033" t="n">
        <f aca="false">'Cash Flow'!AZ9+AY12</f>
        <v>0</v>
      </c>
      <c r="BA12" s="1033" t="n">
        <f aca="false">'Cash Flow'!BA9+AZ12</f>
        <v>0</v>
      </c>
      <c r="BB12" s="1033" t="n">
        <f aca="false">'Cash Flow'!BB9+BA12</f>
        <v>0</v>
      </c>
      <c r="BC12" s="1033" t="n">
        <f aca="false">'Cash Flow'!BC9+BB12</f>
        <v>0</v>
      </c>
      <c r="BD12" s="1033" t="n">
        <f aca="false">'Cash Flow'!BD9+BC12</f>
        <v>0</v>
      </c>
      <c r="BE12" s="1033" t="n">
        <f aca="false">'Cash Flow'!BE9+BD12</f>
        <v>0</v>
      </c>
      <c r="BF12" s="1033" t="n">
        <f aca="false">'Cash Flow'!BF9+BE12</f>
        <v>0</v>
      </c>
      <c r="BG12" s="1033" t="n">
        <f aca="false">'Cash Flow'!BG9+BF12</f>
        <v>0</v>
      </c>
      <c r="BH12" s="1033" t="n">
        <f aca="false">'Cash Flow'!BH9+BG12</f>
        <v>0</v>
      </c>
      <c r="BI12" s="1034" t="n">
        <f aca="false">'Cash Flow'!BI9+BH12</f>
        <v>0</v>
      </c>
      <c r="BJ12" s="1019" t="n">
        <f aca="false">M12</f>
        <v>0</v>
      </c>
      <c r="BK12" s="1019" t="n">
        <f aca="false">Y12</f>
        <v>0</v>
      </c>
      <c r="BL12" s="1019" t="n">
        <f aca="false">AK12</f>
        <v>0</v>
      </c>
      <c r="BM12" s="1019" t="n">
        <f aca="false">AW12</f>
        <v>0</v>
      </c>
      <c r="BN12" s="1019" t="n">
        <f aca="false">BI12</f>
        <v>0</v>
      </c>
      <c r="BO12" s="1020" t="s">
        <v>1530</v>
      </c>
    </row>
    <row r="13" customFormat="false" ht="12" hidden="false" customHeight="true" outlineLevel="0" collapsed="false">
      <c r="A13" s="1020" t="s">
        <v>1802</v>
      </c>
      <c r="B13" s="1035" t="n">
        <f aca="false">B10-B11+B12</f>
        <v>0</v>
      </c>
      <c r="C13" s="1035" t="n">
        <f aca="false">C10-C11+C12</f>
        <v>0</v>
      </c>
      <c r="D13" s="1035" t="n">
        <f aca="false">D10-D11+D12</f>
        <v>0</v>
      </c>
      <c r="E13" s="1035" t="n">
        <f aca="false">E10-E11+E12</f>
        <v>0</v>
      </c>
      <c r="F13" s="1035" t="n">
        <f aca="false">F10-F11+F12</f>
        <v>0</v>
      </c>
      <c r="G13" s="1035" t="n">
        <f aca="false">G10-G11+G12</f>
        <v>0</v>
      </c>
      <c r="H13" s="1035" t="n">
        <f aca="false">H10-H11+H12</f>
        <v>5091831.5</v>
      </c>
      <c r="I13" s="1035" t="n">
        <f aca="false">I10-I11+I12</f>
        <v>8580957.645</v>
      </c>
      <c r="J13" s="1035" t="n">
        <f aca="false">J10-J11+J12</f>
        <v>11352116.165</v>
      </c>
      <c r="K13" s="1035" t="n">
        <f aca="false">K10-K11+K12</f>
        <v>14312322.02</v>
      </c>
      <c r="L13" s="1035" t="n">
        <f aca="false">L10-L11+L12</f>
        <v>16607345.93</v>
      </c>
      <c r="M13" s="1036" t="n">
        <f aca="false">M10-M11+M12</f>
        <v>19521554.775</v>
      </c>
      <c r="N13" s="1037" t="n">
        <f aca="false">N10-N11+N12</f>
        <v>21697991.675</v>
      </c>
      <c r="O13" s="1038" t="n">
        <f aca="false">O10-O11+O12</f>
        <v>21972374.915</v>
      </c>
      <c r="P13" s="1038" t="n">
        <f aca="false">P10-P11+P12</f>
        <v>22242874.695</v>
      </c>
      <c r="Q13" s="1038" t="n">
        <f aca="false">Q10-Q11+Q12</f>
        <v>22047359.275</v>
      </c>
      <c r="R13" s="1038" t="n">
        <f aca="false">R10-R11+R12</f>
        <v>21851843.855</v>
      </c>
      <c r="S13" s="1038" t="n">
        <f aca="false">S10-S11+S12</f>
        <v>21656328.435</v>
      </c>
      <c r="T13" s="1038" t="n">
        <f aca="false">T10-T11+T12</f>
        <v>21460813.015</v>
      </c>
      <c r="U13" s="1038" t="n">
        <f aca="false">U10-U11+U12</f>
        <v>21265297.595</v>
      </c>
      <c r="V13" s="1038" t="n">
        <f aca="false">V10-V11+V12</f>
        <v>21069782.175</v>
      </c>
      <c r="W13" s="1038" t="n">
        <f aca="false">W10-W11+W12</f>
        <v>20874266.755</v>
      </c>
      <c r="X13" s="1038" t="n">
        <f aca="false">X10-X11+X12</f>
        <v>20678751.335</v>
      </c>
      <c r="Y13" s="1039" t="n">
        <f aca="false">Y10-Y11+Y12</f>
        <v>20483235.915</v>
      </c>
      <c r="Z13" s="1040" t="n">
        <f aca="false">Z10-Z11+Z12</f>
        <v>20287720.495</v>
      </c>
      <c r="AA13" s="1041" t="n">
        <f aca="false">AA10-AA11+AA12</f>
        <v>20092205.075</v>
      </c>
      <c r="AB13" s="1041" t="n">
        <f aca="false">AB10-AB11+AB12</f>
        <v>19896689.655</v>
      </c>
      <c r="AC13" s="1041" t="n">
        <f aca="false">AC10-AC11+AC12</f>
        <v>19701174.235</v>
      </c>
      <c r="AD13" s="1041" t="n">
        <f aca="false">AD10-AD11+AD12</f>
        <v>19505658.815</v>
      </c>
      <c r="AE13" s="1041" t="n">
        <f aca="false">AE10-AE11+AE12</f>
        <v>19310143.395</v>
      </c>
      <c r="AF13" s="1041" t="n">
        <f aca="false">AF10-AF11+AF12</f>
        <v>19114627.975</v>
      </c>
      <c r="AG13" s="1041" t="n">
        <f aca="false">AG10-AG11+AG12</f>
        <v>18919112.555</v>
      </c>
      <c r="AH13" s="1041" t="n">
        <f aca="false">AH10-AH11+AH12</f>
        <v>18723597.135</v>
      </c>
      <c r="AI13" s="1041" t="n">
        <f aca="false">AI10-AI11+AI12</f>
        <v>18528081.715</v>
      </c>
      <c r="AJ13" s="1041" t="n">
        <f aca="false">AJ10-AJ11+AJ12</f>
        <v>18332566.295</v>
      </c>
      <c r="AK13" s="1042" t="n">
        <f aca="false">AK10-AK11+AK12</f>
        <v>18137050.875</v>
      </c>
      <c r="AL13" s="1043" t="n">
        <f aca="false">AL10-AL11+AL12</f>
        <v>17941535.455</v>
      </c>
      <c r="AM13" s="1044" t="n">
        <f aca="false">AM10-AM11+AM12</f>
        <v>17746020.035</v>
      </c>
      <c r="AN13" s="1044" t="n">
        <f aca="false">AN10-AN11+AN12</f>
        <v>17550504.615</v>
      </c>
      <c r="AO13" s="1044" t="n">
        <f aca="false">AO10-AO11+AO12</f>
        <v>17354989.195</v>
      </c>
      <c r="AP13" s="1044" t="n">
        <f aca="false">AP10-AP11+AP12</f>
        <v>17159473.775</v>
      </c>
      <c r="AQ13" s="1044" t="n">
        <f aca="false">AQ10-AQ11+AQ12</f>
        <v>16963958.355</v>
      </c>
      <c r="AR13" s="1044" t="n">
        <f aca="false">AR10-AR11+AR12</f>
        <v>16768442.935</v>
      </c>
      <c r="AS13" s="1044" t="n">
        <f aca="false">AS10-AS11+AS12</f>
        <v>16572927.515</v>
      </c>
      <c r="AT13" s="1044" t="n">
        <f aca="false">AT10-AT11+AT12</f>
        <v>16377412.095</v>
      </c>
      <c r="AU13" s="1044" t="n">
        <f aca="false">AU10-AU11+AU12</f>
        <v>16181896.675</v>
      </c>
      <c r="AV13" s="1044" t="n">
        <f aca="false">AV10-AV11+AV12</f>
        <v>15986381.255</v>
      </c>
      <c r="AW13" s="1045" t="n">
        <f aca="false">AW10-AW11+AW12</f>
        <v>15790865.835</v>
      </c>
      <c r="AX13" s="1046" t="n">
        <f aca="false">AX10-AX11+AX12</f>
        <v>15595350.415</v>
      </c>
      <c r="AY13" s="1047" t="n">
        <f aca="false">AY10-AY11+AY12</f>
        <v>15399834.995</v>
      </c>
      <c r="AZ13" s="1047" t="n">
        <f aca="false">AZ10-AZ11+AZ12</f>
        <v>15204319.575</v>
      </c>
      <c r="BA13" s="1047" t="n">
        <f aca="false">BA10-BA11+BA12</f>
        <v>15008804.155</v>
      </c>
      <c r="BB13" s="1047" t="n">
        <f aca="false">BB10-BB11+BB12</f>
        <v>14813288.735</v>
      </c>
      <c r="BC13" s="1047" t="n">
        <f aca="false">BC10-BC11+BC12</f>
        <v>14617773.315</v>
      </c>
      <c r="BD13" s="1047" t="n">
        <f aca="false">BD10-BD11+BD12</f>
        <v>14422257.895</v>
      </c>
      <c r="BE13" s="1047" t="n">
        <f aca="false">BE10-BE11+BE12</f>
        <v>14226742.475</v>
      </c>
      <c r="BF13" s="1047" t="n">
        <f aca="false">BF10-BF11+BF12</f>
        <v>14031227.055</v>
      </c>
      <c r="BG13" s="1047" t="n">
        <f aca="false">BG10-BG11+BG12</f>
        <v>13835711.635</v>
      </c>
      <c r="BH13" s="1047" t="n">
        <f aca="false">BH10-BH11+BH12</f>
        <v>13640196.215</v>
      </c>
      <c r="BI13" s="1048" t="n">
        <f aca="false">BI10-BI11+BI12</f>
        <v>13444680.795</v>
      </c>
      <c r="BJ13" s="1019" t="n">
        <f aca="false">M13</f>
        <v>19521554.775</v>
      </c>
      <c r="BK13" s="1019" t="n">
        <f aca="false">Y13</f>
        <v>20483235.915</v>
      </c>
      <c r="BL13" s="1019" t="n">
        <f aca="false">AK13</f>
        <v>18137050.875</v>
      </c>
      <c r="BM13" s="1019" t="n">
        <f aca="false">AW13</f>
        <v>15790865.835</v>
      </c>
      <c r="BN13" s="1019" t="n">
        <f aca="false">BI13</f>
        <v>13444680.795</v>
      </c>
      <c r="BO13" s="1020" t="s">
        <v>1802</v>
      </c>
    </row>
    <row r="14" s="1003" customFormat="true" ht="12" hidden="false" customHeight="true" outlineLevel="0" collapsed="false">
      <c r="A14" s="1049" t="s">
        <v>1803</v>
      </c>
      <c r="B14" s="988" t="n">
        <f aca="false">B13+B7</f>
        <v>9994578.0003863</v>
      </c>
      <c r="C14" s="988" t="n">
        <f aca="false">C13+C7</f>
        <v>9598538.38475069</v>
      </c>
      <c r="D14" s="988" t="n">
        <f aca="false">D13+D7</f>
        <v>9186465.94065162</v>
      </c>
      <c r="E14" s="988" t="n">
        <f aca="false">E13+E7</f>
        <v>8897169.92819616</v>
      </c>
      <c r="F14" s="988" t="n">
        <f aca="false">F13+F7</f>
        <v>8646035.71663305</v>
      </c>
      <c r="G14" s="988" t="n">
        <f aca="false">G13+G7</f>
        <v>8564865.21051232</v>
      </c>
      <c r="H14" s="988" t="n">
        <f aca="false">H13+H7</f>
        <v>13597000.5412121</v>
      </c>
      <c r="I14" s="988" t="n">
        <f aca="false">I13+I7</f>
        <v>17011399.4584987</v>
      </c>
      <c r="J14" s="988" t="n">
        <f aca="false">J13+J7</f>
        <v>19726206.4401918</v>
      </c>
      <c r="K14" s="988" t="n">
        <f aca="false">K13+K7</f>
        <v>22671582.538763</v>
      </c>
      <c r="L14" s="988" t="n">
        <f aca="false">L13+L7</f>
        <v>24996211.8188754</v>
      </c>
      <c r="M14" s="989" t="n">
        <f aca="false">M13+M7</f>
        <v>27983681.0756914</v>
      </c>
      <c r="N14" s="990" t="n">
        <f aca="false">N13+N7</f>
        <v>31140744.9280174</v>
      </c>
      <c r="O14" s="991" t="n">
        <f aca="false">O13+O7</f>
        <v>32184370.4599655</v>
      </c>
      <c r="P14" s="991" t="n">
        <f aca="false">P13+P7</f>
        <v>33314695.4585723</v>
      </c>
      <c r="Q14" s="991" t="n">
        <f aca="false">Q13+Q7</f>
        <v>34028304.9785368</v>
      </c>
      <c r="R14" s="991" t="n">
        <f aca="false">R13+R7</f>
        <v>34793526.3126834</v>
      </c>
      <c r="S14" s="991" t="n">
        <f aca="false">S13+S7</f>
        <v>35610359.4428933</v>
      </c>
      <c r="T14" s="991" t="n">
        <f aca="false">T13+T7</f>
        <v>36477345.0000765</v>
      </c>
      <c r="U14" s="991" t="n">
        <f aca="false">U13+U7</f>
        <v>37291282.7717685</v>
      </c>
      <c r="V14" s="991" t="n">
        <f aca="false">V13+V7</f>
        <v>38187598.4800503</v>
      </c>
      <c r="W14" s="991" t="n">
        <f aca="false">W13+W7</f>
        <v>39206954.33323</v>
      </c>
      <c r="X14" s="991" t="n">
        <f aca="false">X13+X7</f>
        <v>40349349.7476711</v>
      </c>
      <c r="Y14" s="992" t="n">
        <f aca="false">Y13+Y7</f>
        <v>41614784.1368189</v>
      </c>
      <c r="Z14" s="993" t="n">
        <f aca="false">Z13+Z7</f>
        <v>49215302.0596319</v>
      </c>
      <c r="AA14" s="994" t="n">
        <f aca="false">AA13+AA7</f>
        <v>52564341.6416411</v>
      </c>
      <c r="AB14" s="994" t="n">
        <f aca="false">AB13+AB7</f>
        <v>55913261.5488304</v>
      </c>
      <c r="AC14" s="994" t="n">
        <f aca="false">AC13+AC7</f>
        <v>59262061.1828259</v>
      </c>
      <c r="AD14" s="994" t="n">
        <f aca="false">AD13+AD7</f>
        <v>62610739.9422614</v>
      </c>
      <c r="AE14" s="994" t="n">
        <f aca="false">AE13+AE7</f>
        <v>65959297.2227644</v>
      </c>
      <c r="AF14" s="994" t="n">
        <f aca="false">AF13+AF7</f>
        <v>69307732.41694</v>
      </c>
      <c r="AG14" s="994" t="n">
        <f aca="false">AG13+AG7</f>
        <v>72656044.9143566</v>
      </c>
      <c r="AH14" s="994" t="n">
        <f aca="false">AH13+AH7</f>
        <v>76004234.1015305</v>
      </c>
      <c r="AI14" s="994" t="n">
        <f aca="false">AI13+AI7</f>
        <v>79352299.3619104</v>
      </c>
      <c r="AJ14" s="994" t="n">
        <f aca="false">AJ13+AJ7</f>
        <v>82700240.0758624</v>
      </c>
      <c r="AK14" s="995" t="n">
        <f aca="false">AK13+AK7</f>
        <v>86048055.6206542</v>
      </c>
      <c r="AL14" s="996" t="n">
        <f aca="false">AL13+AL7</f>
        <v>90547731.3827864</v>
      </c>
      <c r="AM14" s="997" t="n">
        <f aca="false">AM13+AM7</f>
        <v>94419850.3958585</v>
      </c>
      <c r="AN14" s="997" t="n">
        <f aca="false">AN13+AN7</f>
        <v>98291842.3528298</v>
      </c>
      <c r="AO14" s="997" t="n">
        <f aca="false">AO13+AO7</f>
        <v>102163706.61842</v>
      </c>
      <c r="AP14" s="997" t="n">
        <f aca="false">AP13+AP7</f>
        <v>106035442.554172</v>
      </c>
      <c r="AQ14" s="997" t="n">
        <f aca="false">AQ13+AQ7</f>
        <v>109907049.518436</v>
      </c>
      <c r="AR14" s="997" t="n">
        <f aca="false">AR13+AR7</f>
        <v>113778526.866356</v>
      </c>
      <c r="AS14" s="997" t="n">
        <f aca="false">AS13+AS7</f>
        <v>117649873.949848</v>
      </c>
      <c r="AT14" s="997" t="n">
        <f aca="false">AT13+AT7</f>
        <v>121521090.117593</v>
      </c>
      <c r="AU14" s="997" t="n">
        <f aca="false">AU13+AU7</f>
        <v>125392174.715009</v>
      </c>
      <c r="AV14" s="997" t="n">
        <f aca="false">AV13+AV7</f>
        <v>129263127.084247</v>
      </c>
      <c r="AW14" s="998" t="n">
        <f aca="false">AW13+AW7</f>
        <v>133133946.564165</v>
      </c>
      <c r="AX14" s="999" t="n">
        <f aca="false">AX13+AX7</f>
        <v>138156579.7687</v>
      </c>
      <c r="AY14" s="1000" t="n">
        <f aca="false">AY13+AY7</f>
        <v>142548859.581327</v>
      </c>
      <c r="AZ14" s="1000" t="n">
        <f aca="false">AZ13+AZ7</f>
        <v>146941004.501312</v>
      </c>
      <c r="BA14" s="1000" t="n">
        <f aca="false">BA13+BA7</f>
        <v>151333013.854191</v>
      </c>
      <c r="BB14" s="1000" t="n">
        <f aca="false">BB13+BB7</f>
        <v>155724886.962127</v>
      </c>
      <c r="BC14" s="1000" t="n">
        <f aca="false">BC13+BC7</f>
        <v>160116623.143897</v>
      </c>
      <c r="BD14" s="1000" t="n">
        <f aca="false">BD13+BD7</f>
        <v>164508221.71487</v>
      </c>
      <c r="BE14" s="1000" t="n">
        <f aca="false">BE13+BE7</f>
        <v>168899681.986991</v>
      </c>
      <c r="BF14" s="1000" t="n">
        <f aca="false">BF13+BF7</f>
        <v>173291003.268766</v>
      </c>
      <c r="BG14" s="1000" t="n">
        <f aca="false">BG13+BG7</f>
        <v>177682184.865245</v>
      </c>
      <c r="BH14" s="1000" t="n">
        <f aca="false">BH13+BH7</f>
        <v>182073226.077999</v>
      </c>
      <c r="BI14" s="1001" t="n">
        <f aca="false">BI13+BI7</f>
        <v>186464126.205111</v>
      </c>
      <c r="BJ14" s="1002" t="n">
        <f aca="false">M14</f>
        <v>27983681.0756914</v>
      </c>
      <c r="BK14" s="1002" t="n">
        <f aca="false">Y14</f>
        <v>41614784.1368189</v>
      </c>
      <c r="BL14" s="1002" t="n">
        <f aca="false">AK14</f>
        <v>86048055.6206542</v>
      </c>
      <c r="BM14" s="1002" t="n">
        <f aca="false">AW14</f>
        <v>133133946.564165</v>
      </c>
      <c r="BN14" s="1002" t="n">
        <f aca="false">BI14</f>
        <v>186464126.205111</v>
      </c>
      <c r="BO14" s="1050" t="s">
        <v>1803</v>
      </c>
    </row>
    <row r="15" customFormat="false" ht="12" hidden="false" customHeight="true" outlineLevel="0" collapsed="false">
      <c r="A15" s="1051"/>
      <c r="B15" s="1052"/>
      <c r="C15" s="1052"/>
      <c r="D15" s="1052"/>
      <c r="E15" s="1052"/>
      <c r="F15" s="1052"/>
      <c r="G15" s="1052"/>
      <c r="H15" s="1052"/>
      <c r="I15" s="1052"/>
      <c r="J15" s="1052"/>
      <c r="K15" s="1052"/>
      <c r="L15" s="1052"/>
      <c r="M15" s="1053"/>
      <c r="N15" s="1054"/>
      <c r="O15" s="1055"/>
      <c r="P15" s="1055"/>
      <c r="Q15" s="1055"/>
      <c r="R15" s="1055"/>
      <c r="S15" s="1055"/>
      <c r="T15" s="1055"/>
      <c r="U15" s="1055"/>
      <c r="V15" s="1055"/>
      <c r="W15" s="1055"/>
      <c r="X15" s="1055"/>
      <c r="Y15" s="1056"/>
      <c r="Z15" s="1057"/>
      <c r="AA15" s="1058"/>
      <c r="AB15" s="1058"/>
      <c r="AC15" s="1058"/>
      <c r="AD15" s="1058"/>
      <c r="AE15" s="1058"/>
      <c r="AF15" s="1058"/>
      <c r="AG15" s="1058"/>
      <c r="AH15" s="1058"/>
      <c r="AI15" s="1058"/>
      <c r="AJ15" s="1058"/>
      <c r="AK15" s="1059"/>
      <c r="AL15" s="1060"/>
      <c r="AM15" s="1061"/>
      <c r="AN15" s="1061"/>
      <c r="AO15" s="1061"/>
      <c r="AP15" s="1061"/>
      <c r="AQ15" s="1061"/>
      <c r="AR15" s="1061"/>
      <c r="AS15" s="1061"/>
      <c r="AT15" s="1061"/>
      <c r="AU15" s="1061"/>
      <c r="AV15" s="1061"/>
      <c r="AW15" s="1062"/>
      <c r="AX15" s="1063"/>
      <c r="AY15" s="1064"/>
      <c r="AZ15" s="1064"/>
      <c r="BA15" s="1064"/>
      <c r="BB15" s="1064"/>
      <c r="BC15" s="1064"/>
      <c r="BD15" s="1064"/>
      <c r="BE15" s="1064"/>
      <c r="BF15" s="1064"/>
      <c r="BG15" s="1064"/>
      <c r="BH15" s="1064"/>
      <c r="BI15" s="1065"/>
      <c r="BJ15" s="1066"/>
      <c r="BK15" s="1066"/>
      <c r="BL15" s="1066"/>
      <c r="BM15" s="1066"/>
      <c r="BN15" s="1066"/>
      <c r="BO15" s="1051"/>
    </row>
    <row r="16" customFormat="false" ht="12" hidden="false" customHeight="true" outlineLevel="0" collapsed="false">
      <c r="A16" s="1051"/>
      <c r="B16" s="1052"/>
      <c r="C16" s="1052"/>
      <c r="D16" s="1052"/>
      <c r="E16" s="1052"/>
      <c r="F16" s="1052"/>
      <c r="G16" s="1052"/>
      <c r="H16" s="1052"/>
      <c r="I16" s="1052"/>
      <c r="J16" s="1052"/>
      <c r="K16" s="1052"/>
      <c r="L16" s="1052"/>
      <c r="M16" s="1053"/>
      <c r="N16" s="1054"/>
      <c r="O16" s="1055"/>
      <c r="P16" s="1055"/>
      <c r="Q16" s="1055"/>
      <c r="R16" s="1055"/>
      <c r="S16" s="1055"/>
      <c r="T16" s="1055"/>
      <c r="U16" s="1055"/>
      <c r="V16" s="1055"/>
      <c r="W16" s="1055"/>
      <c r="X16" s="1055"/>
      <c r="Y16" s="1056"/>
      <c r="Z16" s="1057"/>
      <c r="AA16" s="1058"/>
      <c r="AB16" s="1058"/>
      <c r="AC16" s="1058"/>
      <c r="AD16" s="1058"/>
      <c r="AE16" s="1058"/>
      <c r="AF16" s="1058"/>
      <c r="AG16" s="1058"/>
      <c r="AH16" s="1058"/>
      <c r="AI16" s="1058"/>
      <c r="AJ16" s="1058"/>
      <c r="AK16" s="1059"/>
      <c r="AL16" s="1060"/>
      <c r="AM16" s="1061"/>
      <c r="AN16" s="1061"/>
      <c r="AO16" s="1061"/>
      <c r="AP16" s="1061"/>
      <c r="AQ16" s="1061"/>
      <c r="AR16" s="1061"/>
      <c r="AS16" s="1061"/>
      <c r="AT16" s="1061"/>
      <c r="AU16" s="1061"/>
      <c r="AV16" s="1061"/>
      <c r="AW16" s="1062"/>
      <c r="AX16" s="1063"/>
      <c r="AY16" s="1064"/>
      <c r="AZ16" s="1064"/>
      <c r="BA16" s="1064"/>
      <c r="BB16" s="1064"/>
      <c r="BC16" s="1064"/>
      <c r="BD16" s="1064"/>
      <c r="BE16" s="1064"/>
      <c r="BF16" s="1064"/>
      <c r="BG16" s="1064"/>
      <c r="BH16" s="1064"/>
      <c r="BI16" s="1065"/>
      <c r="BJ16" s="1066"/>
      <c r="BK16" s="1066"/>
      <c r="BL16" s="1066"/>
      <c r="BM16" s="1066"/>
      <c r="BN16" s="1066"/>
      <c r="BO16" s="1051"/>
    </row>
    <row r="17" customFormat="false" ht="12" hidden="false" customHeight="true" outlineLevel="0" collapsed="false">
      <c r="A17" s="1051"/>
      <c r="B17" s="1052"/>
      <c r="C17" s="1052"/>
      <c r="D17" s="1052"/>
      <c r="E17" s="1052"/>
      <c r="F17" s="1052"/>
      <c r="G17" s="1052"/>
      <c r="H17" s="1052"/>
      <c r="I17" s="1052"/>
      <c r="J17" s="1052"/>
      <c r="K17" s="1052"/>
      <c r="L17" s="1052"/>
      <c r="M17" s="1053"/>
      <c r="N17" s="1054"/>
      <c r="O17" s="1055"/>
      <c r="P17" s="1055"/>
      <c r="Q17" s="1055"/>
      <c r="R17" s="1055"/>
      <c r="S17" s="1055"/>
      <c r="T17" s="1055"/>
      <c r="U17" s="1055"/>
      <c r="V17" s="1055"/>
      <c r="W17" s="1055"/>
      <c r="X17" s="1055"/>
      <c r="Y17" s="1056"/>
      <c r="Z17" s="1057"/>
      <c r="AA17" s="1058"/>
      <c r="AB17" s="1058"/>
      <c r="AC17" s="1058"/>
      <c r="AD17" s="1058"/>
      <c r="AE17" s="1058"/>
      <c r="AF17" s="1058"/>
      <c r="AG17" s="1058"/>
      <c r="AH17" s="1058"/>
      <c r="AI17" s="1058"/>
      <c r="AJ17" s="1058"/>
      <c r="AK17" s="1059"/>
      <c r="AL17" s="1060"/>
      <c r="AM17" s="1061"/>
      <c r="AN17" s="1061"/>
      <c r="AO17" s="1061"/>
      <c r="AP17" s="1061"/>
      <c r="AQ17" s="1061"/>
      <c r="AR17" s="1061"/>
      <c r="AS17" s="1061"/>
      <c r="AT17" s="1061"/>
      <c r="AU17" s="1061"/>
      <c r="AV17" s="1061"/>
      <c r="AW17" s="1062"/>
      <c r="AX17" s="1063"/>
      <c r="AY17" s="1064"/>
      <c r="AZ17" s="1064"/>
      <c r="BA17" s="1064"/>
      <c r="BB17" s="1064"/>
      <c r="BC17" s="1064"/>
      <c r="BD17" s="1064"/>
      <c r="BE17" s="1064"/>
      <c r="BF17" s="1064"/>
      <c r="BG17" s="1064"/>
      <c r="BH17" s="1064"/>
      <c r="BI17" s="1065"/>
      <c r="BJ17" s="1066"/>
      <c r="BK17" s="1066"/>
      <c r="BL17" s="1066"/>
      <c r="BM17" s="1066"/>
      <c r="BN17" s="1066"/>
      <c r="BO17" s="1051"/>
    </row>
    <row r="18" customFormat="false" ht="12" hidden="false" customHeight="true" outlineLevel="0" collapsed="false">
      <c r="A18" s="1004" t="s">
        <v>1501</v>
      </c>
      <c r="B18" s="1005"/>
      <c r="C18" s="1005"/>
      <c r="D18" s="1005"/>
      <c r="E18" s="1005"/>
      <c r="F18" s="1005"/>
      <c r="G18" s="1005"/>
      <c r="H18" s="1005"/>
      <c r="I18" s="1005"/>
      <c r="J18" s="1005"/>
      <c r="K18" s="1005"/>
      <c r="L18" s="1005"/>
      <c r="M18" s="1006"/>
      <c r="N18" s="1007"/>
      <c r="O18" s="1008"/>
      <c r="P18" s="1008"/>
      <c r="Q18" s="1008"/>
      <c r="R18" s="1008"/>
      <c r="S18" s="1008"/>
      <c r="T18" s="1008"/>
      <c r="U18" s="1008"/>
      <c r="V18" s="1008"/>
      <c r="W18" s="1008"/>
      <c r="X18" s="1008"/>
      <c r="Y18" s="1009"/>
      <c r="Z18" s="1010"/>
      <c r="AA18" s="1011"/>
      <c r="AB18" s="1011"/>
      <c r="AC18" s="1011"/>
      <c r="AD18" s="1011"/>
      <c r="AE18" s="1011"/>
      <c r="AF18" s="1011"/>
      <c r="AG18" s="1011"/>
      <c r="AH18" s="1011"/>
      <c r="AI18" s="1011"/>
      <c r="AJ18" s="1011"/>
      <c r="AK18" s="1012"/>
      <c r="AL18" s="1013"/>
      <c r="AM18" s="1014"/>
      <c r="AN18" s="1014"/>
      <c r="AO18" s="1014"/>
      <c r="AP18" s="1014"/>
      <c r="AQ18" s="1014"/>
      <c r="AR18" s="1014"/>
      <c r="AS18" s="1014"/>
      <c r="AT18" s="1014"/>
      <c r="AU18" s="1014"/>
      <c r="AV18" s="1014"/>
      <c r="AW18" s="1015"/>
      <c r="AX18" s="1016"/>
      <c r="AY18" s="1017"/>
      <c r="AZ18" s="1017"/>
      <c r="BA18" s="1017"/>
      <c r="BB18" s="1017"/>
      <c r="BC18" s="1017"/>
      <c r="BD18" s="1017"/>
      <c r="BE18" s="1017"/>
      <c r="BF18" s="1017"/>
      <c r="BG18" s="1017"/>
      <c r="BH18" s="1017"/>
      <c r="BI18" s="1018"/>
      <c r="BJ18" s="1067"/>
      <c r="BK18" s="1067"/>
      <c r="BL18" s="1067"/>
      <c r="BM18" s="1067"/>
      <c r="BN18" s="1067"/>
      <c r="BO18" s="1004" t="s">
        <v>1501</v>
      </c>
    </row>
    <row r="19" customFormat="false" ht="12" hidden="false" customHeight="true" outlineLevel="0" collapsed="false">
      <c r="A19" s="1004" t="s">
        <v>1502</v>
      </c>
      <c r="B19" s="1021" t="n">
        <f aca="false">(Revenue!B150+'P&amp;L'!B22+'P&amp;L'!B41-'P&amp;L'!B38+'P&amp;L'!B43+'P&amp;L'!B44)/(365/12)*'Cash Flow'!B5</f>
        <v>390383.972186301</v>
      </c>
      <c r="C19" s="1021" t="n">
        <f aca="false">(Revenue!C150+'P&amp;L'!C22+'P&amp;L'!C41-'P&amp;L'!C38+'P&amp;L'!C43+'P&amp;L'!C44)/(365/12)*'Cash Flow'!C5</f>
        <v>407206.328350685</v>
      </c>
      <c r="D19" s="1021" t="n">
        <f aca="false">(Revenue!D150+'P&amp;L'!D22+'P&amp;L'!D41-'P&amp;L'!D38+'P&amp;L'!D43+'P&amp;L'!D44)/(365/12)*'Cash Flow'!D5</f>
        <v>416394.413883053</v>
      </c>
      <c r="E19" s="1021" t="n">
        <f aca="false">(Revenue!E150+'P&amp;L'!E22+'P&amp;L'!E41-'P&amp;L'!E38+'P&amp;L'!E43+'P&amp;L'!E44)/(365/12)*'Cash Flow'!E5</f>
        <v>511103.479785396</v>
      </c>
      <c r="F19" s="1021" t="n">
        <f aca="false">(Revenue!F150+'P&amp;L'!F22+'P&amp;L'!F41-'P&amp;L'!F38+'P&amp;L'!F43+'P&amp;L'!F44)/(365/12)*'Cash Flow'!F5</f>
        <v>606589.453137915</v>
      </c>
      <c r="G19" s="1021" t="n">
        <f aca="false">(Revenue!G150+'P&amp;L'!G22+'P&amp;L'!G41-'P&amp;L'!G38+'P&amp;L'!G43+'P&amp;L'!G44)/(365/12)*'Cash Flow'!G5</f>
        <v>818589.345048432</v>
      </c>
      <c r="H19" s="1021" t="n">
        <f aca="false">(Revenue!H150+'P&amp;L'!H22+'P&amp;L'!H41-'P&amp;L'!H38+'P&amp;L'!H43+'P&amp;L'!H44)/(365/12)*'Cash Flow'!H5</f>
        <v>1076938.59586306</v>
      </c>
      <c r="I19" s="1021" t="n">
        <f aca="false">(Revenue!I150+'P&amp;L'!I22+'P&amp;L'!I41-'P&amp;L'!I38+'P&amp;L'!I43+'P&amp;L'!I44)/(365/12)*'Cash Flow'!I5</f>
        <v>1306348.00340058</v>
      </c>
      <c r="J19" s="1021" t="n">
        <f aca="false">(Revenue!J150+'P&amp;L'!J22+'P&amp;L'!J41-'P&amp;L'!J38+'P&amp;L'!J43+'P&amp;L'!J44)/(365/12)*'Cash Flow'!J5</f>
        <v>1511198.69773916</v>
      </c>
      <c r="K19" s="1021" t="n">
        <f aca="false">(Revenue!K150+'P&amp;L'!K22+'P&amp;L'!K41-'P&amp;L'!K38+'P&amp;L'!K43+'P&amp;L'!K44)/(365/12)*'Cash Flow'!K5</f>
        <v>1717020.74567425</v>
      </c>
      <c r="L19" s="1021" t="n">
        <f aca="false">(Revenue!L150+'P&amp;L'!L22+'P&amp;L'!L41-'P&amp;L'!L38+'P&amp;L'!L43+'P&amp;L'!L44)/(365/12)*'Cash Flow'!L5</f>
        <v>1919568.10831964</v>
      </c>
      <c r="M19" s="1022" t="n">
        <f aca="false">(Revenue!M150+'P&amp;L'!M22+'P&amp;L'!M41-'P&amp;L'!M38+'P&amp;L'!M43+'P&amp;L'!M44)/(365/12)*'Cash Flow'!M5</f>
        <v>2125220.08438693</v>
      </c>
      <c r="N19" s="1023" t="n">
        <f aca="false">(Revenue!N150+'P&amp;L'!N22+'P&amp;L'!N41-'P&amp;L'!N38+'P&amp;L'!N43+'P&amp;L'!N44)/(365/12)*'Cash Flow'!N5</f>
        <v>2694154.22898394</v>
      </c>
      <c r="O19" s="1024" t="n">
        <f aca="false">(Revenue!O150+'P&amp;L'!O22+'P&amp;L'!O41-'P&amp;L'!O38+'P&amp;L'!O43+'P&amp;L'!O44)/(365/12)*'Cash Flow'!O5</f>
        <v>2960489.99945426</v>
      </c>
      <c r="P19" s="1024" t="n">
        <f aca="false">(Revenue!P150+'P&amp;L'!P22+'P&amp;L'!P41-'P&amp;L'!P38+'P&amp;L'!P43+'P&amp;L'!P44)/(365/12)*'Cash Flow'!P5</f>
        <v>3270966.98283426</v>
      </c>
      <c r="Q19" s="1024" t="n">
        <f aca="false">(Revenue!Q150+'P&amp;L'!Q22+'P&amp;L'!Q41-'P&amp;L'!Q38+'P&amp;L'!Q43+'P&amp;L'!Q44)/(365/12)*'Cash Flow'!Q5</f>
        <v>3579128.24968163</v>
      </c>
      <c r="R19" s="1024" t="n">
        <f aca="false">(Revenue!R150+'P&amp;L'!R22+'P&amp;L'!R41-'P&amp;L'!R38+'P&amp;L'!R43+'P&amp;L'!R44)/(365/12)*'Cash Flow'!R5</f>
        <v>3887285.89282044</v>
      </c>
      <c r="S19" s="1024" t="n">
        <f aca="false">(Revenue!S150+'P&amp;L'!S22+'P&amp;L'!S41-'P&amp;L'!S38+'P&amp;L'!S43+'P&amp;L'!S44)/(365/12)*'Cash Flow'!S5</f>
        <v>4195439.89413215</v>
      </c>
      <c r="T19" s="1024" t="n">
        <f aca="false">(Revenue!T150+'P&amp;L'!T22+'P&amp;L'!T41-'P&amp;L'!T38+'P&amp;L'!T43+'P&amp;L'!T44)/(365/12)*'Cash Flow'!T5</f>
        <v>4608663.49883874</v>
      </c>
      <c r="U19" s="1024" t="n">
        <f aca="false">(Revenue!U150+'P&amp;L'!U22+'P&amp;L'!U41-'P&amp;L'!U38+'P&amp;L'!U43+'P&amp;L'!U44)/(365/12)*'Cash Flow'!U5</f>
        <v>4887022.43799372</v>
      </c>
      <c r="V19" s="1024" t="n">
        <f aca="false">(Revenue!V150+'P&amp;L'!V22+'P&amp;L'!V41-'P&amp;L'!V38+'P&amp;L'!V43+'P&amp;L'!V44)/(365/12)*'Cash Flow'!V5</f>
        <v>5124715.44588872</v>
      </c>
      <c r="W19" s="1024" t="n">
        <f aca="false">(Revenue!W150+'P&amp;L'!W22+'P&amp;L'!W41-'P&amp;L'!W38+'P&amp;L'!W43+'P&amp;L'!W44)/(365/12)*'Cash Flow'!W5</f>
        <v>5362405.29585373</v>
      </c>
      <c r="X19" s="1024" t="n">
        <f aca="false">(Revenue!X150+'P&amp;L'!X22+'P&amp;L'!X41-'P&amp;L'!X38+'P&amp;L'!X43+'P&amp;L'!X44)/(365/12)*'Cash Flow'!X5</f>
        <v>5600091.97209911</v>
      </c>
      <c r="Y19" s="1025" t="n">
        <f aca="false">(Revenue!Y150+'P&amp;L'!Y22+'P&amp;L'!Y41-'P&amp;L'!Y38+'P&amp;L'!Y43+'P&amp;L'!Y44)/(365/12)*'Cash Flow'!Y5</f>
        <v>5837775.45875626</v>
      </c>
      <c r="Z19" s="1026" t="n">
        <f aca="false">(Revenue!Z150+'P&amp;L'!Z22+'P&amp;L'!Z41-'P&amp;L'!Z38+'P&amp;L'!Z43+'P&amp;L'!Z44)/(365/12)*'Cash Flow'!Z5</f>
        <v>10088490.407367</v>
      </c>
      <c r="AA19" s="1027" t="n">
        <f aca="false">(Revenue!AA150+'P&amp;L'!AA22+'P&amp;L'!AA41-'P&amp;L'!AA38+'P&amp;L'!AA43+'P&amp;L'!AA44)/(365/12)*'Cash Flow'!AA5</f>
        <v>10087842.8730327</v>
      </c>
      <c r="AB19" s="1027" t="n">
        <f aca="false">(Revenue!AB150+'P&amp;L'!AB22+'P&amp;L'!AB41-'P&amp;L'!AB38+'P&amp;L'!AB43+'P&amp;L'!AB44)/(365/12)*'Cash Flow'!AB5</f>
        <v>10087192.1010267</v>
      </c>
      <c r="AC19" s="1027" t="n">
        <f aca="false">(Revenue!AC150+'P&amp;L'!AC22+'P&amp;L'!AC41-'P&amp;L'!AC38+'P&amp;L'!AC43+'P&amp;L'!AC44)/(365/12)*'Cash Flow'!AC5</f>
        <v>10086538.0751608</v>
      </c>
      <c r="AD19" s="1027" t="n">
        <f aca="false">(Revenue!AD150+'P&amp;L'!AD22+'P&amp;L'!AD41-'P&amp;L'!AD38+'P&amp;L'!AD43+'P&amp;L'!AD44)/(365/12)*'Cash Flow'!AD5</f>
        <v>10085880.7791655</v>
      </c>
      <c r="AE19" s="1027" t="n">
        <f aca="false">(Revenue!AE150+'P&amp;L'!AE22+'P&amp;L'!AE41-'P&amp;L'!AE38+'P&amp;L'!AE43+'P&amp;L'!AE44)/(365/12)*'Cash Flow'!AE5</f>
        <v>10085220.1966902</v>
      </c>
      <c r="AF19" s="1027" t="n">
        <f aca="false">(Revenue!AF150+'P&amp;L'!AF22+'P&amp;L'!AF41-'P&amp;L'!AF38+'P&amp;L'!AF43+'P&amp;L'!AF44)/(365/12)*'Cash Flow'!AF5</f>
        <v>10084556.3113025</v>
      </c>
      <c r="AG19" s="1027" t="n">
        <f aca="false">(Revenue!AG150+'P&amp;L'!AG22+'P&amp;L'!AG41-'P&amp;L'!AG38+'P&amp;L'!AG43+'P&amp;L'!AG44)/(365/12)*'Cash Flow'!AG5</f>
        <v>10083889.1064879</v>
      </c>
      <c r="AH19" s="1027" t="n">
        <f aca="false">(Revenue!AH150+'P&amp;L'!AH22+'P&amp;L'!AH41-'P&amp;L'!AH38+'P&amp;L'!AH43+'P&amp;L'!AH44)/(365/12)*'Cash Flow'!AH5</f>
        <v>10083218.5656492</v>
      </c>
      <c r="AI19" s="1027" t="n">
        <f aca="false">(Revenue!AI150+'P&amp;L'!AI22+'P&amp;L'!AI41-'P&amp;L'!AI38+'P&amp;L'!AI43+'P&amp;L'!AI44)/(365/12)*'Cash Flow'!AI5</f>
        <v>10082544.6721064</v>
      </c>
      <c r="AJ19" s="1027" t="n">
        <f aca="false">(Revenue!AJ150+'P&amp;L'!AJ22+'P&amp;L'!AJ41-'P&amp;L'!AJ38+'P&amp;L'!AJ43+'P&amp;L'!AJ44)/(365/12)*'Cash Flow'!AJ5</f>
        <v>10081867.4090958</v>
      </c>
      <c r="AK19" s="1028" t="n">
        <f aca="false">(Revenue!AK150+'P&amp;L'!AK22+'P&amp;L'!AK41-'P&amp;L'!AK38+'P&amp;L'!AK43+'P&amp;L'!AK44)/(365/12)*'Cash Flow'!AK5</f>
        <v>10081186.7597701</v>
      </c>
      <c r="AL19" s="1029" t="n">
        <f aca="false">(Revenue!AL150+'P&amp;L'!AL22+'P&amp;L'!AL41-'P&amp;L'!AL38+'P&amp;L'!AL43+'P&amp;L'!AL44)/(365/12)*'Cash Flow'!AL5</f>
        <v>10707933.0322769</v>
      </c>
      <c r="AM19" s="1030" t="n">
        <f aca="false">(Revenue!AM150+'P&amp;L'!AM22+'P&amp;L'!AM41-'P&amp;L'!AM38+'P&amp;L'!AM43+'P&amp;L'!AM44)/(365/12)*'Cash Flow'!AM5</f>
        <v>10707245.5594418</v>
      </c>
      <c r="AN19" s="1030" t="n">
        <f aca="false">(Revenue!AN150+'P&amp;L'!AN22+'P&amp;L'!AN41-'P&amp;L'!AN38+'P&amp;L'!AN43+'P&amp;L'!AN44)/(365/12)*'Cash Flow'!AN5</f>
        <v>10706554.6492425</v>
      </c>
      <c r="AO19" s="1030" t="n">
        <f aca="false">(Revenue!AO150+'P&amp;L'!AO22+'P&amp;L'!AO41-'P&amp;L'!AO38+'P&amp;L'!AO43+'P&amp;L'!AO44)/(365/12)*'Cash Flow'!AO5</f>
        <v>10705860.2844922</v>
      </c>
      <c r="AP19" s="1030" t="n">
        <f aca="false">(Revenue!AP150+'P&amp;L'!AP22+'P&amp;L'!AP41-'P&amp;L'!AP38+'P&amp;L'!AP43+'P&amp;L'!AP44)/(365/12)*'Cash Flow'!AP5</f>
        <v>10705162.4479182</v>
      </c>
      <c r="AQ19" s="1030" t="n">
        <f aca="false">(Revenue!AQ150+'P&amp;L'!AQ22+'P&amp;L'!AQ41-'P&amp;L'!AQ38+'P&amp;L'!AQ43+'P&amp;L'!AQ44)/(365/12)*'Cash Flow'!AQ5</f>
        <v>10704461.1221612</v>
      </c>
      <c r="AR19" s="1030" t="n">
        <f aca="false">(Revenue!AR150+'P&amp;L'!AR22+'P&amp;L'!AR41-'P&amp;L'!AR38+'P&amp;L'!AR43+'P&amp;L'!AR44)/(365/12)*'Cash Flow'!AR5</f>
        <v>10703756.2897755</v>
      </c>
      <c r="AS19" s="1030" t="n">
        <f aca="false">(Revenue!AS150+'P&amp;L'!AS22+'P&amp;L'!AS41-'P&amp;L'!AS38+'P&amp;L'!AS43+'P&amp;L'!AS44)/(365/12)*'Cash Flow'!AS5</f>
        <v>10703047.9332279</v>
      </c>
      <c r="AT19" s="1030" t="n">
        <f aca="false">(Revenue!AT150+'P&amp;L'!AT22+'P&amp;L'!AT41-'P&amp;L'!AT38+'P&amp;L'!AT43+'P&amp;L'!AT44)/(365/12)*'Cash Flow'!AT5</f>
        <v>10702336.0348975</v>
      </c>
      <c r="AU19" s="1030" t="n">
        <f aca="false">(Revenue!AU150+'P&amp;L'!AU22+'P&amp;L'!AU41-'P&amp;L'!AU38+'P&amp;L'!AU43+'P&amp;L'!AU44)/(365/12)*'Cash Flow'!AU5</f>
        <v>10701620.5770755</v>
      </c>
      <c r="AV19" s="1030" t="n">
        <f aca="false">(Revenue!AV150+'P&amp;L'!AV22+'P&amp;L'!AV41-'P&amp;L'!AV38+'P&amp;L'!AV43+'P&amp;L'!AV44)/(365/12)*'Cash Flow'!AV5</f>
        <v>10700901.5419644</v>
      </c>
      <c r="AW19" s="1031" t="n">
        <f aca="false">(Revenue!AW150+'P&amp;L'!AW22+'P&amp;L'!AW41-'P&amp;L'!AW38+'P&amp;L'!AW43+'P&amp;L'!AW44)/(365/12)*'Cash Flow'!AW5</f>
        <v>10700178.9116777</v>
      </c>
      <c r="AX19" s="1032" t="n">
        <f aca="false">(Revenue!AX150+'P&amp;L'!AX22+'P&amp;L'!AX41-'P&amp;L'!AX38+'P&amp;L'!AX43+'P&amp;L'!AX44)/(365/12)*'Cash Flow'!AX5</f>
        <v>11329671.8386112</v>
      </c>
      <c r="AY19" s="1033" t="n">
        <f aca="false">(Revenue!AY150+'P&amp;L'!AY22+'P&amp;L'!AY41-'P&amp;L'!AY38+'P&amp;L'!AY43+'P&amp;L'!AY44)/(365/12)*'Cash Flow'!AY5</f>
        <v>11328941.9639559</v>
      </c>
      <c r="AZ19" s="1033" t="n">
        <f aca="false">(Revenue!AZ150+'P&amp;L'!AZ22+'P&amp;L'!AZ41-'P&amp;L'!AZ38+'P&amp;L'!AZ43+'P&amp;L'!AZ44)/(365/12)*'Cash Flow'!AZ5</f>
        <v>11328208.4399273</v>
      </c>
      <c r="BA19" s="1033" t="n">
        <f aca="false">(Revenue!BA150+'P&amp;L'!BA22+'P&amp;L'!BA41-'P&amp;L'!BA38+'P&amp;L'!BA43+'P&amp;L'!BA44)/(365/12)*'Cash Flow'!BA5</f>
        <v>11327471.2482785</v>
      </c>
      <c r="BB19" s="1033" t="n">
        <f aca="false">(Revenue!BB150+'P&amp;L'!BB22+'P&amp;L'!BB41-'P&amp;L'!BB38+'P&amp;L'!BB43+'P&amp;L'!BB44)/(365/12)*'Cash Flow'!BB5</f>
        <v>11326730.3706716</v>
      </c>
      <c r="BC19" s="1033" t="n">
        <f aca="false">(Revenue!BC150+'P&amp;L'!BC22+'P&amp;L'!BC41-'P&amp;L'!BC38+'P&amp;L'!BC43+'P&amp;L'!BC44)/(365/12)*'Cash Flow'!BC5</f>
        <v>11325985.7886765</v>
      </c>
      <c r="BD19" s="1033" t="n">
        <f aca="false">(Revenue!BD150+'P&amp;L'!BD22+'P&amp;L'!BD41-'P&amp;L'!BD38+'P&amp;L'!BD43+'P&amp;L'!BD44)/(365/12)*'Cash Flow'!BD5</f>
        <v>11325237.4837716</v>
      </c>
      <c r="BE19" s="1033" t="n">
        <f aca="false">(Revenue!BE150+'P&amp;L'!BE22+'P&amp;L'!BE41-'P&amp;L'!BE38+'P&amp;L'!BE43+'P&amp;L'!BE44)/(365/12)*'Cash Flow'!BE5</f>
        <v>11324485.437342</v>
      </c>
      <c r="BF19" s="1033" t="n">
        <f aca="false">(Revenue!BF150+'P&amp;L'!BF22+'P&amp;L'!BF41-'P&amp;L'!BF38+'P&amp;L'!BF43+'P&amp;L'!BF44)/(365/12)*'Cash Flow'!BF5</f>
        <v>11323729.6306804</v>
      </c>
      <c r="BG19" s="1033" t="n">
        <f aca="false">(Revenue!BG150+'P&amp;L'!BG22+'P&amp;L'!BG41-'P&amp;L'!BG38+'P&amp;L'!BG43+'P&amp;L'!BG44)/(365/12)*'Cash Flow'!BG5</f>
        <v>11322970.0449854</v>
      </c>
      <c r="BH19" s="1033" t="n">
        <f aca="false">(Revenue!BH150+'P&amp;L'!BH22+'P&amp;L'!BH41-'P&amp;L'!BH38+'P&amp;L'!BH43+'P&amp;L'!BH44)/(365/12)*'Cash Flow'!BH5</f>
        <v>11322206.661362</v>
      </c>
      <c r="BI19" s="1034" t="n">
        <f aca="false">(Revenue!BI150+'P&amp;L'!BI22+'P&amp;L'!BI41-'P&amp;L'!BI38+'P&amp;L'!BI43+'P&amp;L'!BI44)/(365/12)*'Cash Flow'!BI5</f>
        <v>11321439.4608204</v>
      </c>
      <c r="BJ19" s="1019" t="n">
        <f aca="false">M19</f>
        <v>2125220.08438693</v>
      </c>
      <c r="BK19" s="1019" t="n">
        <f aca="false">Y19</f>
        <v>5837775.45875626</v>
      </c>
      <c r="BL19" s="1019" t="n">
        <f aca="false">AK19</f>
        <v>10081186.7597701</v>
      </c>
      <c r="BM19" s="1019" t="n">
        <f aca="false">AW19</f>
        <v>10700178.9116777</v>
      </c>
      <c r="BN19" s="1019" t="n">
        <f aca="false">BI19</f>
        <v>11321439.4608204</v>
      </c>
      <c r="BO19" s="1004" t="s">
        <v>1502</v>
      </c>
    </row>
    <row r="20" customFormat="false" ht="12" hidden="false" customHeight="true" outlineLevel="0" collapsed="false">
      <c r="A20" s="1004" t="s">
        <v>1503</v>
      </c>
      <c r="B20" s="1021" t="n">
        <f aca="false">+'Cash Flow'!B15-'Cash Flow'!B16+Existing!D23</f>
        <v>0</v>
      </c>
      <c r="C20" s="1021" t="n">
        <f aca="false">B20+'Cash Flow'!C15-'Cash Flow'!C16</f>
        <v>0</v>
      </c>
      <c r="D20" s="1021" t="n">
        <f aca="false">C20+'Cash Flow'!D15-'Cash Flow'!D16</f>
        <v>0</v>
      </c>
      <c r="E20" s="1021" t="n">
        <f aca="false">D20+'Cash Flow'!E15-'Cash Flow'!E16</f>
        <v>0</v>
      </c>
      <c r="F20" s="1021" t="n">
        <f aca="false">E20+'Cash Flow'!F15-'Cash Flow'!F16</f>
        <v>0</v>
      </c>
      <c r="G20" s="1021" t="n">
        <f aca="false">F20+'Cash Flow'!G15-'Cash Flow'!G16</f>
        <v>0</v>
      </c>
      <c r="H20" s="1021" t="n">
        <f aca="false">G20+'Cash Flow'!H15-'Cash Flow'!H16</f>
        <v>0</v>
      </c>
      <c r="I20" s="1021" t="n">
        <f aca="false">H20+'Cash Flow'!I15-'Cash Flow'!I16</f>
        <v>0</v>
      </c>
      <c r="J20" s="1021" t="n">
        <f aca="false">I20+'Cash Flow'!J15-'Cash Flow'!J16</f>
        <v>0</v>
      </c>
      <c r="K20" s="1021" t="n">
        <f aca="false">J20+'Cash Flow'!K15-'Cash Flow'!K16</f>
        <v>0</v>
      </c>
      <c r="L20" s="1021" t="n">
        <f aca="false">K20+'Cash Flow'!L15-'Cash Flow'!L16</f>
        <v>0</v>
      </c>
      <c r="M20" s="1022" t="n">
        <f aca="false">L20+'Cash Flow'!M15-'Cash Flow'!M16</f>
        <v>0</v>
      </c>
      <c r="N20" s="1023" t="n">
        <f aca="false">M20+'Cash Flow'!N15-'Cash Flow'!N16</f>
        <v>0</v>
      </c>
      <c r="O20" s="1024" t="n">
        <f aca="false">N20+'Cash Flow'!O15-'Cash Flow'!O16</f>
        <v>0</v>
      </c>
      <c r="P20" s="1024" t="n">
        <f aca="false">O20+'Cash Flow'!P15-'Cash Flow'!P16</f>
        <v>0</v>
      </c>
      <c r="Q20" s="1024" t="n">
        <f aca="false">P20+'Cash Flow'!Q15-'Cash Flow'!Q16</f>
        <v>0</v>
      </c>
      <c r="R20" s="1024" t="n">
        <f aca="false">Q20+'Cash Flow'!R15-'Cash Flow'!R16</f>
        <v>0</v>
      </c>
      <c r="S20" s="1024" t="n">
        <f aca="false">R20+'Cash Flow'!S15-'Cash Flow'!S16</f>
        <v>0</v>
      </c>
      <c r="T20" s="1024" t="n">
        <f aca="false">S20+'Cash Flow'!T15-'Cash Flow'!T16</f>
        <v>0</v>
      </c>
      <c r="U20" s="1024" t="n">
        <f aca="false">T20+'Cash Flow'!U15-'Cash Flow'!U16</f>
        <v>0</v>
      </c>
      <c r="V20" s="1024" t="n">
        <f aca="false">U20+'Cash Flow'!V15-'Cash Flow'!V16</f>
        <v>0</v>
      </c>
      <c r="W20" s="1024" t="n">
        <f aca="false">V20+'Cash Flow'!W15-'Cash Flow'!W16</f>
        <v>0</v>
      </c>
      <c r="X20" s="1024" t="n">
        <f aca="false">W20+'Cash Flow'!X15-'Cash Flow'!X16</f>
        <v>0</v>
      </c>
      <c r="Y20" s="1025" t="n">
        <f aca="false">X20+'Cash Flow'!Y15-'Cash Flow'!Y16</f>
        <v>0</v>
      </c>
      <c r="Z20" s="1026" t="n">
        <f aca="false">Y20+'Cash Flow'!Z15-'Cash Flow'!Z16</f>
        <v>0</v>
      </c>
      <c r="AA20" s="1027" t="n">
        <f aca="false">Z20+'Cash Flow'!AA15-'Cash Flow'!AA16</f>
        <v>0</v>
      </c>
      <c r="AB20" s="1027" t="n">
        <f aca="false">AA20+'Cash Flow'!AB15-'Cash Flow'!AB16</f>
        <v>0</v>
      </c>
      <c r="AC20" s="1027" t="n">
        <f aca="false">AB20+'Cash Flow'!AC15-'Cash Flow'!AC16</f>
        <v>0</v>
      </c>
      <c r="AD20" s="1027" t="n">
        <f aca="false">AC20+'Cash Flow'!AD15-'Cash Flow'!AD16</f>
        <v>0</v>
      </c>
      <c r="AE20" s="1027" t="n">
        <f aca="false">AD20+'Cash Flow'!AE15-'Cash Flow'!AE16</f>
        <v>0</v>
      </c>
      <c r="AF20" s="1027" t="n">
        <f aca="false">AE20+'Cash Flow'!AF15-'Cash Flow'!AF16</f>
        <v>0</v>
      </c>
      <c r="AG20" s="1027" t="n">
        <f aca="false">AF20+'Cash Flow'!AG15-'Cash Flow'!AG16</f>
        <v>0</v>
      </c>
      <c r="AH20" s="1027" t="n">
        <f aca="false">AG20+'Cash Flow'!AH15-'Cash Flow'!AH16</f>
        <v>0</v>
      </c>
      <c r="AI20" s="1027" t="n">
        <f aca="false">AH20+'Cash Flow'!AI15-'Cash Flow'!AI16</f>
        <v>0</v>
      </c>
      <c r="AJ20" s="1027" t="n">
        <f aca="false">AI20+'Cash Flow'!AJ15-'Cash Flow'!AJ16</f>
        <v>0</v>
      </c>
      <c r="AK20" s="1028" t="n">
        <f aca="false">AJ20+'Cash Flow'!AK15-'Cash Flow'!AK16</f>
        <v>0</v>
      </c>
      <c r="AL20" s="1029" t="n">
        <f aca="false">AK20+'Cash Flow'!AL15-'Cash Flow'!AL16</f>
        <v>0</v>
      </c>
      <c r="AM20" s="1030" t="n">
        <f aca="false">AL20+'Cash Flow'!AM15-'Cash Flow'!AM16</f>
        <v>0</v>
      </c>
      <c r="AN20" s="1030" t="n">
        <f aca="false">AM20+'Cash Flow'!AN15-'Cash Flow'!AN16</f>
        <v>0</v>
      </c>
      <c r="AO20" s="1030" t="n">
        <f aca="false">AN20+'Cash Flow'!AO15-'Cash Flow'!AO16</f>
        <v>0</v>
      </c>
      <c r="AP20" s="1030" t="n">
        <f aca="false">AO20+'Cash Flow'!AP15-'Cash Flow'!AP16</f>
        <v>0</v>
      </c>
      <c r="AQ20" s="1030" t="n">
        <f aca="false">AP20+'Cash Flow'!AQ15-'Cash Flow'!AQ16</f>
        <v>0</v>
      </c>
      <c r="AR20" s="1030" t="n">
        <f aca="false">AQ20+'Cash Flow'!AR15-'Cash Flow'!AR16</f>
        <v>0</v>
      </c>
      <c r="AS20" s="1030" t="n">
        <f aca="false">AR20+'Cash Flow'!AS15-'Cash Flow'!AS16</f>
        <v>0</v>
      </c>
      <c r="AT20" s="1030" t="n">
        <f aca="false">AS20+'Cash Flow'!AT15-'Cash Flow'!AT16</f>
        <v>0</v>
      </c>
      <c r="AU20" s="1030" t="n">
        <f aca="false">AT20+'Cash Flow'!AU15-'Cash Flow'!AU16</f>
        <v>0</v>
      </c>
      <c r="AV20" s="1030" t="n">
        <f aca="false">AU20+'Cash Flow'!AV15-'Cash Flow'!AV16</f>
        <v>0</v>
      </c>
      <c r="AW20" s="1031" t="n">
        <f aca="false">AV20+'Cash Flow'!AW15-'Cash Flow'!AW16</f>
        <v>0</v>
      </c>
      <c r="AX20" s="1032" t="n">
        <f aca="false">AW20+'Cash Flow'!AX15-'Cash Flow'!AX16</f>
        <v>0</v>
      </c>
      <c r="AY20" s="1033" t="n">
        <f aca="false">AX20+'Cash Flow'!AY15-'Cash Flow'!AY16</f>
        <v>0</v>
      </c>
      <c r="AZ20" s="1033" t="n">
        <f aca="false">AY20+'Cash Flow'!AZ15-'Cash Flow'!AZ16</f>
        <v>0</v>
      </c>
      <c r="BA20" s="1033" t="n">
        <f aca="false">AZ20+'Cash Flow'!BA15-'Cash Flow'!BA16</f>
        <v>0</v>
      </c>
      <c r="BB20" s="1033" t="n">
        <f aca="false">BA20+'Cash Flow'!BB15-'Cash Flow'!BB16</f>
        <v>0</v>
      </c>
      <c r="BC20" s="1033" t="n">
        <f aca="false">BB20+'Cash Flow'!BC15-'Cash Flow'!BC16</f>
        <v>0</v>
      </c>
      <c r="BD20" s="1033" t="n">
        <f aca="false">BC20+'Cash Flow'!BD15-'Cash Flow'!BD16</f>
        <v>0</v>
      </c>
      <c r="BE20" s="1033" t="n">
        <f aca="false">BD20+'Cash Flow'!BE15-'Cash Flow'!BE16</f>
        <v>0</v>
      </c>
      <c r="BF20" s="1033" t="n">
        <f aca="false">BE20+'Cash Flow'!BF15-'Cash Flow'!BF16</f>
        <v>0</v>
      </c>
      <c r="BG20" s="1033" t="n">
        <f aca="false">BF20+'Cash Flow'!BG15-'Cash Flow'!BG16</f>
        <v>0</v>
      </c>
      <c r="BH20" s="1033" t="n">
        <f aca="false">BG20+'Cash Flow'!BH15-'Cash Flow'!BH16</f>
        <v>0</v>
      </c>
      <c r="BI20" s="1034" t="n">
        <f aca="false">BH20+'Cash Flow'!BI15-'Cash Flow'!BI16</f>
        <v>0</v>
      </c>
      <c r="BJ20" s="1019" t="n">
        <f aca="false">M20</f>
        <v>0</v>
      </c>
      <c r="BK20" s="1019" t="n">
        <f aca="false">Y20</f>
        <v>0</v>
      </c>
      <c r="BL20" s="1019" t="n">
        <f aca="false">AK20</f>
        <v>0</v>
      </c>
      <c r="BM20" s="1019" t="n">
        <f aca="false">AW20</f>
        <v>0</v>
      </c>
      <c r="BN20" s="1019" t="n">
        <f aca="false">BI20</f>
        <v>0</v>
      </c>
      <c r="BO20" s="1004" t="s">
        <v>1503</v>
      </c>
    </row>
    <row r="21" customFormat="false" ht="12" hidden="false" customHeight="true" outlineLevel="0" collapsed="false">
      <c r="A21" s="1004" t="s">
        <v>1505</v>
      </c>
      <c r="B21" s="1021" t="n">
        <f aca="false">Existing!D24</f>
        <v>0</v>
      </c>
      <c r="C21" s="1021" t="n">
        <f aca="false">B21</f>
        <v>0</v>
      </c>
      <c r="D21" s="1021" t="n">
        <f aca="false">C21</f>
        <v>0</v>
      </c>
      <c r="E21" s="1021" t="n">
        <f aca="false">D21</f>
        <v>0</v>
      </c>
      <c r="F21" s="1021" t="n">
        <f aca="false">E21</f>
        <v>0</v>
      </c>
      <c r="G21" s="1021" t="n">
        <f aca="false">F21</f>
        <v>0</v>
      </c>
      <c r="H21" s="1021" t="n">
        <f aca="false">G21</f>
        <v>0</v>
      </c>
      <c r="I21" s="1021" t="n">
        <f aca="false">H21</f>
        <v>0</v>
      </c>
      <c r="J21" s="1021" t="n">
        <f aca="false">I21</f>
        <v>0</v>
      </c>
      <c r="K21" s="1021" t="n">
        <f aca="false">J21</f>
        <v>0</v>
      </c>
      <c r="L21" s="1021" t="n">
        <f aca="false">K21</f>
        <v>0</v>
      </c>
      <c r="M21" s="1022" t="n">
        <f aca="false">L21</f>
        <v>0</v>
      </c>
      <c r="N21" s="1023" t="n">
        <f aca="false">M21</f>
        <v>0</v>
      </c>
      <c r="O21" s="1024" t="n">
        <f aca="false">N21</f>
        <v>0</v>
      </c>
      <c r="P21" s="1024" t="n">
        <f aca="false">O21</f>
        <v>0</v>
      </c>
      <c r="Q21" s="1024" t="n">
        <f aca="false">P21</f>
        <v>0</v>
      </c>
      <c r="R21" s="1024" t="n">
        <f aca="false">Q21</f>
        <v>0</v>
      </c>
      <c r="S21" s="1024" t="n">
        <f aca="false">R21</f>
        <v>0</v>
      </c>
      <c r="T21" s="1024" t="n">
        <f aca="false">S21</f>
        <v>0</v>
      </c>
      <c r="U21" s="1024" t="n">
        <f aca="false">T21</f>
        <v>0</v>
      </c>
      <c r="V21" s="1024" t="n">
        <f aca="false">U21</f>
        <v>0</v>
      </c>
      <c r="W21" s="1024" t="n">
        <f aca="false">V21</f>
        <v>0</v>
      </c>
      <c r="X21" s="1024" t="n">
        <f aca="false">W21</f>
        <v>0</v>
      </c>
      <c r="Y21" s="1025" t="n">
        <f aca="false">X21</f>
        <v>0</v>
      </c>
      <c r="Z21" s="1026" t="n">
        <f aca="false">Y21</f>
        <v>0</v>
      </c>
      <c r="AA21" s="1027" t="n">
        <f aca="false">Z21</f>
        <v>0</v>
      </c>
      <c r="AB21" s="1027" t="n">
        <f aca="false">AA21</f>
        <v>0</v>
      </c>
      <c r="AC21" s="1027" t="n">
        <f aca="false">AB21</f>
        <v>0</v>
      </c>
      <c r="AD21" s="1027" t="n">
        <f aca="false">AC21</f>
        <v>0</v>
      </c>
      <c r="AE21" s="1027" t="n">
        <f aca="false">AD21</f>
        <v>0</v>
      </c>
      <c r="AF21" s="1027" t="n">
        <f aca="false">AE21</f>
        <v>0</v>
      </c>
      <c r="AG21" s="1027" t="n">
        <f aca="false">AF21</f>
        <v>0</v>
      </c>
      <c r="AH21" s="1027" t="n">
        <f aca="false">AG21</f>
        <v>0</v>
      </c>
      <c r="AI21" s="1027" t="n">
        <f aca="false">AH21</f>
        <v>0</v>
      </c>
      <c r="AJ21" s="1027" t="n">
        <f aca="false">AI21</f>
        <v>0</v>
      </c>
      <c r="AK21" s="1028" t="n">
        <f aca="false">AJ21</f>
        <v>0</v>
      </c>
      <c r="AL21" s="1029" t="n">
        <f aca="false">AK21</f>
        <v>0</v>
      </c>
      <c r="AM21" s="1030" t="n">
        <f aca="false">AL21</f>
        <v>0</v>
      </c>
      <c r="AN21" s="1030" t="n">
        <f aca="false">AM21</f>
        <v>0</v>
      </c>
      <c r="AO21" s="1030" t="n">
        <f aca="false">AN21</f>
        <v>0</v>
      </c>
      <c r="AP21" s="1030" t="n">
        <f aca="false">AO21</f>
        <v>0</v>
      </c>
      <c r="AQ21" s="1030" t="n">
        <f aca="false">AP21</f>
        <v>0</v>
      </c>
      <c r="AR21" s="1030" t="n">
        <f aca="false">AQ21</f>
        <v>0</v>
      </c>
      <c r="AS21" s="1030" t="n">
        <f aca="false">AR21</f>
        <v>0</v>
      </c>
      <c r="AT21" s="1030" t="n">
        <f aca="false">AS21</f>
        <v>0</v>
      </c>
      <c r="AU21" s="1030" t="n">
        <f aca="false">AT21</f>
        <v>0</v>
      </c>
      <c r="AV21" s="1030" t="n">
        <f aca="false">AU21</f>
        <v>0</v>
      </c>
      <c r="AW21" s="1031" t="n">
        <f aca="false">AV21</f>
        <v>0</v>
      </c>
      <c r="AX21" s="1032" t="n">
        <f aca="false">AW21</f>
        <v>0</v>
      </c>
      <c r="AY21" s="1033" t="n">
        <f aca="false">AX21</f>
        <v>0</v>
      </c>
      <c r="AZ21" s="1033" t="n">
        <f aca="false">AY21</f>
        <v>0</v>
      </c>
      <c r="BA21" s="1033" t="n">
        <f aca="false">AZ21</f>
        <v>0</v>
      </c>
      <c r="BB21" s="1033" t="n">
        <f aca="false">BA21</f>
        <v>0</v>
      </c>
      <c r="BC21" s="1033" t="n">
        <f aca="false">BB21</f>
        <v>0</v>
      </c>
      <c r="BD21" s="1033" t="n">
        <f aca="false">BC21</f>
        <v>0</v>
      </c>
      <c r="BE21" s="1033" t="n">
        <f aca="false">BD21</f>
        <v>0</v>
      </c>
      <c r="BF21" s="1033" t="n">
        <f aca="false">BE21</f>
        <v>0</v>
      </c>
      <c r="BG21" s="1033" t="n">
        <f aca="false">BF21</f>
        <v>0</v>
      </c>
      <c r="BH21" s="1033" t="n">
        <f aca="false">BG21</f>
        <v>0</v>
      </c>
      <c r="BI21" s="1034" t="n">
        <f aca="false">BH21</f>
        <v>0</v>
      </c>
      <c r="BJ21" s="1019" t="n">
        <f aca="false">M21</f>
        <v>0</v>
      </c>
      <c r="BK21" s="1019" t="n">
        <f aca="false">Y21</f>
        <v>0</v>
      </c>
      <c r="BL21" s="1019" t="n">
        <f aca="false">AK21</f>
        <v>0</v>
      </c>
      <c r="BM21" s="1019" t="n">
        <f aca="false">AW21</f>
        <v>0</v>
      </c>
      <c r="BN21" s="1019" t="n">
        <f aca="false">BI21</f>
        <v>0</v>
      </c>
      <c r="BO21" s="1004" t="s">
        <v>1505</v>
      </c>
    </row>
    <row r="22" customFormat="false" ht="12" hidden="false" customHeight="true" outlineLevel="0" collapsed="false">
      <c r="A22" s="1004" t="s">
        <v>1804</v>
      </c>
      <c r="B22" s="1021" t="n">
        <f aca="false">SUM(B19:B21)</f>
        <v>390383.972186301</v>
      </c>
      <c r="C22" s="1021" t="n">
        <f aca="false">SUM(C19:C21)</f>
        <v>407206.328350685</v>
      </c>
      <c r="D22" s="1021" t="n">
        <f aca="false">SUM(D19:D21)</f>
        <v>416394.413883053</v>
      </c>
      <c r="E22" s="1021" t="n">
        <f aca="false">SUM(E19:E21)</f>
        <v>511103.479785396</v>
      </c>
      <c r="F22" s="1021" t="n">
        <f aca="false">SUM(F19:F21)</f>
        <v>606589.453137915</v>
      </c>
      <c r="G22" s="1021" t="n">
        <f aca="false">SUM(G19:G21)</f>
        <v>818589.345048432</v>
      </c>
      <c r="H22" s="1021" t="n">
        <f aca="false">SUM(H19:H21)</f>
        <v>1076938.59586306</v>
      </c>
      <c r="I22" s="1021" t="n">
        <f aca="false">SUM(I19:I21)</f>
        <v>1306348.00340058</v>
      </c>
      <c r="J22" s="1021" t="n">
        <f aca="false">SUM(J19:J21)</f>
        <v>1511198.69773916</v>
      </c>
      <c r="K22" s="1021" t="n">
        <f aca="false">SUM(K19:K21)</f>
        <v>1717020.74567425</v>
      </c>
      <c r="L22" s="1021" t="n">
        <f aca="false">SUM(L19:L21)</f>
        <v>1919568.10831964</v>
      </c>
      <c r="M22" s="1022" t="n">
        <f aca="false">SUM(M19:M21)</f>
        <v>2125220.08438693</v>
      </c>
      <c r="N22" s="1023" t="n">
        <f aca="false">SUM(N19:N21)</f>
        <v>2694154.22898394</v>
      </c>
      <c r="O22" s="1024" t="n">
        <f aca="false">SUM(O19:O21)</f>
        <v>2960489.99945426</v>
      </c>
      <c r="P22" s="1024" t="n">
        <f aca="false">SUM(P19:P21)</f>
        <v>3270966.98283426</v>
      </c>
      <c r="Q22" s="1024" t="n">
        <f aca="false">SUM(Q19:Q21)</f>
        <v>3579128.24968163</v>
      </c>
      <c r="R22" s="1024" t="n">
        <f aca="false">SUM(R19:R21)</f>
        <v>3887285.89282044</v>
      </c>
      <c r="S22" s="1024" t="n">
        <f aca="false">SUM(S19:S21)</f>
        <v>4195439.89413215</v>
      </c>
      <c r="T22" s="1024" t="n">
        <f aca="false">SUM(T19:T21)</f>
        <v>4608663.49883874</v>
      </c>
      <c r="U22" s="1024" t="n">
        <f aca="false">SUM(U19:U21)</f>
        <v>4887022.43799372</v>
      </c>
      <c r="V22" s="1024" t="n">
        <f aca="false">SUM(V19:V21)</f>
        <v>5124715.44588872</v>
      </c>
      <c r="W22" s="1024" t="n">
        <f aca="false">SUM(W19:W21)</f>
        <v>5362405.29585373</v>
      </c>
      <c r="X22" s="1024" t="n">
        <f aca="false">SUM(X19:X21)</f>
        <v>5600091.97209911</v>
      </c>
      <c r="Y22" s="1025" t="n">
        <f aca="false">SUM(Y19:Y21)</f>
        <v>5837775.45875626</v>
      </c>
      <c r="Z22" s="1026" t="n">
        <f aca="false">SUM(Z19:Z21)</f>
        <v>10088490.407367</v>
      </c>
      <c r="AA22" s="1027" t="n">
        <f aca="false">SUM(AA19:AA21)</f>
        <v>10087842.8730327</v>
      </c>
      <c r="AB22" s="1027" t="n">
        <f aca="false">SUM(AB19:AB21)</f>
        <v>10087192.1010267</v>
      </c>
      <c r="AC22" s="1027" t="n">
        <f aca="false">SUM(AC19:AC21)</f>
        <v>10086538.0751608</v>
      </c>
      <c r="AD22" s="1027" t="n">
        <f aca="false">SUM(AD19:AD21)</f>
        <v>10085880.7791655</v>
      </c>
      <c r="AE22" s="1027" t="n">
        <f aca="false">SUM(AE19:AE21)</f>
        <v>10085220.1966902</v>
      </c>
      <c r="AF22" s="1027" t="n">
        <f aca="false">SUM(AF19:AF21)</f>
        <v>10084556.3113025</v>
      </c>
      <c r="AG22" s="1027" t="n">
        <f aca="false">SUM(AG19:AG21)</f>
        <v>10083889.1064879</v>
      </c>
      <c r="AH22" s="1027" t="n">
        <f aca="false">SUM(AH19:AH21)</f>
        <v>10083218.5656492</v>
      </c>
      <c r="AI22" s="1027" t="n">
        <f aca="false">SUM(AI19:AI21)</f>
        <v>10082544.6721064</v>
      </c>
      <c r="AJ22" s="1027" t="n">
        <f aca="false">SUM(AJ19:AJ21)</f>
        <v>10081867.4090958</v>
      </c>
      <c r="AK22" s="1028" t="n">
        <f aca="false">SUM(AK19:AK21)</f>
        <v>10081186.7597701</v>
      </c>
      <c r="AL22" s="1029" t="n">
        <f aca="false">SUM(AL19:AL21)</f>
        <v>10707933.0322769</v>
      </c>
      <c r="AM22" s="1030" t="n">
        <f aca="false">SUM(AM19:AM21)</f>
        <v>10707245.5594418</v>
      </c>
      <c r="AN22" s="1030" t="n">
        <f aca="false">SUM(AN19:AN21)</f>
        <v>10706554.6492425</v>
      </c>
      <c r="AO22" s="1030" t="n">
        <f aca="false">SUM(AO19:AO21)</f>
        <v>10705860.2844922</v>
      </c>
      <c r="AP22" s="1030" t="n">
        <f aca="false">SUM(AP19:AP21)</f>
        <v>10705162.4479182</v>
      </c>
      <c r="AQ22" s="1030" t="n">
        <f aca="false">SUM(AQ19:AQ21)</f>
        <v>10704461.1221612</v>
      </c>
      <c r="AR22" s="1030" t="n">
        <f aca="false">SUM(AR19:AR21)</f>
        <v>10703756.2897755</v>
      </c>
      <c r="AS22" s="1030" t="n">
        <f aca="false">SUM(AS19:AS21)</f>
        <v>10703047.9332279</v>
      </c>
      <c r="AT22" s="1030" t="n">
        <f aca="false">SUM(AT19:AT21)</f>
        <v>10702336.0348975</v>
      </c>
      <c r="AU22" s="1030" t="n">
        <f aca="false">SUM(AU19:AU21)</f>
        <v>10701620.5770755</v>
      </c>
      <c r="AV22" s="1030" t="n">
        <f aca="false">SUM(AV19:AV21)</f>
        <v>10700901.5419644</v>
      </c>
      <c r="AW22" s="1031" t="n">
        <f aca="false">SUM(AW19:AW21)</f>
        <v>10700178.9116777</v>
      </c>
      <c r="AX22" s="1032" t="n">
        <f aca="false">SUM(AX19:AX21)</f>
        <v>11329671.8386112</v>
      </c>
      <c r="AY22" s="1033" t="n">
        <f aca="false">SUM(AY19:AY21)</f>
        <v>11328941.9639559</v>
      </c>
      <c r="AZ22" s="1033" t="n">
        <f aca="false">SUM(AZ19:AZ21)</f>
        <v>11328208.4399273</v>
      </c>
      <c r="BA22" s="1033" t="n">
        <f aca="false">SUM(BA19:BA21)</f>
        <v>11327471.2482785</v>
      </c>
      <c r="BB22" s="1033" t="n">
        <f aca="false">SUM(BB19:BB21)</f>
        <v>11326730.3706716</v>
      </c>
      <c r="BC22" s="1033" t="n">
        <f aca="false">SUM(BC19:BC21)</f>
        <v>11325985.7886765</v>
      </c>
      <c r="BD22" s="1033" t="n">
        <f aca="false">SUM(BD19:BD21)</f>
        <v>11325237.4837716</v>
      </c>
      <c r="BE22" s="1033" t="n">
        <f aca="false">SUM(BE19:BE21)</f>
        <v>11324485.437342</v>
      </c>
      <c r="BF22" s="1033" t="n">
        <f aca="false">SUM(BF19:BF21)</f>
        <v>11323729.6306804</v>
      </c>
      <c r="BG22" s="1033" t="n">
        <f aca="false">SUM(BG19:BG21)</f>
        <v>11322970.0449854</v>
      </c>
      <c r="BH22" s="1033" t="n">
        <f aca="false">SUM(BH19:BH21)</f>
        <v>11322206.661362</v>
      </c>
      <c r="BI22" s="1034" t="n">
        <f aca="false">SUM(BI19:BI21)</f>
        <v>11321439.4608204</v>
      </c>
      <c r="BJ22" s="1019" t="n">
        <f aca="false">M22</f>
        <v>2125220.08438693</v>
      </c>
      <c r="BK22" s="1019" t="n">
        <f aca="false">Y22</f>
        <v>5837775.45875626</v>
      </c>
      <c r="BL22" s="1019" t="n">
        <f aca="false">AK22</f>
        <v>10081186.7597701</v>
      </c>
      <c r="BM22" s="1019" t="n">
        <f aca="false">AW22</f>
        <v>10700178.9116777</v>
      </c>
      <c r="BN22" s="1019" t="n">
        <f aca="false">BI22</f>
        <v>11321439.4608204</v>
      </c>
      <c r="BO22" s="1004" t="s">
        <v>1804</v>
      </c>
    </row>
    <row r="23" customFormat="false" ht="12" hidden="false" customHeight="true" outlineLevel="0" collapsed="false">
      <c r="A23" s="1004"/>
      <c r="B23" s="1021"/>
      <c r="C23" s="1021"/>
      <c r="D23" s="1021"/>
      <c r="E23" s="1021"/>
      <c r="F23" s="1021"/>
      <c r="G23" s="1021"/>
      <c r="H23" s="1021"/>
      <c r="I23" s="1021"/>
      <c r="J23" s="1021"/>
      <c r="K23" s="1021"/>
      <c r="L23" s="1021"/>
      <c r="M23" s="1022"/>
      <c r="N23" s="1023"/>
      <c r="O23" s="1024"/>
      <c r="P23" s="1024"/>
      <c r="Q23" s="1024"/>
      <c r="R23" s="1024"/>
      <c r="S23" s="1024"/>
      <c r="T23" s="1024"/>
      <c r="U23" s="1024"/>
      <c r="V23" s="1024"/>
      <c r="W23" s="1024"/>
      <c r="X23" s="1024"/>
      <c r="Y23" s="1025"/>
      <c r="Z23" s="1026"/>
      <c r="AA23" s="1027"/>
      <c r="AB23" s="1027"/>
      <c r="AC23" s="1027"/>
      <c r="AD23" s="1027"/>
      <c r="AE23" s="1027"/>
      <c r="AF23" s="1027"/>
      <c r="AG23" s="1027"/>
      <c r="AH23" s="1027"/>
      <c r="AI23" s="1027"/>
      <c r="AJ23" s="1027"/>
      <c r="AK23" s="1028"/>
      <c r="AL23" s="1029"/>
      <c r="AM23" s="1030"/>
      <c r="AN23" s="1030"/>
      <c r="AO23" s="1030"/>
      <c r="AP23" s="1030"/>
      <c r="AQ23" s="1030"/>
      <c r="AR23" s="1030"/>
      <c r="AS23" s="1030"/>
      <c r="AT23" s="1030"/>
      <c r="AU23" s="1030"/>
      <c r="AV23" s="1030"/>
      <c r="AW23" s="1031"/>
      <c r="AX23" s="1032"/>
      <c r="AY23" s="1033"/>
      <c r="AZ23" s="1033"/>
      <c r="BA23" s="1033"/>
      <c r="BB23" s="1033"/>
      <c r="BC23" s="1033"/>
      <c r="BD23" s="1033"/>
      <c r="BE23" s="1033"/>
      <c r="BF23" s="1033"/>
      <c r="BG23" s="1033"/>
      <c r="BH23" s="1033"/>
      <c r="BI23" s="1034"/>
      <c r="BJ23" s="1019"/>
      <c r="BK23" s="1019"/>
      <c r="BL23" s="1019"/>
      <c r="BM23" s="1019"/>
      <c r="BN23" s="1019"/>
      <c r="BO23" s="1004"/>
    </row>
    <row r="24" customFormat="false" ht="12.75" hidden="false" customHeight="true" outlineLevel="0" collapsed="false">
      <c r="A24" s="1004" t="s">
        <v>1506</v>
      </c>
      <c r="B24" s="1021" t="n">
        <f aca="false">'Cash Flow'!B77</f>
        <v>0</v>
      </c>
      <c r="C24" s="1021" t="n">
        <f aca="false">'Cash Flow'!C77</f>
        <v>0</v>
      </c>
      <c r="D24" s="1021" t="n">
        <f aca="false">'Cash Flow'!D77</f>
        <v>0</v>
      </c>
      <c r="E24" s="1021" t="n">
        <f aca="false">'Cash Flow'!E77</f>
        <v>0</v>
      </c>
      <c r="F24" s="1021" t="n">
        <f aca="false">'Cash Flow'!F77</f>
        <v>0</v>
      </c>
      <c r="G24" s="1021" t="n">
        <f aca="false">'Cash Flow'!G77</f>
        <v>0</v>
      </c>
      <c r="H24" s="1021" t="n">
        <f aca="false">'Cash Flow'!H77</f>
        <v>5103288.29103204</v>
      </c>
      <c r="I24" s="1021" t="n">
        <f aca="false">'Cash Flow'!I77</f>
        <v>8611661.49449877</v>
      </c>
      <c r="J24" s="1021" t="n">
        <f aca="false">'Cash Flow'!J77</f>
        <v>11408199.2217039</v>
      </c>
      <c r="K24" s="1021" t="n">
        <f aca="false">'Cash Flow'!K77</f>
        <v>14400306.7429422</v>
      </c>
      <c r="L24" s="1021" t="n">
        <f aca="false">'Cash Flow'!L77</f>
        <v>16732220.0747334</v>
      </c>
      <c r="M24" s="1022" t="n">
        <f aca="false">'Cash Flow'!M77</f>
        <v>19689668.3665807</v>
      </c>
      <c r="N24" s="1023" t="n">
        <f aca="false">'Cash Flow'!N77</f>
        <v>21913995.8429081</v>
      </c>
      <c r="O24" s="1024" t="n">
        <f aca="false">'Cash Flow'!O77</f>
        <v>22236610.1814755</v>
      </c>
      <c r="P24" s="1024" t="n">
        <f aca="false">'Cash Flow'!P77</f>
        <v>22555663.8675941</v>
      </c>
      <c r="Q24" s="1024" t="n">
        <f aca="false">'Cash Flow'!Q77</f>
        <v>22407967.5461432</v>
      </c>
      <c r="R24" s="1024" t="n">
        <f aca="false">'Cash Flow'!R77</f>
        <v>22259532.7430852</v>
      </c>
      <c r="S24" s="1024" t="n">
        <f aca="false">'Cash Flow'!S77</f>
        <v>22110355.7660118</v>
      </c>
      <c r="T24" s="1024" t="n">
        <f aca="false">'Cash Flow'!T77</f>
        <v>21960432.9040531</v>
      </c>
      <c r="U24" s="1024" t="n">
        <f aca="false">'Cash Flow'!U77</f>
        <v>21809760.4277845</v>
      </c>
      <c r="V24" s="1024" t="n">
        <f aca="false">'Cash Flow'!V77</f>
        <v>21658334.5891347</v>
      </c>
      <c r="W24" s="1024" t="n">
        <f aca="false">'Cash Flow'!W77</f>
        <v>21506151.6212916</v>
      </c>
      <c r="X24" s="1024" t="n">
        <f aca="false">'Cash Flow'!X77</f>
        <v>21353207.7386092</v>
      </c>
      <c r="Y24" s="1025" t="n">
        <f aca="false">'Cash Flow'!Y77</f>
        <v>21199499.1365135</v>
      </c>
      <c r="Z24" s="1026" t="n">
        <f aca="false">'Cash Flow'!Z77</f>
        <v>21045021.9914073</v>
      </c>
      <c r="AA24" s="1027" t="n">
        <f aca="false">'Cash Flow'!AA77</f>
        <v>20889772.4605755</v>
      </c>
      <c r="AB24" s="1027" t="n">
        <f aca="false">'Cash Flow'!AB77</f>
        <v>20733746.6820896</v>
      </c>
      <c r="AC24" s="1027" t="n">
        <f aca="false">'Cash Flow'!AC77</f>
        <v>20576940.7747113</v>
      </c>
      <c r="AD24" s="1027" t="n">
        <f aca="false">'Cash Flow'!AD77</f>
        <v>20419350.837796</v>
      </c>
      <c r="AE24" s="1027" t="n">
        <f aca="false">'Cash Flow'!AE77</f>
        <v>20260972.9511962</v>
      </c>
      <c r="AF24" s="1027" t="n">
        <f aca="false">'Cash Flow'!AF77</f>
        <v>20101803.1751634</v>
      </c>
      <c r="AG24" s="1027" t="n">
        <f aca="false">'Cash Flow'!AG77</f>
        <v>19941837.5502504</v>
      </c>
      <c r="AH24" s="1027" t="n">
        <f aca="false">'Cash Flow'!AH77</f>
        <v>19781072.0972129</v>
      </c>
      <c r="AI24" s="1027" t="n">
        <f aca="false">'Cash Flow'!AI77</f>
        <v>19619502.8169102</v>
      </c>
      <c r="AJ24" s="1027" t="n">
        <f aca="false">'Cash Flow'!AJ77</f>
        <v>19457125.6902059</v>
      </c>
      <c r="AK24" s="1028" t="n">
        <f aca="false">'Cash Flow'!AK77</f>
        <v>19293936.6778682</v>
      </c>
      <c r="AL24" s="1029" t="n">
        <f aca="false">'Cash Flow'!AL77</f>
        <v>19129931.7204687</v>
      </c>
      <c r="AM24" s="1030" t="n">
        <f aca="false">'Cash Flow'!AM77</f>
        <v>18965106.7382823</v>
      </c>
      <c r="AN24" s="1030" t="n">
        <f aca="false">'Cash Flow'!AN77</f>
        <v>18799457.6311849</v>
      </c>
      <c r="AO24" s="1030" t="n">
        <f aca="false">'Cash Flow'!AO77</f>
        <v>18632980.278552</v>
      </c>
      <c r="AP24" s="1030" t="n">
        <f aca="false">'Cash Flow'!AP77</f>
        <v>18465670.539156</v>
      </c>
      <c r="AQ24" s="1030" t="n">
        <f aca="false">'Cash Flow'!AQ77</f>
        <v>18297524.251063</v>
      </c>
      <c r="AR24" s="1030" t="n">
        <f aca="false">'Cash Flow'!AR77</f>
        <v>18128537.2315295</v>
      </c>
      <c r="AS24" s="1030" t="n">
        <f aca="false">'Cash Flow'!AS77</f>
        <v>17958705.2768984</v>
      </c>
      <c r="AT24" s="1030" t="n">
        <f aca="false">'Cash Flow'!AT77</f>
        <v>17788024.1624941</v>
      </c>
      <c r="AU24" s="1030" t="n">
        <f aca="false">'Cash Flow'!AU77</f>
        <v>17616489.6425178</v>
      </c>
      <c r="AV24" s="1030" t="n">
        <f aca="false">'Cash Flow'!AV77</f>
        <v>17444097.4499416</v>
      </c>
      <c r="AW24" s="1031" t="n">
        <f aca="false">'Cash Flow'!AW77</f>
        <v>17270843.2964025</v>
      </c>
      <c r="AX24" s="1032" t="n">
        <f aca="false">'Cash Flow'!AX77</f>
        <v>17096722.8720957</v>
      </c>
      <c r="AY24" s="1033" t="n">
        <f aca="false">'Cash Flow'!AY77</f>
        <v>16921731.8456674</v>
      </c>
      <c r="AZ24" s="1033" t="n">
        <f aca="false">'Cash Flow'!AZ77</f>
        <v>16745865.864107</v>
      </c>
      <c r="BA24" s="1033" t="n">
        <f aca="false">'Cash Flow'!BA77</f>
        <v>16569120.5526387</v>
      </c>
      <c r="BB24" s="1033" t="n">
        <f aca="false">'Cash Flow'!BB77</f>
        <v>16391491.5146131</v>
      </c>
      <c r="BC24" s="1033" t="n">
        <f aca="false">'Cash Flow'!BC77</f>
        <v>16212974.3313974</v>
      </c>
      <c r="BD24" s="1033" t="n">
        <f aca="false">'Cash Flow'!BD77</f>
        <v>16033564.5622656</v>
      </c>
      <c r="BE24" s="1033" t="n">
        <f aca="false">'Cash Flow'!BE77</f>
        <v>15853257.7442881</v>
      </c>
      <c r="BF24" s="1033" t="n">
        <f aca="false">'Cash Flow'!BF77</f>
        <v>15672049.3922208</v>
      </c>
      <c r="BG24" s="1033" t="n">
        <f aca="false">'Cash Flow'!BG77</f>
        <v>15489934.9983931</v>
      </c>
      <c r="BH24" s="1033" t="n">
        <f aca="false">'Cash Flow'!BH77</f>
        <v>15306910.0325963</v>
      </c>
      <c r="BI24" s="1034" t="n">
        <f aca="false">'Cash Flow'!BI77</f>
        <v>15122969.9419705</v>
      </c>
      <c r="BJ24" s="1019" t="n">
        <f aca="false">M24</f>
        <v>19689668.3665807</v>
      </c>
      <c r="BK24" s="1019" t="n">
        <f aca="false">Y24</f>
        <v>21199499.1365135</v>
      </c>
      <c r="BL24" s="1019" t="n">
        <f aca="false">AK24</f>
        <v>19293936.6778682</v>
      </c>
      <c r="BM24" s="1019" t="n">
        <f aca="false">AW24</f>
        <v>17270843.2964025</v>
      </c>
      <c r="BN24" s="1019" t="n">
        <f aca="false">BI24</f>
        <v>15122969.9419705</v>
      </c>
      <c r="BO24" s="1004" t="s">
        <v>1506</v>
      </c>
    </row>
    <row r="25" customFormat="false" ht="12" hidden="false" customHeight="true" outlineLevel="0" collapsed="false">
      <c r="A25" s="1004" t="s">
        <v>1805</v>
      </c>
      <c r="B25" s="1021" t="n">
        <f aca="false">B22+B24</f>
        <v>390383.972186301</v>
      </c>
      <c r="C25" s="1021" t="n">
        <f aca="false">C22+C24</f>
        <v>407206.328350685</v>
      </c>
      <c r="D25" s="1021" t="n">
        <f aca="false">D22+D24</f>
        <v>416394.413883053</v>
      </c>
      <c r="E25" s="1021" t="n">
        <f aca="false">E22+E24</f>
        <v>511103.479785396</v>
      </c>
      <c r="F25" s="1021" t="n">
        <f aca="false">F22+F24</f>
        <v>606589.453137915</v>
      </c>
      <c r="G25" s="1021" t="n">
        <f aca="false">G22+G24</f>
        <v>818589.345048432</v>
      </c>
      <c r="H25" s="1021" t="n">
        <f aca="false">H22+H24</f>
        <v>6180226.8868951</v>
      </c>
      <c r="I25" s="1021" t="n">
        <f aca="false">I22+I24</f>
        <v>9918009.49789935</v>
      </c>
      <c r="J25" s="1021" t="n">
        <f aca="false">J22+J24</f>
        <v>12919397.9194431</v>
      </c>
      <c r="K25" s="1021" t="n">
        <f aca="false">K22+K24</f>
        <v>16117327.4886165</v>
      </c>
      <c r="L25" s="1021" t="n">
        <f aca="false">L22+L24</f>
        <v>18651788.183053</v>
      </c>
      <c r="M25" s="1022" t="n">
        <f aca="false">M22+M24</f>
        <v>21814888.4509676</v>
      </c>
      <c r="N25" s="1023" t="n">
        <f aca="false">N24+N22</f>
        <v>24608150.071892</v>
      </c>
      <c r="O25" s="1024" t="n">
        <f aca="false">O24+O22</f>
        <v>25197100.1809297</v>
      </c>
      <c r="P25" s="1024" t="n">
        <f aca="false">P24+P22</f>
        <v>25826630.8504283</v>
      </c>
      <c r="Q25" s="1024" t="n">
        <f aca="false">Q24+Q22</f>
        <v>25987095.7958249</v>
      </c>
      <c r="R25" s="1024" t="n">
        <f aca="false">R24+R22</f>
        <v>26146818.6359056</v>
      </c>
      <c r="S25" s="1024" t="n">
        <f aca="false">S24+S22</f>
        <v>26305795.6601439</v>
      </c>
      <c r="T25" s="1024" t="n">
        <f aca="false">T24+T22</f>
        <v>26569096.4028918</v>
      </c>
      <c r="U25" s="1024" t="n">
        <f aca="false">U24+U22</f>
        <v>26696782.8657783</v>
      </c>
      <c r="V25" s="1024" t="n">
        <f aca="false">V24+V22</f>
        <v>26783050.0350234</v>
      </c>
      <c r="W25" s="1024" t="n">
        <f aca="false">W24+W22</f>
        <v>26868556.9171453</v>
      </c>
      <c r="X25" s="1024" t="n">
        <f aca="false">X24+X22</f>
        <v>26953299.7107083</v>
      </c>
      <c r="Y25" s="1025" t="n">
        <f aca="false">Y24+Y22</f>
        <v>27037274.5952698</v>
      </c>
      <c r="Z25" s="1026" t="n">
        <f aca="false">Z24+Z22</f>
        <v>31133512.3987743</v>
      </c>
      <c r="AA25" s="1027" t="n">
        <f aca="false">AA24+AA22</f>
        <v>30977615.3336082</v>
      </c>
      <c r="AB25" s="1027" t="n">
        <f aca="false">AB24+AB22</f>
        <v>30820938.7831163</v>
      </c>
      <c r="AC25" s="1027" t="n">
        <f aca="false">AC24+AC22</f>
        <v>30663478.849872</v>
      </c>
      <c r="AD25" s="1027" t="n">
        <f aca="false">AD24+AD22</f>
        <v>30505231.6169615</v>
      </c>
      <c r="AE25" s="1027" t="n">
        <f aca="false">AE24+AE22</f>
        <v>30346193.1478864</v>
      </c>
      <c r="AF25" s="1027" t="n">
        <f aca="false">AF24+AF22</f>
        <v>30186359.4864659</v>
      </c>
      <c r="AG25" s="1027" t="n">
        <f aca="false">AG24+AG22</f>
        <v>30025726.6567383</v>
      </c>
      <c r="AH25" s="1027" t="n">
        <f aca="false">AH24+AH22</f>
        <v>29864290.6628621</v>
      </c>
      <c r="AI25" s="1027" t="n">
        <f aca="false">AI24+AI22</f>
        <v>29702047.4890165</v>
      </c>
      <c r="AJ25" s="1027" t="n">
        <f aca="false">AJ24+AJ22</f>
        <v>29538993.0993017</v>
      </c>
      <c r="AK25" s="1028" t="n">
        <f aca="false">AK24+AK22</f>
        <v>29375123.4376383</v>
      </c>
      <c r="AL25" s="1029" t="n">
        <f aca="false">AL24+AL22</f>
        <v>29837864.7527457</v>
      </c>
      <c r="AM25" s="1030" t="n">
        <f aca="false">AM24+AM22</f>
        <v>29672352.2977241</v>
      </c>
      <c r="AN25" s="1030" t="n">
        <f aca="false">AN24+AN22</f>
        <v>29506012.2804274</v>
      </c>
      <c r="AO25" s="1030" t="n">
        <f aca="false">AO24+AO22</f>
        <v>29338840.5630443</v>
      </c>
      <c r="AP25" s="1030" t="n">
        <f aca="false">AP24+AP22</f>
        <v>29170832.9870742</v>
      </c>
      <c r="AQ25" s="1030" t="n">
        <f aca="false">AQ24+AQ22</f>
        <v>29001985.3732242</v>
      </c>
      <c r="AR25" s="1030" t="n">
        <f aca="false">AR24+AR22</f>
        <v>28832293.5213051</v>
      </c>
      <c r="AS25" s="1030" t="n">
        <f aca="false">AS24+AS22</f>
        <v>28661753.2101263</v>
      </c>
      <c r="AT25" s="1030" t="n">
        <f aca="false">AT24+AT22</f>
        <v>28490360.1973916</v>
      </c>
      <c r="AU25" s="1030" t="n">
        <f aca="false">AU24+AU22</f>
        <v>28318110.2195933</v>
      </c>
      <c r="AV25" s="1030" t="n">
        <f aca="false">AV24+AV22</f>
        <v>28144998.9919059</v>
      </c>
      <c r="AW25" s="1031" t="n">
        <f aca="false">AW24+AW22</f>
        <v>27971022.2080802</v>
      </c>
      <c r="AX25" s="1032" t="n">
        <f aca="false">AX24+AX22</f>
        <v>28426394.7107069</v>
      </c>
      <c r="AY25" s="1033" t="n">
        <f aca="false">AY24+AY22</f>
        <v>28250673.8096233</v>
      </c>
      <c r="AZ25" s="1033" t="n">
        <f aca="false">AZ24+AZ22</f>
        <v>28074074.3040342</v>
      </c>
      <c r="BA25" s="1033" t="n">
        <f aca="false">BA24+BA22</f>
        <v>27896591.8009172</v>
      </c>
      <c r="BB25" s="1033" t="n">
        <f aca="false">BB24+BB22</f>
        <v>27718221.8852847</v>
      </c>
      <c r="BC25" s="1033" t="n">
        <f aca="false">BC24+BC22</f>
        <v>27538960.1200739</v>
      </c>
      <c r="BD25" s="1033" t="n">
        <f aca="false">BD24+BD22</f>
        <v>27358802.0460371</v>
      </c>
      <c r="BE25" s="1033" t="n">
        <f aca="false">BE24+BE22</f>
        <v>27177743.1816302</v>
      </c>
      <c r="BF25" s="1033" t="n">
        <f aca="false">BF24+BF22</f>
        <v>26995779.0229011</v>
      </c>
      <c r="BG25" s="1033" t="n">
        <f aca="false">BG24+BG22</f>
        <v>26812905.0433785</v>
      </c>
      <c r="BH25" s="1033" t="n">
        <f aca="false">BH24+BH22</f>
        <v>26629116.6939582</v>
      </c>
      <c r="BI25" s="1034" t="n">
        <f aca="false">BI24+BI22</f>
        <v>26444409.4027909</v>
      </c>
      <c r="BJ25" s="1019" t="n">
        <f aca="false">M25</f>
        <v>21814888.4509676</v>
      </c>
      <c r="BK25" s="1019" t="n">
        <f aca="false">Y25</f>
        <v>27037274.5952698</v>
      </c>
      <c r="BL25" s="1019" t="n">
        <f aca="false">AK25</f>
        <v>29375123.4376383</v>
      </c>
      <c r="BM25" s="1019" t="n">
        <f aca="false">AW25</f>
        <v>27971022.2080802</v>
      </c>
      <c r="BN25" s="1019" t="n">
        <f aca="false">BI25</f>
        <v>26444409.4027909</v>
      </c>
      <c r="BO25" s="1004" t="s">
        <v>1805</v>
      </c>
    </row>
    <row r="26" customFormat="false" ht="12" hidden="false" customHeight="true" outlineLevel="0" collapsed="false">
      <c r="A26" s="1004"/>
      <c r="B26" s="1021"/>
      <c r="C26" s="1021"/>
      <c r="D26" s="1021"/>
      <c r="E26" s="1021"/>
      <c r="F26" s="1021"/>
      <c r="G26" s="1021"/>
      <c r="H26" s="1021"/>
      <c r="I26" s="1021"/>
      <c r="J26" s="1021"/>
      <c r="K26" s="1021"/>
      <c r="L26" s="1021"/>
      <c r="M26" s="1022"/>
      <c r="N26" s="1023"/>
      <c r="O26" s="1024"/>
      <c r="P26" s="1024"/>
      <c r="Q26" s="1024"/>
      <c r="R26" s="1024"/>
      <c r="S26" s="1024"/>
      <c r="T26" s="1024"/>
      <c r="U26" s="1024"/>
      <c r="V26" s="1024"/>
      <c r="W26" s="1024"/>
      <c r="X26" s="1024"/>
      <c r="Y26" s="1025"/>
      <c r="Z26" s="1026"/>
      <c r="AA26" s="1027"/>
      <c r="AB26" s="1027"/>
      <c r="AC26" s="1027"/>
      <c r="AD26" s="1027"/>
      <c r="AE26" s="1027"/>
      <c r="AF26" s="1027"/>
      <c r="AG26" s="1027"/>
      <c r="AH26" s="1027"/>
      <c r="AI26" s="1027"/>
      <c r="AJ26" s="1027"/>
      <c r="AK26" s="1028"/>
      <c r="AL26" s="1029"/>
      <c r="AM26" s="1030"/>
      <c r="AN26" s="1030"/>
      <c r="AO26" s="1030"/>
      <c r="AP26" s="1030"/>
      <c r="AQ26" s="1030"/>
      <c r="AR26" s="1030"/>
      <c r="AS26" s="1030"/>
      <c r="AT26" s="1030"/>
      <c r="AU26" s="1030"/>
      <c r="AV26" s="1030"/>
      <c r="AW26" s="1031"/>
      <c r="AX26" s="1032"/>
      <c r="AY26" s="1033"/>
      <c r="AZ26" s="1033"/>
      <c r="BA26" s="1033"/>
      <c r="BB26" s="1033"/>
      <c r="BC26" s="1033"/>
      <c r="BD26" s="1033"/>
      <c r="BE26" s="1033"/>
      <c r="BF26" s="1033"/>
      <c r="BG26" s="1033"/>
      <c r="BH26" s="1033"/>
      <c r="BI26" s="1034"/>
      <c r="BJ26" s="1019"/>
      <c r="BK26" s="1019"/>
      <c r="BL26" s="1019"/>
      <c r="BM26" s="1019"/>
      <c r="BN26" s="1019"/>
      <c r="BO26" s="1004"/>
    </row>
    <row r="27" customFormat="false" ht="12" hidden="false" customHeight="true" outlineLevel="0" collapsed="false">
      <c r="A27" s="1004" t="s">
        <v>1508</v>
      </c>
      <c r="B27" s="1021" t="n">
        <f aca="false">'Cash Flow'!B19</f>
        <v>10000000</v>
      </c>
      <c r="C27" s="1021" t="n">
        <f aca="false">B27+'Cash Flow'!C19-'Cash Flow'!C20</f>
        <v>10000000</v>
      </c>
      <c r="D27" s="1021" t="n">
        <f aca="false">C27+'Cash Flow'!D19-'Cash Flow'!D20</f>
        <v>10000000</v>
      </c>
      <c r="E27" s="1021" t="n">
        <f aca="false">D27+'Cash Flow'!E19-'Cash Flow'!E20</f>
        <v>10000000</v>
      </c>
      <c r="F27" s="1021" t="n">
        <f aca="false">E27+'Cash Flow'!F19-'Cash Flow'!F20</f>
        <v>10000000</v>
      </c>
      <c r="G27" s="1021" t="n">
        <f aca="false">F27+'Cash Flow'!G19-'Cash Flow'!G20</f>
        <v>10000000</v>
      </c>
      <c r="H27" s="1021" t="n">
        <f aca="false">G27+'Cash Flow'!H19-'Cash Flow'!H20</f>
        <v>10000000</v>
      </c>
      <c r="I27" s="1021" t="n">
        <f aca="false">H27+'Cash Flow'!I19-'Cash Flow'!I20</f>
        <v>10000000</v>
      </c>
      <c r="J27" s="1021" t="n">
        <f aca="false">I27+'Cash Flow'!J19-'Cash Flow'!J20</f>
        <v>10000000</v>
      </c>
      <c r="K27" s="1021" t="n">
        <f aca="false">J27+'Cash Flow'!K19-'Cash Flow'!K20</f>
        <v>10000000</v>
      </c>
      <c r="L27" s="1021" t="n">
        <f aca="false">K27+'Cash Flow'!L19-'Cash Flow'!L20</f>
        <v>10000000</v>
      </c>
      <c r="M27" s="1022" t="n">
        <f aca="false">L27+'Cash Flow'!M19-'Cash Flow'!M20</f>
        <v>10000000</v>
      </c>
      <c r="N27" s="1023" t="n">
        <f aca="false">M27+'Cash Flow'!N19-'Cash Flow'!N20</f>
        <v>10000000</v>
      </c>
      <c r="O27" s="1024" t="n">
        <f aca="false">N27+'Cash Flow'!O19-'Cash Flow'!O20</f>
        <v>10000000</v>
      </c>
      <c r="P27" s="1024" t="n">
        <f aca="false">O27+'Cash Flow'!P19-'Cash Flow'!P20</f>
        <v>10000000</v>
      </c>
      <c r="Q27" s="1024" t="n">
        <f aca="false">P27+'Cash Flow'!Q19-'Cash Flow'!Q20</f>
        <v>10000000</v>
      </c>
      <c r="R27" s="1024" t="n">
        <f aca="false">Q27+'Cash Flow'!R19-'Cash Flow'!R20</f>
        <v>10000000</v>
      </c>
      <c r="S27" s="1024" t="n">
        <f aca="false">R27+'Cash Flow'!S19-'Cash Flow'!S20</f>
        <v>10000000</v>
      </c>
      <c r="T27" s="1024" t="n">
        <f aca="false">S27+'Cash Flow'!T19-'Cash Flow'!T20</f>
        <v>10000000</v>
      </c>
      <c r="U27" s="1024" t="n">
        <f aca="false">T27+'Cash Flow'!U19-'Cash Flow'!U20</f>
        <v>10000000</v>
      </c>
      <c r="V27" s="1024" t="n">
        <f aca="false">U27+'Cash Flow'!V19-'Cash Flow'!V20</f>
        <v>10000000</v>
      </c>
      <c r="W27" s="1024" t="n">
        <f aca="false">V27+'Cash Flow'!W19-'Cash Flow'!W20</f>
        <v>10000000</v>
      </c>
      <c r="X27" s="1024" t="n">
        <f aca="false">W27+'Cash Flow'!X19-'Cash Flow'!X20</f>
        <v>10000000</v>
      </c>
      <c r="Y27" s="1025" t="n">
        <f aca="false">X27+'Cash Flow'!Y19-'Cash Flow'!Y20</f>
        <v>10000000</v>
      </c>
      <c r="Z27" s="1026" t="n">
        <f aca="false">Y27+'Cash Flow'!Z19-'Cash Flow'!Z20</f>
        <v>10000000</v>
      </c>
      <c r="AA27" s="1027" t="n">
        <f aca="false">Z27+'Cash Flow'!AA19-'Cash Flow'!AA20</f>
        <v>10000000</v>
      </c>
      <c r="AB27" s="1027" t="n">
        <f aca="false">AA27+'Cash Flow'!AB19-'Cash Flow'!AB20</f>
        <v>10000000</v>
      </c>
      <c r="AC27" s="1027" t="n">
        <f aca="false">AB27+'Cash Flow'!AC19-'Cash Flow'!AC20</f>
        <v>10000000</v>
      </c>
      <c r="AD27" s="1027" t="n">
        <f aca="false">AC27+'Cash Flow'!AD19-'Cash Flow'!AD20</f>
        <v>10000000</v>
      </c>
      <c r="AE27" s="1027" t="n">
        <f aca="false">AD27+'Cash Flow'!AE19-'Cash Flow'!AE20</f>
        <v>10000000</v>
      </c>
      <c r="AF27" s="1027" t="n">
        <f aca="false">AE27+'Cash Flow'!AF19-'Cash Flow'!AF20</f>
        <v>10000000</v>
      </c>
      <c r="AG27" s="1027" t="n">
        <f aca="false">AF27+'Cash Flow'!AG19-'Cash Flow'!AG20</f>
        <v>10000000</v>
      </c>
      <c r="AH27" s="1027" t="n">
        <f aca="false">AG27+'Cash Flow'!AH19-'Cash Flow'!AH20</f>
        <v>10000000</v>
      </c>
      <c r="AI27" s="1027" t="n">
        <f aca="false">AH27+'Cash Flow'!AI19-'Cash Flow'!AI20</f>
        <v>10000000</v>
      </c>
      <c r="AJ27" s="1027" t="n">
        <f aca="false">AI27+'Cash Flow'!AJ19-'Cash Flow'!AJ20</f>
        <v>10000000</v>
      </c>
      <c r="AK27" s="1028" t="n">
        <f aca="false">AJ27+'Cash Flow'!AK19-'Cash Flow'!AK20</f>
        <v>10000000</v>
      </c>
      <c r="AL27" s="1029" t="n">
        <f aca="false">AK27+'Cash Flow'!AL19-'Cash Flow'!AL20</f>
        <v>10000000</v>
      </c>
      <c r="AM27" s="1030" t="n">
        <f aca="false">AL27+'Cash Flow'!AM19-'Cash Flow'!AM20</f>
        <v>10000000</v>
      </c>
      <c r="AN27" s="1030" t="n">
        <f aca="false">AM27+'Cash Flow'!AN19-'Cash Flow'!AN20</f>
        <v>10000000</v>
      </c>
      <c r="AO27" s="1030" t="n">
        <f aca="false">AN27+'Cash Flow'!AO19-'Cash Flow'!AO20</f>
        <v>10000000</v>
      </c>
      <c r="AP27" s="1030" t="n">
        <f aca="false">AO27+'Cash Flow'!AP19-'Cash Flow'!AP20</f>
        <v>10000000</v>
      </c>
      <c r="AQ27" s="1030" t="n">
        <f aca="false">AP27+'Cash Flow'!AQ19-'Cash Flow'!AQ20</f>
        <v>10000000</v>
      </c>
      <c r="AR27" s="1030" t="n">
        <f aca="false">AQ27+'Cash Flow'!AR19-'Cash Flow'!AR20</f>
        <v>10000000</v>
      </c>
      <c r="AS27" s="1030" t="n">
        <f aca="false">AR27+'Cash Flow'!AS19-'Cash Flow'!AS20</f>
        <v>10000000</v>
      </c>
      <c r="AT27" s="1030" t="n">
        <f aca="false">AS27+'Cash Flow'!AT19-'Cash Flow'!AT20</f>
        <v>10000000</v>
      </c>
      <c r="AU27" s="1030" t="n">
        <f aca="false">AT27+'Cash Flow'!AU19-'Cash Flow'!AU20</f>
        <v>10000000</v>
      </c>
      <c r="AV27" s="1030" t="n">
        <f aca="false">AU27+'Cash Flow'!AV19-'Cash Flow'!AV20</f>
        <v>10000000</v>
      </c>
      <c r="AW27" s="1031" t="n">
        <f aca="false">AV27+'Cash Flow'!AW19-'Cash Flow'!AW20</f>
        <v>10000000</v>
      </c>
      <c r="AX27" s="1032" t="n">
        <f aca="false">AW27+'Cash Flow'!AX19-'Cash Flow'!AX20</f>
        <v>10000000</v>
      </c>
      <c r="AY27" s="1033" t="n">
        <f aca="false">AX27+'Cash Flow'!AY19-'Cash Flow'!AY20</f>
        <v>10000000</v>
      </c>
      <c r="AZ27" s="1033" t="n">
        <f aca="false">AY27+'Cash Flow'!AZ19-'Cash Flow'!AZ20</f>
        <v>10000000</v>
      </c>
      <c r="BA27" s="1033" t="n">
        <f aca="false">AZ27+'Cash Flow'!BA19-'Cash Flow'!BA20</f>
        <v>10000000</v>
      </c>
      <c r="BB27" s="1033" t="n">
        <f aca="false">BA27+'Cash Flow'!BB19-'Cash Flow'!BB20</f>
        <v>10000000</v>
      </c>
      <c r="BC27" s="1033" t="n">
        <f aca="false">BB27+'Cash Flow'!BC19-'Cash Flow'!BC20</f>
        <v>10000000</v>
      </c>
      <c r="BD27" s="1033" t="n">
        <f aca="false">BC27+'Cash Flow'!BD19-'Cash Flow'!BD20</f>
        <v>10000000</v>
      </c>
      <c r="BE27" s="1033" t="n">
        <f aca="false">BD27+'Cash Flow'!BE19-'Cash Flow'!BE20</f>
        <v>10000000</v>
      </c>
      <c r="BF27" s="1033" t="n">
        <f aca="false">BE27+'Cash Flow'!BF19-'Cash Flow'!BF20</f>
        <v>10000000</v>
      </c>
      <c r="BG27" s="1033" t="n">
        <f aca="false">BF27+'Cash Flow'!BG19-'Cash Flow'!BG20</f>
        <v>10000000</v>
      </c>
      <c r="BH27" s="1033" t="n">
        <f aca="false">BG27+'Cash Flow'!BH19-'Cash Flow'!BH20</f>
        <v>10000000</v>
      </c>
      <c r="BI27" s="1034" t="n">
        <f aca="false">BH27+'Cash Flow'!BI19-'Cash Flow'!BI20</f>
        <v>10000000</v>
      </c>
      <c r="BJ27" s="1019" t="n">
        <f aca="false">M27</f>
        <v>10000000</v>
      </c>
      <c r="BK27" s="1019" t="n">
        <f aca="false">Y27</f>
        <v>10000000</v>
      </c>
      <c r="BL27" s="1019" t="n">
        <f aca="false">AK27</f>
        <v>10000000</v>
      </c>
      <c r="BM27" s="1019" t="n">
        <f aca="false">AW27</f>
        <v>10000000</v>
      </c>
      <c r="BN27" s="1019" t="n">
        <f aca="false">BI27</f>
        <v>10000000</v>
      </c>
      <c r="BO27" s="1004" t="s">
        <v>1508</v>
      </c>
    </row>
    <row r="28" customFormat="false" ht="12" hidden="false" customHeight="true" outlineLevel="0" collapsed="false">
      <c r="A28" s="1004" t="str">
        <f aca="false">IF('P&amp;L'!E14="y","Accumulated Surplus","Retained Earnings")</f>
        <v>Retained Earnings</v>
      </c>
      <c r="B28" s="1021" t="n">
        <v>0</v>
      </c>
      <c r="C28" s="1021" t="n">
        <v>0</v>
      </c>
      <c r="D28" s="1021" t="n">
        <v>0</v>
      </c>
      <c r="E28" s="1021" t="n">
        <v>0</v>
      </c>
      <c r="F28" s="1021" t="n">
        <v>0</v>
      </c>
      <c r="G28" s="1021" t="n">
        <v>0</v>
      </c>
      <c r="H28" s="1021" t="n">
        <v>0</v>
      </c>
      <c r="I28" s="1021" t="n">
        <v>0</v>
      </c>
      <c r="J28" s="1021" t="n">
        <v>0</v>
      </c>
      <c r="K28" s="1021" t="n">
        <v>0</v>
      </c>
      <c r="L28" s="1021" t="n">
        <v>0</v>
      </c>
      <c r="M28" s="1022" t="n">
        <v>0</v>
      </c>
      <c r="N28" s="1023" t="n">
        <f aca="false">M28+M29</f>
        <v>-3831207.37527624</v>
      </c>
      <c r="O28" s="1024" t="n">
        <f aca="false">N28</f>
        <v>-3831207.37527624</v>
      </c>
      <c r="P28" s="1024" t="n">
        <f aca="false">N28</f>
        <v>-3831207.37527624</v>
      </c>
      <c r="Q28" s="1024" t="n">
        <f aca="false">N28</f>
        <v>-3831207.37527624</v>
      </c>
      <c r="R28" s="1024" t="n">
        <f aca="false">N28</f>
        <v>-3831207.37527624</v>
      </c>
      <c r="S28" s="1024" t="n">
        <f aca="false">N28</f>
        <v>-3831207.37527624</v>
      </c>
      <c r="T28" s="1024" t="n">
        <f aca="false">N28</f>
        <v>-3831207.37527624</v>
      </c>
      <c r="U28" s="1024" t="n">
        <f aca="false">N28</f>
        <v>-3831207.37527624</v>
      </c>
      <c r="V28" s="1024" t="n">
        <f aca="false">N28</f>
        <v>-3831207.37527624</v>
      </c>
      <c r="W28" s="1024" t="n">
        <f aca="false">N28</f>
        <v>-3831207.37527624</v>
      </c>
      <c r="X28" s="1024" t="n">
        <f aca="false">N28</f>
        <v>-3831207.37527624</v>
      </c>
      <c r="Y28" s="1025" t="n">
        <f aca="false">N28</f>
        <v>-3831207.37527624</v>
      </c>
      <c r="Z28" s="1026" t="n">
        <f aca="false">Y28+Y29</f>
        <v>4577509.54154919</v>
      </c>
      <c r="AA28" s="1027" t="n">
        <f aca="false">Z28</f>
        <v>4577509.54154919</v>
      </c>
      <c r="AB28" s="1027" t="n">
        <f aca="false">Z28</f>
        <v>4577509.54154919</v>
      </c>
      <c r="AC28" s="1027" t="n">
        <f aca="false">Z28</f>
        <v>4577509.54154919</v>
      </c>
      <c r="AD28" s="1027" t="n">
        <f aca="false">Z28</f>
        <v>4577509.54154919</v>
      </c>
      <c r="AE28" s="1027" t="n">
        <f aca="false">Z28</f>
        <v>4577509.54154919</v>
      </c>
      <c r="AF28" s="1027" t="n">
        <f aca="false">Z28</f>
        <v>4577509.54154919</v>
      </c>
      <c r="AG28" s="1027" t="n">
        <f aca="false">Z28</f>
        <v>4577509.54154919</v>
      </c>
      <c r="AH28" s="1027" t="n">
        <f aca="false">Z28</f>
        <v>4577509.54154919</v>
      </c>
      <c r="AI28" s="1027" t="n">
        <f aca="false">Z28</f>
        <v>4577509.54154919</v>
      </c>
      <c r="AJ28" s="1027" t="n">
        <f aca="false">Z28</f>
        <v>4577509.54154919</v>
      </c>
      <c r="AK28" s="1028" t="n">
        <f aca="false">Z28</f>
        <v>4577509.54154919</v>
      </c>
      <c r="AL28" s="1029" t="n">
        <f aca="false">AK28+AK29</f>
        <v>46672932.1830159</v>
      </c>
      <c r="AM28" s="1030" t="n">
        <f aca="false">AL28</f>
        <v>46672932.1830159</v>
      </c>
      <c r="AN28" s="1030" t="n">
        <f aca="false">AM28</f>
        <v>46672932.1830159</v>
      </c>
      <c r="AO28" s="1030" t="n">
        <f aca="false">AN28</f>
        <v>46672932.1830159</v>
      </c>
      <c r="AP28" s="1030" t="n">
        <f aca="false">AO28</f>
        <v>46672932.1830159</v>
      </c>
      <c r="AQ28" s="1030" t="n">
        <f aca="false">AP28</f>
        <v>46672932.1830159</v>
      </c>
      <c r="AR28" s="1030" t="n">
        <f aca="false">AQ28</f>
        <v>46672932.1830159</v>
      </c>
      <c r="AS28" s="1030" t="n">
        <f aca="false">AR28</f>
        <v>46672932.1830159</v>
      </c>
      <c r="AT28" s="1030" t="n">
        <f aca="false">AS28</f>
        <v>46672932.1830159</v>
      </c>
      <c r="AU28" s="1030" t="n">
        <f aca="false">AT28</f>
        <v>46672932.1830159</v>
      </c>
      <c r="AV28" s="1030" t="n">
        <f aca="false">AU28</f>
        <v>46672932.1830159</v>
      </c>
      <c r="AW28" s="1031" t="n">
        <f aca="false">AV28</f>
        <v>46672932.1830159</v>
      </c>
      <c r="AX28" s="1032" t="n">
        <f aca="false">AW28+AW29</f>
        <v>95162924.3560846</v>
      </c>
      <c r="AY28" s="1033" t="n">
        <f aca="false">AX28</f>
        <v>95162924.3560846</v>
      </c>
      <c r="AZ28" s="1033" t="n">
        <f aca="false">AY28</f>
        <v>95162924.3560846</v>
      </c>
      <c r="BA28" s="1033" t="n">
        <f aca="false">AZ28</f>
        <v>95162924.3560846</v>
      </c>
      <c r="BB28" s="1033" t="n">
        <f aca="false">BA28</f>
        <v>95162924.3560846</v>
      </c>
      <c r="BC28" s="1033" t="n">
        <f aca="false">BB28</f>
        <v>95162924.3560846</v>
      </c>
      <c r="BD28" s="1033" t="n">
        <f aca="false">BC28</f>
        <v>95162924.3560846</v>
      </c>
      <c r="BE28" s="1033" t="n">
        <f aca="false">BD28</f>
        <v>95162924.3560846</v>
      </c>
      <c r="BF28" s="1033" t="n">
        <f aca="false">BE28</f>
        <v>95162924.3560846</v>
      </c>
      <c r="BG28" s="1033" t="n">
        <f aca="false">BF28</f>
        <v>95162924.3560846</v>
      </c>
      <c r="BH28" s="1033" t="n">
        <f aca="false">BG28</f>
        <v>95162924.3560846</v>
      </c>
      <c r="BI28" s="1034" t="n">
        <f aca="false">BH28</f>
        <v>95162924.3560846</v>
      </c>
      <c r="BJ28" s="1019" t="n">
        <f aca="false">M28</f>
        <v>0</v>
      </c>
      <c r="BK28" s="1019" t="n">
        <f aca="false">Y28</f>
        <v>-3831207.37527624</v>
      </c>
      <c r="BL28" s="1019" t="n">
        <f aca="false">AK28</f>
        <v>4577509.54154919</v>
      </c>
      <c r="BM28" s="1019" t="n">
        <f aca="false">AW28</f>
        <v>46672932.1830159</v>
      </c>
      <c r="BN28" s="1019" t="n">
        <f aca="false">BI28</f>
        <v>95162924.3560846</v>
      </c>
      <c r="BO28" s="1004" t="str">
        <f aca="false">IF('P&amp;L'!BS14="y","Accumulated Surplus","Retained Earnings")</f>
        <v>Retained Earnings</v>
      </c>
    </row>
    <row r="29" customFormat="false" ht="12" hidden="false" customHeight="true" outlineLevel="0" collapsed="false">
      <c r="A29" s="1004" t="str">
        <f aca="false">IF('P&amp;L'!E14="y","Surplus","Earnings")</f>
        <v>Earnings</v>
      </c>
      <c r="B29" s="1021" t="n">
        <f aca="false">'P&amp;L'!B46</f>
        <v>-395805.9718</v>
      </c>
      <c r="C29" s="1021" t="n">
        <f aca="false">'P&amp;L'!C46+B29</f>
        <v>-808667.9436</v>
      </c>
      <c r="D29" s="1021" t="n">
        <f aca="false">'P&amp;L'!D46+C29</f>
        <v>-1229928.47323143</v>
      </c>
      <c r="E29" s="1021" t="n">
        <f aca="false">'P&amp;L'!E46+D29</f>
        <v>-1613933.55158924</v>
      </c>
      <c r="F29" s="1021" t="n">
        <f aca="false">'P&amp;L'!F46+E29</f>
        <v>-1960553.73650486</v>
      </c>
      <c r="G29" s="1021" t="n">
        <f aca="false">'P&amp;L'!G46+F29</f>
        <v>-2253724.13453611</v>
      </c>
      <c r="H29" s="1021" t="n">
        <f aca="false">'P&amp;L'!H46+G29</f>
        <v>-2583226.34568298</v>
      </c>
      <c r="I29" s="1021" t="n">
        <f aca="false">'P&amp;L'!I46+H29</f>
        <v>-2906610.03940064</v>
      </c>
      <c r="J29" s="1021" t="n">
        <f aca="false">'P&amp;L'!J46+I29</f>
        <v>-3193191.47925125</v>
      </c>
      <c r="K29" s="1021" t="n">
        <f aca="false">'P&amp;L'!K46+J29</f>
        <v>-3445744.94985351</v>
      </c>
      <c r="L29" s="1021" t="n">
        <f aca="false">'P&amp;L'!L46+K29</f>
        <v>-3655576.36417759</v>
      </c>
      <c r="M29" s="1022" t="n">
        <f aca="false">'P&amp;L'!M46+L29</f>
        <v>-3831207.37527624</v>
      </c>
      <c r="N29" s="1023" t="n">
        <f aca="false">'P&amp;L'!N46</f>
        <v>363802.231401596</v>
      </c>
      <c r="O29" s="1024" t="n">
        <f aca="false">'P&amp;L'!O46+N29</f>
        <v>818477.654312055</v>
      </c>
      <c r="P29" s="1024" t="n">
        <f aca="false">'P&amp;L'!P46+O29</f>
        <v>1319271.98342018</v>
      </c>
      <c r="Q29" s="1024" t="n">
        <f aca="false">'P&amp;L'!Q46+P29</f>
        <v>1872416.55798821</v>
      </c>
      <c r="R29" s="1024" t="n">
        <f aca="false">'P&amp;L'!R46+Q29</f>
        <v>2477915.05205399</v>
      </c>
      <c r="S29" s="1024" t="n">
        <f aca="false">'P&amp;L'!S46+R29</f>
        <v>3135771.15802557</v>
      </c>
      <c r="T29" s="1024" t="n">
        <f aca="false">'P&amp;L'!T46+S29</f>
        <v>3739455.97246089</v>
      </c>
      <c r="U29" s="1024" t="n">
        <f aca="false">'P&amp;L'!U46+T29</f>
        <v>4425707.28126647</v>
      </c>
      <c r="V29" s="1024" t="n">
        <f aca="false">'P&amp;L'!V46+U29</f>
        <v>5235755.82030311</v>
      </c>
      <c r="W29" s="1024" t="n">
        <f aca="false">'P&amp;L'!W46+V29</f>
        <v>6169604.79136093</v>
      </c>
      <c r="X29" s="1024" t="n">
        <f aca="false">'P&amp;L'!X46+W29</f>
        <v>7227257.41223902</v>
      </c>
      <c r="Y29" s="1025" t="n">
        <f aca="false">'P&amp;L'!Y46+X29</f>
        <v>8408716.91682543</v>
      </c>
      <c r="Z29" s="1026" t="n">
        <f aca="false">'P&amp;L'!Z46</f>
        <v>3504280.11930847</v>
      </c>
      <c r="AA29" s="1027" t="n">
        <f aca="false">'P&amp;L'!AA46+Z29</f>
        <v>7009216.76648365</v>
      </c>
      <c r="AB29" s="1027" t="n">
        <f aca="false">'P&amp;L'!AB46+AA29</f>
        <v>10514813.2241649</v>
      </c>
      <c r="AC29" s="1027" t="n">
        <f aca="false">'P&amp;L'!AC46+AB29</f>
        <v>14021072.7914046</v>
      </c>
      <c r="AD29" s="1027" t="n">
        <f aca="false">'P&amp;L'!AD46+AC29</f>
        <v>17527998.7837508</v>
      </c>
      <c r="AE29" s="1027" t="n">
        <f aca="false">'P&amp;L'!AE46+AD29</f>
        <v>21035594.5333288</v>
      </c>
      <c r="AF29" s="1027" t="n">
        <f aca="false">'P&amp;L'!AF46+AE29</f>
        <v>24543863.3889249</v>
      </c>
      <c r="AG29" s="1027" t="n">
        <f aca="false">'P&amp;L'!AG46+AF29</f>
        <v>28052808.7160691</v>
      </c>
      <c r="AH29" s="1027" t="n">
        <f aca="false">'P&amp;L'!AH46+AG29</f>
        <v>31562433.8971192</v>
      </c>
      <c r="AI29" s="1027" t="n">
        <f aca="false">'P&amp;L'!AI46+AH29</f>
        <v>35072742.3313447</v>
      </c>
      <c r="AJ29" s="1027" t="n">
        <f aca="false">'P&amp;L'!AJ46+AI29</f>
        <v>38583737.4350115</v>
      </c>
      <c r="AK29" s="1028" t="n">
        <f aca="false">'P&amp;L'!AK46+AJ29</f>
        <v>42095422.6414667</v>
      </c>
      <c r="AL29" s="1029" t="n">
        <f aca="false">'P&amp;L'!AL46</f>
        <v>4036934.44702477</v>
      </c>
      <c r="AM29" s="1030" t="n">
        <f aca="false">AL29+'P&amp;L'!AM46</f>
        <v>8074565.91511848</v>
      </c>
      <c r="AN29" s="1030" t="n">
        <f aca="false">AM29+'P&amp;L'!AN46</f>
        <v>12112897.8893865</v>
      </c>
      <c r="AO29" s="1030" t="n">
        <f aca="false">AN29+'P&amp;L'!AO46</f>
        <v>16151933.8723597</v>
      </c>
      <c r="AP29" s="1030" t="n">
        <f aca="false">AO29+'P&amp;L'!AP46</f>
        <v>20191677.3840815</v>
      </c>
      <c r="AQ29" s="1030" t="n">
        <f aca="false">AP29+'P&amp;L'!AQ46</f>
        <v>24232131.9621958</v>
      </c>
      <c r="AR29" s="1030" t="n">
        <f aca="false">AQ29+'P&amp;L'!AR46</f>
        <v>28273301.1620345</v>
      </c>
      <c r="AS29" s="1030" t="n">
        <f aca="false">AR29+'P&amp;L'!AS46</f>
        <v>32315188.5567062</v>
      </c>
      <c r="AT29" s="1030" t="n">
        <f aca="false">AS29+'P&amp;L'!AT46</f>
        <v>36357797.7371851</v>
      </c>
      <c r="AU29" s="1030" t="n">
        <f aca="false">AT29+'P&amp;L'!AU46</f>
        <v>40401132.3124002</v>
      </c>
      <c r="AV29" s="1030" t="n">
        <f aca="false">AU29+'P&amp;L'!AV46</f>
        <v>44445195.9093252</v>
      </c>
      <c r="AW29" s="1031" t="n">
        <f aca="false">AV29+'P&amp;L'!AW46</f>
        <v>48489992.1730687</v>
      </c>
      <c r="AX29" s="1032" t="n">
        <f aca="false">'P&amp;L'!AX46</f>
        <v>4567260.70190812</v>
      </c>
      <c r="AY29" s="1033" t="n">
        <f aca="false">AX29+'P&amp;L'!AY46</f>
        <v>9135261.41561954</v>
      </c>
      <c r="AZ29" s="1033" t="n">
        <f aca="false">AY29+'P&amp;L'!AZ46</f>
        <v>13704005.8411933</v>
      </c>
      <c r="BA29" s="1033" t="n">
        <f aca="false">AZ29+'P&amp;L'!BA46</f>
        <v>18273497.6971887</v>
      </c>
      <c r="BB29" s="1033" t="n">
        <f aca="false">BA29+'P&amp;L'!BB46</f>
        <v>22843740.7207578</v>
      </c>
      <c r="BC29" s="1033" t="n">
        <f aca="false">BB29+'P&amp;L'!BC46</f>
        <v>27414738.6677385</v>
      </c>
      <c r="BD29" s="1033" t="n">
        <f aca="false">BC29+'P&amp;L'!BD46</f>
        <v>31986495.3127479</v>
      </c>
      <c r="BE29" s="1033" t="n">
        <f aca="false">BD29+'P&amp;L'!BE46</f>
        <v>36559014.4492761</v>
      </c>
      <c r="BF29" s="1033" t="n">
        <f aca="false">BE29+'P&amp;L'!BF46</f>
        <v>41132299.8897807</v>
      </c>
      <c r="BG29" s="1033" t="n">
        <f aca="false">BF29+'P&amp;L'!BG46</f>
        <v>45706355.4657816</v>
      </c>
      <c r="BH29" s="1033" t="n">
        <f aca="false">BG29+'P&amp;L'!BH46</f>
        <v>50281185.0279563</v>
      </c>
      <c r="BI29" s="1034" t="n">
        <f aca="false">BH29+'P&amp;L'!BI46</f>
        <v>54856792.4462355</v>
      </c>
      <c r="BJ29" s="1019" t="n">
        <f aca="false">M29</f>
        <v>-3831207.37527624</v>
      </c>
      <c r="BK29" s="1019" t="n">
        <f aca="false">Y29</f>
        <v>8408716.91682543</v>
      </c>
      <c r="BL29" s="1019" t="n">
        <f aca="false">AK29</f>
        <v>42095422.6414667</v>
      </c>
      <c r="BM29" s="1019" t="n">
        <f aca="false">AW29</f>
        <v>48489992.1730687</v>
      </c>
      <c r="BN29" s="1019" t="n">
        <f aca="false">BI29</f>
        <v>54856792.4462355</v>
      </c>
      <c r="BO29" s="1004" t="str">
        <f aca="false">IF('P&amp;L'!BS14="y","Surplus","Earnings")</f>
        <v>Earnings</v>
      </c>
    </row>
    <row r="30" customFormat="false" ht="12" hidden="false" customHeight="true" outlineLevel="0" collapsed="false">
      <c r="A30" s="1004" t="s">
        <v>1806</v>
      </c>
      <c r="B30" s="1021" t="n">
        <f aca="false">B27+B28+B29</f>
        <v>9604194.0282</v>
      </c>
      <c r="C30" s="1021" t="n">
        <f aca="false">C28+C29+C27</f>
        <v>9191332.0564</v>
      </c>
      <c r="D30" s="1021" t="n">
        <f aca="false">D28+D29+D27</f>
        <v>8770071.52676857</v>
      </c>
      <c r="E30" s="1021" t="n">
        <f aca="false">E28+E29+E27</f>
        <v>8386066.44841076</v>
      </c>
      <c r="F30" s="1021" t="n">
        <f aca="false">F28+F29+F27</f>
        <v>8039446.26349514</v>
      </c>
      <c r="G30" s="1021" t="n">
        <f aca="false">G28+G29+G27</f>
        <v>7746275.86546389</v>
      </c>
      <c r="H30" s="1021" t="n">
        <f aca="false">H28+H29+H27</f>
        <v>7416773.65431702</v>
      </c>
      <c r="I30" s="1021" t="n">
        <f aca="false">I28+I29+I27</f>
        <v>7093389.96059936</v>
      </c>
      <c r="J30" s="1021" t="n">
        <f aca="false">J28+J29+J27</f>
        <v>6806808.52074875</v>
      </c>
      <c r="K30" s="1021" t="n">
        <f aca="false">K28+K29+K27</f>
        <v>6554255.05014649</v>
      </c>
      <c r="L30" s="1021" t="n">
        <f aca="false">L28+L29+L27</f>
        <v>6344423.63582241</v>
      </c>
      <c r="M30" s="1022" t="n">
        <f aca="false">M28+M29+M27</f>
        <v>6168792.62472376</v>
      </c>
      <c r="N30" s="1023" t="n">
        <f aca="false">N28+N29+N27</f>
        <v>6532594.85612535</v>
      </c>
      <c r="O30" s="1024" t="n">
        <f aca="false">O28+O29+O27</f>
        <v>6987270.27903581</v>
      </c>
      <c r="P30" s="1024" t="n">
        <f aca="false">P28+P29+P27</f>
        <v>7488064.60814394</v>
      </c>
      <c r="Q30" s="1024" t="n">
        <f aca="false">Q28+Q29+Q27</f>
        <v>8041209.18271197</v>
      </c>
      <c r="R30" s="1024" t="n">
        <f aca="false">R28+R29+R27</f>
        <v>8646707.67677775</v>
      </c>
      <c r="S30" s="1024" t="n">
        <f aca="false">S28+S29+S27</f>
        <v>9304563.78274933</v>
      </c>
      <c r="T30" s="1024" t="n">
        <f aca="false">T28+T29+T27</f>
        <v>9908248.59718465</v>
      </c>
      <c r="U30" s="1024" t="n">
        <f aca="false">U28+U29+U27</f>
        <v>10594499.9059902</v>
      </c>
      <c r="V30" s="1024" t="n">
        <f aca="false">V28+V29+V27</f>
        <v>11404548.4450269</v>
      </c>
      <c r="W30" s="1024" t="n">
        <f aca="false">W28+W29+W27</f>
        <v>12338397.4160847</v>
      </c>
      <c r="X30" s="1024" t="n">
        <f aca="false">X28+X29+X27</f>
        <v>13396050.0369628</v>
      </c>
      <c r="Y30" s="1025" t="n">
        <f aca="false">Y28+Y29+Y27</f>
        <v>14577509.5415492</v>
      </c>
      <c r="Z30" s="1026" t="n">
        <f aca="false">Z28+Z29+Z27</f>
        <v>18081789.6608577</v>
      </c>
      <c r="AA30" s="1027" t="n">
        <f aca="false">AA28+AA29+AA27</f>
        <v>21586726.3080328</v>
      </c>
      <c r="AB30" s="1027" t="n">
        <f aca="false">AB28+AB29+AB27</f>
        <v>25092322.765714</v>
      </c>
      <c r="AC30" s="1027" t="n">
        <f aca="false">AC28+AC29+AC27</f>
        <v>28598582.3329538</v>
      </c>
      <c r="AD30" s="1027" t="n">
        <f aca="false">AD28+AD29+AD27</f>
        <v>32105508.3253</v>
      </c>
      <c r="AE30" s="1027" t="n">
        <f aca="false">AE28+AE29+AE27</f>
        <v>35613104.074878</v>
      </c>
      <c r="AF30" s="1027" t="n">
        <f aca="false">AF28+AF29+AF27</f>
        <v>39121372.930474</v>
      </c>
      <c r="AG30" s="1027" t="n">
        <f aca="false">AG28+AG29+AG27</f>
        <v>42630318.2576183</v>
      </c>
      <c r="AH30" s="1027" t="n">
        <f aca="false">AH28+AH29+AH27</f>
        <v>46139943.4386684</v>
      </c>
      <c r="AI30" s="1027" t="n">
        <f aca="false">AI28+AI29+AI27</f>
        <v>49650251.8728939</v>
      </c>
      <c r="AJ30" s="1027" t="n">
        <f aca="false">AJ28+AJ29+AJ27</f>
        <v>53161246.9765606</v>
      </c>
      <c r="AK30" s="1028" t="n">
        <f aca="false">AK28+AK29+AK27</f>
        <v>56672932.1830159</v>
      </c>
      <c r="AL30" s="1029" t="n">
        <f aca="false">AL28+AL29+AL27</f>
        <v>60709866.6300407</v>
      </c>
      <c r="AM30" s="1030" t="n">
        <f aca="false">AM28+AM29+AM27</f>
        <v>64747498.0981344</v>
      </c>
      <c r="AN30" s="1030" t="n">
        <f aca="false">AN28+AN29+AN27</f>
        <v>68785830.0724024</v>
      </c>
      <c r="AO30" s="1030" t="n">
        <f aca="false">AO28+AO29+AO27</f>
        <v>72824866.0553756</v>
      </c>
      <c r="AP30" s="1030" t="n">
        <f aca="false">AP28+AP29+AP27</f>
        <v>76864609.5670974</v>
      </c>
      <c r="AQ30" s="1030" t="n">
        <f aca="false">AQ28+AQ29+AQ27</f>
        <v>80905064.1452117</v>
      </c>
      <c r="AR30" s="1030" t="n">
        <f aca="false">AR28+AR29+AR27</f>
        <v>84946233.3450504</v>
      </c>
      <c r="AS30" s="1030" t="n">
        <f aca="false">AS28+AS29+AS27</f>
        <v>88988120.7397221</v>
      </c>
      <c r="AT30" s="1030" t="n">
        <f aca="false">AT28+AT29+AT27</f>
        <v>93030729.920201</v>
      </c>
      <c r="AU30" s="1030" t="n">
        <f aca="false">AU28+AU29+AU27</f>
        <v>97074064.4954161</v>
      </c>
      <c r="AV30" s="1030" t="n">
        <f aca="false">AV28+AV29+AV27</f>
        <v>101118128.092341</v>
      </c>
      <c r="AW30" s="1031" t="n">
        <f aca="false">AW28+AW29+AW27</f>
        <v>105162924.356085</v>
      </c>
      <c r="AX30" s="1032" t="n">
        <f aca="false">AX28+AX29+AX27</f>
        <v>109730185.057993</v>
      </c>
      <c r="AY30" s="1033" t="n">
        <f aca="false">AY28+AY29+AY27</f>
        <v>114298185.771704</v>
      </c>
      <c r="AZ30" s="1033" t="n">
        <f aca="false">AZ28+AZ29+AZ27</f>
        <v>118866930.197278</v>
      </c>
      <c r="BA30" s="1033" t="n">
        <f aca="false">BA28+BA29+BA27</f>
        <v>123436422.053273</v>
      </c>
      <c r="BB30" s="1033" t="n">
        <f aca="false">BB28+BB29+BB27</f>
        <v>128006665.076842</v>
      </c>
      <c r="BC30" s="1033" t="n">
        <f aca="false">BC28+BC29+BC27</f>
        <v>132577663.023823</v>
      </c>
      <c r="BD30" s="1033" t="n">
        <f aca="false">BD28+BD29+BD27</f>
        <v>137149419.668832</v>
      </c>
      <c r="BE30" s="1033" t="n">
        <f aca="false">BE28+BE29+BE27</f>
        <v>141721938.805361</v>
      </c>
      <c r="BF30" s="1033" t="n">
        <f aca="false">BF28+BF29+BF27</f>
        <v>146295224.245865</v>
      </c>
      <c r="BG30" s="1033" t="n">
        <f aca="false">BG28+BG29+BG27</f>
        <v>150869279.821866</v>
      </c>
      <c r="BH30" s="1033" t="n">
        <f aca="false">BH28+BH29+BH27</f>
        <v>155444109.384041</v>
      </c>
      <c r="BI30" s="1034" t="n">
        <f aca="false">BI28+BI29+BI27</f>
        <v>160019716.80232</v>
      </c>
      <c r="BJ30" s="1019" t="n">
        <f aca="false">M30</f>
        <v>6168792.62472376</v>
      </c>
      <c r="BK30" s="1019" t="n">
        <f aca="false">Y30</f>
        <v>14577509.5415492</v>
      </c>
      <c r="BL30" s="1019" t="n">
        <f aca="false">AK30</f>
        <v>56672932.1830159</v>
      </c>
      <c r="BM30" s="1019" t="n">
        <f aca="false">AW30</f>
        <v>105162924.356085</v>
      </c>
      <c r="BN30" s="1019" t="n">
        <f aca="false">BI30</f>
        <v>160019716.80232</v>
      </c>
      <c r="BO30" s="1004" t="s">
        <v>1806</v>
      </c>
    </row>
    <row r="31" customFormat="false" ht="12" hidden="false" customHeight="true" outlineLevel="0" collapsed="false">
      <c r="A31" s="1004" t="s">
        <v>1807</v>
      </c>
      <c r="B31" s="1021" t="n">
        <f aca="false">B30+B25</f>
        <v>9994578.0003863</v>
      </c>
      <c r="C31" s="1021" t="n">
        <f aca="false">C30+C25</f>
        <v>9598538.38475069</v>
      </c>
      <c r="D31" s="1021" t="n">
        <f aca="false">D30+D25</f>
        <v>9186465.94065162</v>
      </c>
      <c r="E31" s="1021" t="n">
        <f aca="false">E30+E25</f>
        <v>8897169.92819616</v>
      </c>
      <c r="F31" s="1021" t="n">
        <f aca="false">F30+F25</f>
        <v>8646035.71663305</v>
      </c>
      <c r="G31" s="1021" t="n">
        <f aca="false">G30+G25</f>
        <v>8564865.21051232</v>
      </c>
      <c r="H31" s="1021" t="n">
        <f aca="false">H30+H25</f>
        <v>13597000.5412121</v>
      </c>
      <c r="I31" s="1021" t="n">
        <f aca="false">I30+I25</f>
        <v>17011399.4584987</v>
      </c>
      <c r="J31" s="1021" t="n">
        <f aca="false">J30+J25</f>
        <v>19726206.4401918</v>
      </c>
      <c r="K31" s="1021" t="n">
        <f aca="false">K30+K25</f>
        <v>22671582.538763</v>
      </c>
      <c r="L31" s="1021" t="n">
        <f aca="false">L30+L25</f>
        <v>24996211.8188754</v>
      </c>
      <c r="M31" s="1022" t="n">
        <f aca="false">M30+M25</f>
        <v>27983681.0756914</v>
      </c>
      <c r="N31" s="1023" t="n">
        <f aca="false">N30+N25</f>
        <v>31140744.9280174</v>
      </c>
      <c r="O31" s="1024" t="n">
        <f aca="false">O30+O25</f>
        <v>32184370.4599655</v>
      </c>
      <c r="P31" s="1024" t="n">
        <f aca="false">P30+P25</f>
        <v>33314695.4585723</v>
      </c>
      <c r="Q31" s="1024" t="n">
        <f aca="false">Q30+Q25</f>
        <v>34028304.9785368</v>
      </c>
      <c r="R31" s="1024" t="n">
        <f aca="false">R30+R25</f>
        <v>34793526.3126834</v>
      </c>
      <c r="S31" s="1024" t="n">
        <f aca="false">S30+S25</f>
        <v>35610359.4428933</v>
      </c>
      <c r="T31" s="1024" t="n">
        <f aca="false">T30+T25</f>
        <v>36477345.0000765</v>
      </c>
      <c r="U31" s="1024" t="n">
        <f aca="false">U30+U25</f>
        <v>37291282.7717685</v>
      </c>
      <c r="V31" s="1024" t="n">
        <f aca="false">V30+V25</f>
        <v>38187598.4800503</v>
      </c>
      <c r="W31" s="1024" t="n">
        <f aca="false">W30+W25</f>
        <v>39206954.33323</v>
      </c>
      <c r="X31" s="1024" t="n">
        <f aca="false">X30+X25</f>
        <v>40349349.7476711</v>
      </c>
      <c r="Y31" s="1025" t="n">
        <f aca="false">Y30+Y25</f>
        <v>41614784.1368189</v>
      </c>
      <c r="Z31" s="1026" t="n">
        <f aca="false">Z30+Z25</f>
        <v>49215302.0596319</v>
      </c>
      <c r="AA31" s="1027" t="n">
        <f aca="false">AA30+AA25</f>
        <v>52564341.6416411</v>
      </c>
      <c r="AB31" s="1027" t="n">
        <f aca="false">AB30+AB25</f>
        <v>55913261.5488304</v>
      </c>
      <c r="AC31" s="1027" t="n">
        <f aca="false">AC30+AC25</f>
        <v>59262061.1828258</v>
      </c>
      <c r="AD31" s="1027" t="n">
        <f aca="false">AD30+AD25</f>
        <v>62610739.9422614</v>
      </c>
      <c r="AE31" s="1027" t="n">
        <f aca="false">AE30+AE25</f>
        <v>65959297.2227644</v>
      </c>
      <c r="AF31" s="1027" t="n">
        <f aca="false">AF30+AF25</f>
        <v>69307732.4169399</v>
      </c>
      <c r="AG31" s="1027" t="n">
        <f aca="false">AG30+AG25</f>
        <v>72656044.9143566</v>
      </c>
      <c r="AH31" s="1027" t="n">
        <f aca="false">AH30+AH25</f>
        <v>76004234.1015305</v>
      </c>
      <c r="AI31" s="1027" t="n">
        <f aca="false">AI30+AI25</f>
        <v>79352299.3619104</v>
      </c>
      <c r="AJ31" s="1027" t="n">
        <f aca="false">AJ30+AJ25</f>
        <v>82700240.0758623</v>
      </c>
      <c r="AK31" s="1028" t="n">
        <f aca="false">AK30+AK25</f>
        <v>86048055.6206542</v>
      </c>
      <c r="AL31" s="1029" t="n">
        <f aca="false">AL30+AL25</f>
        <v>90547731.3827864</v>
      </c>
      <c r="AM31" s="1030" t="n">
        <f aca="false">AM30+AM25</f>
        <v>94419850.3958585</v>
      </c>
      <c r="AN31" s="1030" t="n">
        <f aca="false">AN30+AN25</f>
        <v>98291842.3528298</v>
      </c>
      <c r="AO31" s="1030" t="n">
        <f aca="false">AO30+AO25</f>
        <v>102163706.61842</v>
      </c>
      <c r="AP31" s="1030" t="n">
        <f aca="false">AP30+AP25</f>
        <v>106035442.554172</v>
      </c>
      <c r="AQ31" s="1030" t="n">
        <f aca="false">AQ30+AQ25</f>
        <v>109907049.518436</v>
      </c>
      <c r="AR31" s="1030" t="n">
        <f aca="false">AR30+AR25</f>
        <v>113778526.866356</v>
      </c>
      <c r="AS31" s="1030" t="n">
        <f aca="false">AS30+AS25</f>
        <v>117649873.949848</v>
      </c>
      <c r="AT31" s="1030" t="n">
        <f aca="false">AT30+AT25</f>
        <v>121521090.117593</v>
      </c>
      <c r="AU31" s="1030" t="n">
        <f aca="false">AU30+AU25</f>
        <v>125392174.715009</v>
      </c>
      <c r="AV31" s="1030" t="n">
        <f aca="false">AV30+AV25</f>
        <v>129263127.084247</v>
      </c>
      <c r="AW31" s="1031" t="n">
        <f aca="false">AW30+AW25</f>
        <v>133133946.564165</v>
      </c>
      <c r="AX31" s="1032" t="n">
        <f aca="false">AX30+AX25</f>
        <v>138156579.7687</v>
      </c>
      <c r="AY31" s="1033" t="n">
        <f aca="false">AY30+AY25</f>
        <v>142548859.581327</v>
      </c>
      <c r="AZ31" s="1033" t="n">
        <f aca="false">AZ30+AZ25</f>
        <v>146941004.501312</v>
      </c>
      <c r="BA31" s="1033" t="n">
        <f aca="false">BA30+BA25</f>
        <v>151333013.85419</v>
      </c>
      <c r="BB31" s="1033" t="n">
        <f aca="false">BB30+BB25</f>
        <v>155724886.962127</v>
      </c>
      <c r="BC31" s="1033" t="n">
        <f aca="false">BC30+BC25</f>
        <v>160116623.143897</v>
      </c>
      <c r="BD31" s="1033" t="n">
        <f aca="false">BD30+BD25</f>
        <v>164508221.71487</v>
      </c>
      <c r="BE31" s="1033" t="n">
        <f aca="false">BE30+BE25</f>
        <v>168899681.986991</v>
      </c>
      <c r="BF31" s="1033" t="n">
        <f aca="false">BF30+BF25</f>
        <v>173291003.268766</v>
      </c>
      <c r="BG31" s="1033" t="n">
        <f aca="false">BG30+BG25</f>
        <v>177682184.865245</v>
      </c>
      <c r="BH31" s="1033" t="n">
        <f aca="false">BH30+BH25</f>
        <v>182073226.077999</v>
      </c>
      <c r="BI31" s="1034" t="n">
        <f aca="false">BI30+BI25</f>
        <v>186464126.205111</v>
      </c>
      <c r="BJ31" s="1019" t="n">
        <f aca="false">M31</f>
        <v>27983681.0756914</v>
      </c>
      <c r="BK31" s="1019" t="n">
        <f aca="false">Y31</f>
        <v>41614784.1368189</v>
      </c>
      <c r="BL31" s="1019" t="n">
        <f aca="false">AK31</f>
        <v>86048055.6206542</v>
      </c>
      <c r="BM31" s="1019" t="n">
        <f aca="false">AW31</f>
        <v>133133946.564165</v>
      </c>
      <c r="BN31" s="1019" t="n">
        <f aca="false">BI31</f>
        <v>186464126.205111</v>
      </c>
      <c r="BO31" s="1004" t="s">
        <v>1807</v>
      </c>
    </row>
    <row r="32" customFormat="false" ht="12" hidden="false" customHeight="true" outlineLevel="0" collapsed="false">
      <c r="A32" s="1051"/>
      <c r="B32" s="1068"/>
      <c r="C32" s="1068"/>
      <c r="D32" s="1068"/>
      <c r="E32" s="1068"/>
      <c r="F32" s="1068"/>
      <c r="G32" s="1068"/>
      <c r="H32" s="1068"/>
      <c r="I32" s="1068"/>
      <c r="J32" s="1068"/>
      <c r="K32" s="1068"/>
      <c r="L32" s="1068"/>
      <c r="M32" s="1069"/>
      <c r="N32" s="1070"/>
      <c r="O32" s="1071"/>
      <c r="P32" s="1071"/>
      <c r="Q32" s="1071"/>
      <c r="R32" s="1071"/>
      <c r="S32" s="1071"/>
      <c r="T32" s="1071"/>
      <c r="U32" s="1071"/>
      <c r="V32" s="1071"/>
      <c r="W32" s="1071"/>
      <c r="X32" s="1071"/>
      <c r="Y32" s="1072"/>
      <c r="Z32" s="1073"/>
      <c r="AA32" s="1074"/>
      <c r="AB32" s="1074"/>
      <c r="AC32" s="1074"/>
      <c r="AD32" s="1074"/>
      <c r="AE32" s="1074"/>
      <c r="AF32" s="1074"/>
      <c r="AG32" s="1074"/>
      <c r="AH32" s="1074"/>
      <c r="AI32" s="1074"/>
      <c r="AJ32" s="1074"/>
      <c r="AK32" s="1075"/>
      <c r="AL32" s="1076"/>
      <c r="AM32" s="1077"/>
      <c r="AN32" s="1077"/>
      <c r="AO32" s="1077"/>
      <c r="AP32" s="1077"/>
      <c r="AQ32" s="1077"/>
      <c r="AR32" s="1077"/>
      <c r="AS32" s="1077"/>
      <c r="AT32" s="1077"/>
      <c r="AU32" s="1077"/>
      <c r="AV32" s="1077"/>
      <c r="AW32" s="1078"/>
      <c r="AX32" s="1079"/>
      <c r="AY32" s="1080"/>
      <c r="AZ32" s="1080"/>
      <c r="BA32" s="1080"/>
      <c r="BB32" s="1080"/>
      <c r="BC32" s="1080"/>
      <c r="BD32" s="1080"/>
      <c r="BE32" s="1080"/>
      <c r="BF32" s="1080"/>
      <c r="BG32" s="1080"/>
      <c r="BH32" s="1080"/>
      <c r="BI32" s="1081"/>
      <c r="BJ32" s="1066"/>
      <c r="BK32" s="1066"/>
      <c r="BL32" s="1066"/>
      <c r="BM32" s="1066"/>
      <c r="BN32" s="1066"/>
      <c r="BO32" s="1051"/>
    </row>
    <row r="33" s="1003" customFormat="true" ht="12" hidden="false" customHeight="true" outlineLevel="0" collapsed="false">
      <c r="A33" s="1049" t="s">
        <v>1808</v>
      </c>
      <c r="B33" s="1082" t="n">
        <f aca="false">B14-B25</f>
        <v>9604194.0282</v>
      </c>
      <c r="C33" s="1082" t="n">
        <f aca="false">C14-C25</f>
        <v>9191332.0564</v>
      </c>
      <c r="D33" s="1082" t="n">
        <f aca="false">D14-D25</f>
        <v>8770071.52676857</v>
      </c>
      <c r="E33" s="1082" t="n">
        <f aca="false">E14-E25</f>
        <v>8386066.44841076</v>
      </c>
      <c r="F33" s="1082" t="n">
        <f aca="false">F14-F25</f>
        <v>8039446.26349514</v>
      </c>
      <c r="G33" s="1082" t="n">
        <f aca="false">G14-G25</f>
        <v>7746275.86546389</v>
      </c>
      <c r="H33" s="1082" t="n">
        <f aca="false">H14-H25</f>
        <v>7416773.65431702</v>
      </c>
      <c r="I33" s="1082" t="n">
        <f aca="false">I14-I25</f>
        <v>7093389.96059936</v>
      </c>
      <c r="J33" s="1082" t="n">
        <f aca="false">J14-J25</f>
        <v>6806808.52074875</v>
      </c>
      <c r="K33" s="1082" t="n">
        <f aca="false">K14-K25</f>
        <v>6554255.05014649</v>
      </c>
      <c r="L33" s="1082" t="n">
        <f aca="false">L14-L25</f>
        <v>6344423.63582242</v>
      </c>
      <c r="M33" s="1083" t="n">
        <f aca="false">M14-M25</f>
        <v>6168792.62472376</v>
      </c>
      <c r="N33" s="1084" t="n">
        <f aca="false">N14-N25</f>
        <v>6532594.85612536</v>
      </c>
      <c r="O33" s="1082" t="n">
        <f aca="false">O14-O25</f>
        <v>6987270.27903581</v>
      </c>
      <c r="P33" s="1082" t="n">
        <f aca="false">P14-P25</f>
        <v>7488064.60814394</v>
      </c>
      <c r="Q33" s="1082" t="n">
        <f aca="false">Q14-Q25</f>
        <v>8041209.18271197</v>
      </c>
      <c r="R33" s="1082" t="n">
        <f aca="false">R14-R25</f>
        <v>8646707.67677776</v>
      </c>
      <c r="S33" s="1082" t="n">
        <f aca="false">S14-S25</f>
        <v>9304563.78274933</v>
      </c>
      <c r="T33" s="1082" t="n">
        <f aca="false">T14-T25</f>
        <v>9908248.59718467</v>
      </c>
      <c r="U33" s="1082" t="n">
        <f aca="false">U14-U25</f>
        <v>10594499.9059902</v>
      </c>
      <c r="V33" s="1082" t="n">
        <f aca="false">V14-V25</f>
        <v>11404548.4450269</v>
      </c>
      <c r="W33" s="1082" t="n">
        <f aca="false">W14-W25</f>
        <v>12338397.4160847</v>
      </c>
      <c r="X33" s="1082" t="n">
        <f aca="false">X14-X25</f>
        <v>13396050.0369628</v>
      </c>
      <c r="Y33" s="1083" t="n">
        <f aca="false">Y14-Y25</f>
        <v>14577509.5415492</v>
      </c>
      <c r="Z33" s="1084" t="n">
        <f aca="false">Z14-Z25</f>
        <v>18081789.6608577</v>
      </c>
      <c r="AA33" s="1082" t="n">
        <f aca="false">AA14-AA25</f>
        <v>21586726.3080328</v>
      </c>
      <c r="AB33" s="1082" t="n">
        <f aca="false">AB14-AB25</f>
        <v>25092322.7657141</v>
      </c>
      <c r="AC33" s="1082" t="n">
        <f aca="false">AC14-AC25</f>
        <v>28598582.3329538</v>
      </c>
      <c r="AD33" s="1082" t="n">
        <f aca="false">AD14-AD25</f>
        <v>32105508.3253</v>
      </c>
      <c r="AE33" s="1082" t="n">
        <f aca="false">AE14-AE25</f>
        <v>35613104.074878</v>
      </c>
      <c r="AF33" s="1082" t="n">
        <f aca="false">AF14-AF25</f>
        <v>39121372.9304741</v>
      </c>
      <c r="AG33" s="1082" t="n">
        <f aca="false">AG14-AG25</f>
        <v>42630318.2576183</v>
      </c>
      <c r="AH33" s="1082" t="n">
        <f aca="false">AH14-AH25</f>
        <v>46139943.4386684</v>
      </c>
      <c r="AI33" s="1082" t="n">
        <f aca="false">AI14-AI25</f>
        <v>49650251.8728939</v>
      </c>
      <c r="AJ33" s="1082" t="n">
        <f aca="false">AJ14-AJ25</f>
        <v>53161246.9765607</v>
      </c>
      <c r="AK33" s="1083" t="n">
        <f aca="false">AK14-AK25</f>
        <v>56672932.1830159</v>
      </c>
      <c r="AL33" s="1084" t="n">
        <f aca="false">AL14-AL25</f>
        <v>60709866.6300407</v>
      </c>
      <c r="AM33" s="1082" t="n">
        <f aca="false">AM14-AM25</f>
        <v>64747498.0981344</v>
      </c>
      <c r="AN33" s="1082" t="n">
        <f aca="false">AN14-AN25</f>
        <v>68785830.0724024</v>
      </c>
      <c r="AO33" s="1082" t="n">
        <f aca="false">AO14-AO25</f>
        <v>72824866.0553756</v>
      </c>
      <c r="AP33" s="1082" t="n">
        <f aca="false">AP14-AP25</f>
        <v>76864609.5670975</v>
      </c>
      <c r="AQ33" s="1082" t="n">
        <f aca="false">AQ14-AQ25</f>
        <v>80905064.1452117</v>
      </c>
      <c r="AR33" s="1082" t="n">
        <f aca="false">AR14-AR25</f>
        <v>84946233.3450504</v>
      </c>
      <c r="AS33" s="1082" t="n">
        <f aca="false">AS14-AS25</f>
        <v>88988120.7397222</v>
      </c>
      <c r="AT33" s="1082" t="n">
        <f aca="false">AT14-AT25</f>
        <v>93030729.920201</v>
      </c>
      <c r="AU33" s="1082" t="n">
        <f aca="false">AU14-AU25</f>
        <v>97074064.4954161</v>
      </c>
      <c r="AV33" s="1082" t="n">
        <f aca="false">AV14-AV25</f>
        <v>101118128.092341</v>
      </c>
      <c r="AW33" s="1083" t="n">
        <f aca="false">AW14-AW25</f>
        <v>105162924.356085</v>
      </c>
      <c r="AX33" s="1084" t="n">
        <f aca="false">AX14-AX25</f>
        <v>109730185.057993</v>
      </c>
      <c r="AY33" s="1082" t="n">
        <f aca="false">AY14-AY25</f>
        <v>114298185.771704</v>
      </c>
      <c r="AZ33" s="1082" t="n">
        <f aca="false">AZ14-AZ25</f>
        <v>118866930.197278</v>
      </c>
      <c r="BA33" s="1082" t="n">
        <f aca="false">BA14-BA25</f>
        <v>123436422.053273</v>
      </c>
      <c r="BB33" s="1082" t="n">
        <f aca="false">BB14-BB25</f>
        <v>128006665.076842</v>
      </c>
      <c r="BC33" s="1082" t="n">
        <f aca="false">BC14-BC25</f>
        <v>132577663.023823</v>
      </c>
      <c r="BD33" s="1082" t="n">
        <f aca="false">BD14-BD25</f>
        <v>137149419.668832</v>
      </c>
      <c r="BE33" s="1082" t="n">
        <f aca="false">BE14-BE25</f>
        <v>141721938.805361</v>
      </c>
      <c r="BF33" s="1082" t="n">
        <f aca="false">BF14-BF25</f>
        <v>146295224.245865</v>
      </c>
      <c r="BG33" s="1082" t="n">
        <f aca="false">BG14-BG25</f>
        <v>150869279.821866</v>
      </c>
      <c r="BH33" s="1082" t="n">
        <f aca="false">BH14-BH25</f>
        <v>155444109.384041</v>
      </c>
      <c r="BI33" s="1083" t="n">
        <f aca="false">BI14-BI25</f>
        <v>160019716.80232</v>
      </c>
      <c r="BJ33" s="1050" t="n">
        <f aca="false">BJ14-BJ25</f>
        <v>6168792.62472376</v>
      </c>
      <c r="BK33" s="1050" t="n">
        <f aca="false">Y33</f>
        <v>14577509.5415492</v>
      </c>
      <c r="BL33" s="1050" t="n">
        <f aca="false">AK33</f>
        <v>56672932.1830159</v>
      </c>
      <c r="BM33" s="1050" t="n">
        <f aca="false">AW33</f>
        <v>105162924.356085</v>
      </c>
      <c r="BN33" s="1050" t="n">
        <f aca="false">BI33</f>
        <v>160019716.80232</v>
      </c>
      <c r="BO33" s="1050" t="s">
        <v>1808</v>
      </c>
    </row>
    <row r="34" customFormat="false" ht="12" hidden="false" customHeight="true" outlineLevel="0" collapsed="false">
      <c r="A34" s="1004"/>
      <c r="B34" s="1085"/>
      <c r="C34" s="1085"/>
      <c r="D34" s="1085"/>
      <c r="E34" s="1085"/>
      <c r="F34" s="1085"/>
      <c r="G34" s="1085"/>
      <c r="H34" s="1085"/>
      <c r="I34" s="1085"/>
      <c r="J34" s="1085"/>
      <c r="K34" s="1085"/>
      <c r="L34" s="1085"/>
      <c r="M34" s="1086"/>
      <c r="N34" s="1087"/>
      <c r="O34" s="1085"/>
      <c r="P34" s="1085"/>
      <c r="Q34" s="1085"/>
      <c r="R34" s="1085"/>
      <c r="S34" s="1085"/>
      <c r="T34" s="1085"/>
      <c r="U34" s="1085"/>
      <c r="V34" s="1085"/>
      <c r="W34" s="1085"/>
      <c r="X34" s="1085"/>
      <c r="Y34" s="1086"/>
      <c r="Z34" s="1087"/>
      <c r="AA34" s="1085"/>
      <c r="AB34" s="1085"/>
      <c r="AC34" s="1085"/>
      <c r="AD34" s="1085"/>
      <c r="AE34" s="1085"/>
      <c r="AF34" s="1085"/>
      <c r="AG34" s="1085"/>
      <c r="AH34" s="1085"/>
      <c r="AI34" s="1085"/>
      <c r="AJ34" s="1085"/>
      <c r="AK34" s="1086"/>
      <c r="AL34" s="1087"/>
      <c r="AM34" s="1085"/>
      <c r="AN34" s="1085"/>
      <c r="AO34" s="1085"/>
      <c r="AP34" s="1085"/>
      <c r="AQ34" s="1085"/>
      <c r="AR34" s="1085"/>
      <c r="AS34" s="1085"/>
      <c r="AT34" s="1085"/>
      <c r="AU34" s="1085"/>
      <c r="AV34" s="1085"/>
      <c r="AW34" s="1086"/>
      <c r="AX34" s="1087"/>
      <c r="AY34" s="1085"/>
      <c r="AZ34" s="1085"/>
      <c r="BA34" s="1085"/>
      <c r="BB34" s="1085"/>
      <c r="BC34" s="1085"/>
      <c r="BD34" s="1085"/>
      <c r="BE34" s="1085"/>
      <c r="BF34" s="1085"/>
      <c r="BG34" s="1085"/>
      <c r="BH34" s="1085"/>
      <c r="BI34" s="1086"/>
      <c r="BJ34" s="1087"/>
      <c r="BK34" s="1085"/>
      <c r="BL34" s="1085"/>
      <c r="BM34" s="1085"/>
      <c r="BN34" s="1085"/>
      <c r="BO34" s="1004"/>
    </row>
    <row r="35" customFormat="false" ht="12" hidden="false" customHeight="true" outlineLevel="0" collapsed="false">
      <c r="A35" s="1004"/>
      <c r="B35" s="1085"/>
      <c r="C35" s="1085"/>
      <c r="D35" s="1085"/>
      <c r="E35" s="1085"/>
      <c r="F35" s="1085"/>
      <c r="G35" s="1085"/>
      <c r="H35" s="1085"/>
      <c r="I35" s="1085"/>
      <c r="J35" s="1085"/>
      <c r="K35" s="1085"/>
      <c r="L35" s="1085"/>
      <c r="M35" s="1086"/>
      <c r="N35" s="1087"/>
      <c r="O35" s="1085"/>
      <c r="P35" s="1085"/>
      <c r="Q35" s="1085"/>
      <c r="R35" s="1085"/>
      <c r="S35" s="1085"/>
      <c r="T35" s="1085"/>
      <c r="U35" s="1085"/>
      <c r="V35" s="1085"/>
      <c r="W35" s="1085"/>
      <c r="X35" s="1085"/>
      <c r="Y35" s="1086"/>
      <c r="Z35" s="1087"/>
      <c r="AA35" s="1085"/>
      <c r="AB35" s="1085"/>
      <c r="AC35" s="1085"/>
      <c r="AD35" s="1085"/>
      <c r="AE35" s="1085"/>
      <c r="AF35" s="1085"/>
      <c r="AG35" s="1085"/>
      <c r="AH35" s="1085"/>
      <c r="AI35" s="1085"/>
      <c r="AJ35" s="1085"/>
      <c r="AK35" s="1086"/>
      <c r="AL35" s="1087"/>
      <c r="AM35" s="1085"/>
      <c r="AN35" s="1085"/>
      <c r="AO35" s="1085"/>
      <c r="AP35" s="1085"/>
      <c r="AQ35" s="1085"/>
      <c r="AR35" s="1085"/>
      <c r="AS35" s="1085"/>
      <c r="AT35" s="1085"/>
      <c r="AU35" s="1085"/>
      <c r="AV35" s="1085"/>
      <c r="AW35" s="1086"/>
      <c r="AX35" s="1087"/>
      <c r="AY35" s="1085"/>
      <c r="AZ35" s="1085"/>
      <c r="BA35" s="1085"/>
      <c r="BB35" s="1085"/>
      <c r="BC35" s="1085"/>
      <c r="BD35" s="1085"/>
      <c r="BE35" s="1085"/>
      <c r="BF35" s="1085"/>
      <c r="BG35" s="1085"/>
      <c r="BH35" s="1085"/>
      <c r="BI35" s="1086"/>
      <c r="BJ35" s="1087"/>
      <c r="BK35" s="1085"/>
      <c r="BL35" s="1085"/>
      <c r="BM35" s="1085"/>
      <c r="BN35" s="1085"/>
      <c r="BO35" s="1004"/>
    </row>
    <row r="36" customFormat="false" ht="12" hidden="false" customHeight="true" outlineLevel="0" collapsed="false">
      <c r="A36" s="1004"/>
      <c r="B36" s="1085"/>
      <c r="C36" s="1085"/>
      <c r="D36" s="1085"/>
      <c r="E36" s="1085"/>
      <c r="F36" s="1085"/>
      <c r="G36" s="1085"/>
      <c r="H36" s="1085"/>
      <c r="I36" s="1085"/>
      <c r="J36" s="1085"/>
      <c r="K36" s="1085"/>
      <c r="L36" s="1085"/>
      <c r="M36" s="1086"/>
      <c r="N36" s="1087"/>
      <c r="O36" s="1085"/>
      <c r="P36" s="1085"/>
      <c r="Q36" s="1085"/>
      <c r="R36" s="1085"/>
      <c r="S36" s="1085"/>
      <c r="T36" s="1085"/>
      <c r="U36" s="1085"/>
      <c r="V36" s="1085"/>
      <c r="W36" s="1085"/>
      <c r="X36" s="1085"/>
      <c r="Y36" s="1086"/>
      <c r="Z36" s="1087"/>
      <c r="AA36" s="1085"/>
      <c r="AB36" s="1085"/>
      <c r="AC36" s="1085"/>
      <c r="AD36" s="1085"/>
      <c r="AE36" s="1085"/>
      <c r="AF36" s="1085"/>
      <c r="AG36" s="1085"/>
      <c r="AH36" s="1085"/>
      <c r="AI36" s="1085"/>
      <c r="AJ36" s="1085"/>
      <c r="AK36" s="1086"/>
      <c r="AL36" s="1087"/>
      <c r="AM36" s="1085"/>
      <c r="AN36" s="1085"/>
      <c r="AO36" s="1085"/>
      <c r="AP36" s="1085"/>
      <c r="AQ36" s="1085"/>
      <c r="AR36" s="1085"/>
      <c r="AS36" s="1085"/>
      <c r="AT36" s="1085"/>
      <c r="AU36" s="1085"/>
      <c r="AV36" s="1085"/>
      <c r="AW36" s="1086"/>
      <c r="AX36" s="1087"/>
      <c r="AY36" s="1085"/>
      <c r="AZ36" s="1085"/>
      <c r="BA36" s="1085"/>
      <c r="BB36" s="1085"/>
      <c r="BC36" s="1085"/>
      <c r="BD36" s="1085"/>
      <c r="BE36" s="1085"/>
      <c r="BF36" s="1085"/>
      <c r="BG36" s="1085"/>
      <c r="BH36" s="1085"/>
      <c r="BI36" s="1086"/>
      <c r="BJ36" s="1087"/>
      <c r="BK36" s="1085"/>
      <c r="BL36" s="1085"/>
      <c r="BM36" s="1085"/>
      <c r="BN36" s="1085"/>
      <c r="BO36" s="1004"/>
    </row>
    <row r="37" s="1003" customFormat="true" ht="12" hidden="false" customHeight="true" outlineLevel="0" collapsed="false">
      <c r="A37" s="1088" t="s">
        <v>1809</v>
      </c>
      <c r="B37" s="1089" t="n">
        <f aca="false">B14-B31</f>
        <v>0</v>
      </c>
      <c r="C37" s="1090" t="n">
        <f aca="false">C14-C31</f>
        <v>0</v>
      </c>
      <c r="D37" s="1091" t="n">
        <f aca="false">D14-D31</f>
        <v>0</v>
      </c>
      <c r="E37" s="1091" t="n">
        <f aca="false">E14-E31</f>
        <v>0</v>
      </c>
      <c r="F37" s="1091" t="n">
        <f aca="false">F14-F31</f>
        <v>0</v>
      </c>
      <c r="G37" s="1091" t="n">
        <f aca="false">G14-G31</f>
        <v>0</v>
      </c>
      <c r="H37" s="1091" t="n">
        <f aca="false">H14-H31</f>
        <v>0</v>
      </c>
      <c r="I37" s="1091" t="n">
        <f aca="false">I14-I31</f>
        <v>0</v>
      </c>
      <c r="J37" s="1091" t="n">
        <f aca="false">J14-J31</f>
        <v>0</v>
      </c>
      <c r="K37" s="1091" t="n">
        <f aca="false">K14-K31</f>
        <v>0</v>
      </c>
      <c r="L37" s="1091" t="n">
        <f aca="false">L14-L31</f>
        <v>0</v>
      </c>
      <c r="M37" s="1092" t="n">
        <f aca="false">M14-M31</f>
        <v>0</v>
      </c>
      <c r="N37" s="1093" t="n">
        <f aca="false">N14-N31</f>
        <v>0</v>
      </c>
      <c r="O37" s="1094" t="n">
        <f aca="false">O14-O31</f>
        <v>0</v>
      </c>
      <c r="P37" s="1094" t="n">
        <f aca="false">P14-P31</f>
        <v>0</v>
      </c>
      <c r="Q37" s="1094" t="n">
        <f aca="false">Q14-Q31</f>
        <v>0</v>
      </c>
      <c r="R37" s="1094" t="n">
        <f aca="false">R14-R31</f>
        <v>0</v>
      </c>
      <c r="S37" s="1094" t="n">
        <f aca="false">S14-S31</f>
        <v>0</v>
      </c>
      <c r="T37" s="1094" t="n">
        <f aca="false">T14-T31</f>
        <v>0</v>
      </c>
      <c r="U37" s="1094" t="n">
        <f aca="false">U14-U31</f>
        <v>0</v>
      </c>
      <c r="V37" s="1094" t="n">
        <f aca="false">V14-V31</f>
        <v>0</v>
      </c>
      <c r="W37" s="1094" t="n">
        <f aca="false">W14-W31</f>
        <v>0</v>
      </c>
      <c r="X37" s="1094" t="n">
        <f aca="false">X14-X31</f>
        <v>0</v>
      </c>
      <c r="Y37" s="1095" t="n">
        <f aca="false">Y14-Y31</f>
        <v>0</v>
      </c>
      <c r="Z37" s="1096" t="n">
        <f aca="false">Z14-Z31</f>
        <v>0</v>
      </c>
      <c r="AA37" s="1090" t="n">
        <f aca="false">AA14-AA31</f>
        <v>0</v>
      </c>
      <c r="AB37" s="1090" t="n">
        <f aca="false">AB14-AB31</f>
        <v>0</v>
      </c>
      <c r="AC37" s="1090" t="n">
        <f aca="false">AC14-AC31</f>
        <v>0</v>
      </c>
      <c r="AD37" s="1090" t="n">
        <f aca="false">AD14-AD31</f>
        <v>0</v>
      </c>
      <c r="AE37" s="1090" t="n">
        <f aca="false">AE14-AE31</f>
        <v>0</v>
      </c>
      <c r="AF37" s="1090" t="n">
        <f aca="false">AF14-AF31</f>
        <v>0</v>
      </c>
      <c r="AG37" s="1090" t="n">
        <f aca="false">AG14-AG31</f>
        <v>0</v>
      </c>
      <c r="AH37" s="1090" t="n">
        <f aca="false">AH14-AH31</f>
        <v>0</v>
      </c>
      <c r="AI37" s="1090" t="n">
        <f aca="false">AI14-AI31</f>
        <v>0</v>
      </c>
      <c r="AJ37" s="1090" t="n">
        <f aca="false">AJ14-AJ31</f>
        <v>0</v>
      </c>
      <c r="AK37" s="1097" t="n">
        <f aca="false">AK14-AK31</f>
        <v>0</v>
      </c>
      <c r="AL37" s="1098" t="n">
        <f aca="false">AL14-AL31</f>
        <v>0</v>
      </c>
      <c r="AM37" s="1099" t="n">
        <f aca="false">AM14-AM31</f>
        <v>0</v>
      </c>
      <c r="AN37" s="1099" t="n">
        <f aca="false">AN14-AN31</f>
        <v>0</v>
      </c>
      <c r="AO37" s="1099" t="n">
        <f aca="false">AO14-AO31</f>
        <v>0</v>
      </c>
      <c r="AP37" s="1099" t="n">
        <f aca="false">AP14-AP31</f>
        <v>0</v>
      </c>
      <c r="AQ37" s="1099" t="n">
        <f aca="false">AQ14-AQ31</f>
        <v>0</v>
      </c>
      <c r="AR37" s="1099" t="n">
        <f aca="false">AR14-AR31</f>
        <v>0</v>
      </c>
      <c r="AS37" s="1099" t="n">
        <f aca="false">AS14-AS31</f>
        <v>0</v>
      </c>
      <c r="AT37" s="1099" t="n">
        <f aca="false">AT14-AT31</f>
        <v>0</v>
      </c>
      <c r="AU37" s="1099" t="n">
        <f aca="false">AU14-AU31</f>
        <v>0</v>
      </c>
      <c r="AV37" s="1099" t="n">
        <f aca="false">AV14-AV31</f>
        <v>0</v>
      </c>
      <c r="AW37" s="1100" t="n">
        <f aca="false">AW14-AW31</f>
        <v>0</v>
      </c>
      <c r="AX37" s="1101" t="n">
        <f aca="false">AX14-AX31</f>
        <v>0</v>
      </c>
      <c r="AY37" s="1102" t="n">
        <f aca="false">AY14-AY31</f>
        <v>0</v>
      </c>
      <c r="AZ37" s="1102" t="n">
        <f aca="false">AZ14-AZ31</f>
        <v>0</v>
      </c>
      <c r="BA37" s="1102" t="n">
        <f aca="false">BA14-BA31</f>
        <v>0</v>
      </c>
      <c r="BB37" s="1102" t="n">
        <f aca="false">BB14-BB31</f>
        <v>0</v>
      </c>
      <c r="BC37" s="1102" t="n">
        <f aca="false">BC14-BC31</f>
        <v>0</v>
      </c>
      <c r="BD37" s="1102" t="n">
        <f aca="false">BD14-BD31</f>
        <v>0</v>
      </c>
      <c r="BE37" s="1102" t="n">
        <f aca="false">BE14-BE31</f>
        <v>0</v>
      </c>
      <c r="BF37" s="1102" t="n">
        <f aca="false">BF14-BF31</f>
        <v>0</v>
      </c>
      <c r="BG37" s="1102" t="n">
        <f aca="false">BG14-BG31</f>
        <v>0</v>
      </c>
      <c r="BH37" s="1102" t="n">
        <f aca="false">BH14-BH31</f>
        <v>0</v>
      </c>
      <c r="BI37" s="1103" t="n">
        <f aca="false">BI14-BI31</f>
        <v>0</v>
      </c>
      <c r="BJ37" s="1104" t="n">
        <f aca="false">BJ14-BJ31</f>
        <v>0</v>
      </c>
      <c r="BK37" s="1091" t="n">
        <f aca="false">BK14-BK31</f>
        <v>0</v>
      </c>
      <c r="BL37" s="1091" t="n">
        <f aca="false">BL14-BL31</f>
        <v>0</v>
      </c>
      <c r="BM37" s="1091" t="n">
        <f aca="false">BM14-BM31</f>
        <v>0</v>
      </c>
      <c r="BN37" s="1091" t="n">
        <f aca="false">BN14-BN31</f>
        <v>0</v>
      </c>
      <c r="BO37" s="1088" t="s">
        <v>1809</v>
      </c>
    </row>
    <row r="38" customFormat="false" ht="12" hidden="false" customHeight="true" outlineLevel="0" collapsed="false">
      <c r="A38" s="593"/>
    </row>
    <row r="39" customFormat="false" ht="12" hidden="false" customHeight="true" outlineLevel="0" collapsed="false">
      <c r="A39" s="593"/>
    </row>
  </sheetData>
  <conditionalFormatting sqref="B37:BN37">
    <cfRule type="cellIs" priority="2" operator="equal" aboveAverage="0" equalAverage="0" bottom="0" percent="0" rank="0" text="" dxfId="6">
      <formula>0</formula>
    </cfRule>
    <cfRule type="cellIs" priority="3" operator="notEqual" aboveAverage="0" equalAverage="0" bottom="0" percent="0" rank="0" text="" dxfId="7">
      <formula>0</formula>
    </cfRule>
  </conditionalFormatting>
  <printOptions headings="false" gridLines="false" gridLinesSet="true" horizontalCentered="false" verticalCentered="false"/>
  <pageMargins left="0.75" right="0.75" top="1" bottom="1" header="0.511811023622047" footer="0.511811023622047"/>
  <pageSetup paperSize="1" scale="125"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G27"/>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6328125" defaultRowHeight="15" customHeight="true" zeroHeight="false" outlineLevelRow="0" outlineLevelCol="0"/>
  <cols>
    <col collapsed="false" customWidth="true" hidden="false" outlineLevel="0" max="1" min="1" style="1" width="3"/>
    <col collapsed="false" customWidth="true" hidden="false" outlineLevel="0" max="2" min="2" style="1" width="48.18"/>
    <col collapsed="false" customWidth="true" hidden="false" outlineLevel="0" max="7" min="3" style="1" width="16"/>
  </cols>
  <sheetData>
    <row r="1" customFormat="false" ht="12" hidden="false" customHeight="true" outlineLevel="0" collapsed="false"/>
    <row r="2" customFormat="false" ht="21.75" hidden="false" customHeight="true" outlineLevel="0" collapsed="false">
      <c r="B2" s="1105" t="s">
        <v>1810</v>
      </c>
      <c r="C2" s="1105"/>
      <c r="D2" s="1105"/>
      <c r="E2" s="1105"/>
      <c r="F2" s="1105"/>
      <c r="G2" s="1105"/>
    </row>
    <row r="3" customFormat="false" ht="12" hidden="false" customHeight="true" outlineLevel="0" collapsed="false"/>
    <row r="4" customFormat="false" ht="19.5" hidden="false" customHeight="true" outlineLevel="0" collapsed="false">
      <c r="B4" s="29" t="s">
        <v>1811</v>
      </c>
      <c r="C4" s="29" t="s">
        <v>1488</v>
      </c>
      <c r="D4" s="29" t="s">
        <v>1672</v>
      </c>
      <c r="E4" s="29" t="s">
        <v>1673</v>
      </c>
      <c r="F4" s="29" t="s">
        <v>1674</v>
      </c>
      <c r="G4" s="29" t="s">
        <v>1675</v>
      </c>
    </row>
    <row r="5" customFormat="false" ht="18" hidden="false" customHeight="true" outlineLevel="0" collapsed="false">
      <c r="B5" s="1106" t="s">
        <v>1812</v>
      </c>
      <c r="C5" s="1106"/>
      <c r="D5" s="1106"/>
      <c r="E5" s="1106"/>
      <c r="F5" s="1106"/>
      <c r="G5" s="1106"/>
    </row>
    <row r="6" customFormat="false" ht="15" hidden="false" customHeight="true" outlineLevel="0" collapsed="false">
      <c r="B6" s="4" t="s">
        <v>1813</v>
      </c>
      <c r="C6" s="1107" t="n">
        <f aca="false">'P&amp;L'!BJ49</f>
        <v>-2805242.15432026</v>
      </c>
      <c r="D6" s="1107" t="n">
        <f aca="false">'P&amp;L'!BK49</f>
        <v>12997560.903587</v>
      </c>
      <c r="E6" s="1107" t="n">
        <f aca="false">'P&amp;L'!BL49</f>
        <v>53090344.9078398</v>
      </c>
      <c r="F6" s="1107" t="n">
        <f aca="false">'P&amp;L'!BM49</f>
        <v>60495836.9633747</v>
      </c>
      <c r="G6" s="1107" t="n">
        <f aca="false">'P&amp;L'!BN49</f>
        <v>67861410.2529576</v>
      </c>
    </row>
    <row r="7" customFormat="false" ht="15" hidden="false" customHeight="true" outlineLevel="0" collapsed="false">
      <c r="B7" s="15" t="s">
        <v>1814</v>
      </c>
      <c r="C7" s="126" t="n">
        <f aca="false">'P&amp;L'!BJ44</f>
        <v>0</v>
      </c>
      <c r="D7" s="126" t="n">
        <f aca="false">'P&amp;L'!BK44</f>
        <v>930519.83978821</v>
      </c>
      <c r="E7" s="126" t="n">
        <f aca="false">'P&amp;L'!BL44</f>
        <v>7428603.99555295</v>
      </c>
      <c r="F7" s="126" t="n">
        <f aca="false">'P&amp;L'!BM44</f>
        <v>8557057.44230624</v>
      </c>
      <c r="G7" s="126" t="n">
        <f aca="false">'P&amp;L'!BN44</f>
        <v>9680610.43168863</v>
      </c>
    </row>
    <row r="8" customFormat="false" ht="15" hidden="false" customHeight="true" outlineLevel="0" collapsed="false">
      <c r="B8" s="15" t="s">
        <v>1815</v>
      </c>
      <c r="C8" s="1108" t="n">
        <v>0</v>
      </c>
      <c r="D8" s="1108" t="n">
        <v>0</v>
      </c>
      <c r="E8" s="1108" t="n">
        <v>0</v>
      </c>
      <c r="F8" s="1108" t="n">
        <v>0</v>
      </c>
      <c r="G8" s="1108" t="n">
        <v>0</v>
      </c>
    </row>
    <row r="9" customFormat="false" ht="15" hidden="false" customHeight="true" outlineLevel="0" collapsed="false">
      <c r="B9" s="4" t="s">
        <v>1816</v>
      </c>
      <c r="C9" s="1107" t="n">
        <f aca="false">C6-C7-C8</f>
        <v>-2805242.15432026</v>
      </c>
      <c r="D9" s="1107" t="n">
        <f aca="false">D6-D7-D8</f>
        <v>12067041.0637988</v>
      </c>
      <c r="E9" s="1107" t="n">
        <f aca="false">E6-E7-E8</f>
        <v>45661740.9122869</v>
      </c>
      <c r="F9" s="1107" t="n">
        <f aca="false">F6-F7-F8</f>
        <v>51938779.5210684</v>
      </c>
      <c r="G9" s="1107" t="n">
        <f aca="false">G6-G7-G8</f>
        <v>58180799.821269</v>
      </c>
    </row>
    <row r="10" customFormat="false" ht="18" hidden="false" customHeight="true" outlineLevel="0" collapsed="false">
      <c r="B10" s="1106" t="s">
        <v>1817</v>
      </c>
      <c r="C10" s="1106"/>
      <c r="D10" s="1106"/>
      <c r="E10" s="1106"/>
      <c r="F10" s="1106"/>
      <c r="G10" s="1106"/>
    </row>
    <row r="11" customFormat="false" ht="15" hidden="false" customHeight="true" outlineLevel="0" collapsed="false">
      <c r="B11" s="15" t="s">
        <v>1818</v>
      </c>
      <c r="C11" s="126" t="n">
        <f aca="false">'Cash Flow'!BJ18</f>
        <v>475966.233419325</v>
      </c>
      <c r="D11" s="126" t="n">
        <f aca="false">'Cash Flow'!BK18</f>
        <v>1786385.03006718</v>
      </c>
      <c r="E11" s="126" t="n">
        <f aca="false">'Cash Flow'!BL18</f>
        <v>1905562.45864531</v>
      </c>
      <c r="F11" s="126" t="n">
        <f aca="false">'Cash Flow'!BM18</f>
        <v>2023093.38146568</v>
      </c>
      <c r="G11" s="126" t="n">
        <f aca="false">'Cash Flow'!BN18</f>
        <v>2147873.35443204</v>
      </c>
    </row>
    <row r="12" customFormat="false" ht="15" hidden="false" customHeight="true" outlineLevel="0" collapsed="false">
      <c r="B12" s="15" t="s">
        <v>1819</v>
      </c>
      <c r="C12" s="126" t="n">
        <f aca="false">'Cash Flow'!BJ55</f>
        <v>382106.552124552</v>
      </c>
      <c r="D12" s="126" t="n">
        <f aca="false">'Cash Flow'!BK55</f>
        <v>1323789.48697336</v>
      </c>
      <c r="E12" s="126" t="n">
        <f aca="false">'Cash Flow'!BL55</f>
        <v>1220133.23082016</v>
      </c>
      <c r="F12" s="126" t="n">
        <f aca="false">'Cash Flow'!BM55</f>
        <v>1102602.30799978</v>
      </c>
      <c r="G12" s="126" t="n">
        <f aca="false">'Cash Flow'!BN55</f>
        <v>977822.335033428</v>
      </c>
    </row>
    <row r="13" customFormat="false" ht="15" hidden="false" customHeight="true" outlineLevel="0" collapsed="false">
      <c r="B13" s="4" t="s">
        <v>1820</v>
      </c>
      <c r="C13" s="1107" t="n">
        <f aca="false">C11+C12</f>
        <v>858072.785543877</v>
      </c>
      <c r="D13" s="1107" t="n">
        <f aca="false">D11+D12</f>
        <v>3110174.51704054</v>
      </c>
      <c r="E13" s="1107" t="n">
        <f aca="false">E11+E12</f>
        <v>3125695.68946547</v>
      </c>
      <c r="F13" s="1107" t="n">
        <f aca="false">F11+F12</f>
        <v>3125695.68946547</v>
      </c>
      <c r="G13" s="1107" t="n">
        <f aca="false">G11+G12</f>
        <v>3125695.68946547</v>
      </c>
    </row>
    <row r="14" customFormat="false" ht="15" hidden="false" customHeight="true" outlineLevel="0" collapsed="false">
      <c r="B14" s="15" t="s">
        <v>1821</v>
      </c>
      <c r="C14" s="126" t="n">
        <f aca="false">'P&amp;L'!BJ29</f>
        <v>3600000</v>
      </c>
      <c r="D14" s="126" t="n">
        <f aca="false">'P&amp;L'!BK29</f>
        <v>3780000</v>
      </c>
      <c r="E14" s="126" t="n">
        <f aca="false">'P&amp;L'!BL29</f>
        <v>3969000</v>
      </c>
      <c r="F14" s="126" t="n">
        <f aca="false">'P&amp;L'!BM29</f>
        <v>4167450</v>
      </c>
      <c r="G14" s="126" t="n">
        <f aca="false">'P&amp;L'!BN29</f>
        <v>4375822.5</v>
      </c>
    </row>
    <row r="15" customFormat="false" ht="15" hidden="false" customHeight="true" outlineLevel="0" collapsed="false">
      <c r="B15" s="4" t="s">
        <v>1822</v>
      </c>
      <c r="C15" s="1107" t="n">
        <f aca="false">C13+C14</f>
        <v>4458072.78554388</v>
      </c>
      <c r="D15" s="1107" t="n">
        <f aca="false">D13+D14</f>
        <v>6890174.51704054</v>
      </c>
      <c r="E15" s="1107" t="n">
        <f aca="false">E13+E14</f>
        <v>7094695.68946547</v>
      </c>
      <c r="F15" s="1107" t="n">
        <f aca="false">F13+F14</f>
        <v>7293145.68946547</v>
      </c>
      <c r="G15" s="1107" t="n">
        <f aca="false">G13+G14</f>
        <v>7501518.18946547</v>
      </c>
    </row>
    <row r="16" customFormat="false" ht="18" hidden="false" customHeight="true" outlineLevel="0" collapsed="false">
      <c r="B16" s="1106" t="s">
        <v>1823</v>
      </c>
      <c r="C16" s="1106"/>
      <c r="D16" s="1106"/>
      <c r="E16" s="1106"/>
      <c r="F16" s="1106"/>
      <c r="G16" s="1106"/>
    </row>
    <row r="17" customFormat="false" ht="15" hidden="false" customHeight="true" outlineLevel="0" collapsed="false">
      <c r="B17" s="4" t="s">
        <v>1824</v>
      </c>
      <c r="C17" s="1107" t="n">
        <f aca="false">'Balance Sheet'!BJ24</f>
        <v>19689668.3665807</v>
      </c>
      <c r="D17" s="1107" t="n">
        <f aca="false">'Balance Sheet'!BK24</f>
        <v>21199499.1365135</v>
      </c>
      <c r="E17" s="1107" t="n">
        <f aca="false">'Balance Sheet'!BL24</f>
        <v>19293936.6778682</v>
      </c>
      <c r="F17" s="1107" t="n">
        <f aca="false">'Balance Sheet'!BM24</f>
        <v>17270843.2964025</v>
      </c>
      <c r="G17" s="1107" t="n">
        <f aca="false">'Balance Sheet'!BN24</f>
        <v>15122969.9419705</v>
      </c>
    </row>
    <row r="18" customFormat="false" ht="15" hidden="false" customHeight="true" outlineLevel="0" collapsed="false">
      <c r="B18" s="15" t="s">
        <v>1825</v>
      </c>
      <c r="C18" s="126" t="n">
        <f aca="false">'Cash Flow'!BJ122</f>
        <v>6344386.38122366</v>
      </c>
      <c r="D18" s="126" t="n">
        <f aca="false">'Cash Flow'!BK122</f>
        <v>13935660.5086761</v>
      </c>
      <c r="E18" s="126" t="n">
        <f aca="false">'Cash Flow'!BL122</f>
        <v>54173400.9296542</v>
      </c>
      <c r="F18" s="126" t="n">
        <f aca="false">'Cash Flow'!BM122</f>
        <v>102460676.595165</v>
      </c>
      <c r="G18" s="126" t="n">
        <f aca="false">'Cash Flow'!BN122</f>
        <v>156992240.958111</v>
      </c>
    </row>
    <row r="19" customFormat="false" ht="15" hidden="false" customHeight="true" outlineLevel="0" collapsed="false">
      <c r="B19" s="15" t="s">
        <v>1826</v>
      </c>
      <c r="C19" s="126" t="n">
        <f aca="false">'P&amp;L'!BJ41</f>
        <v>7158057.74494405</v>
      </c>
      <c r="D19" s="126" t="n">
        <f aca="false">'P&amp;L'!BK41</f>
        <v>20895282.5696614</v>
      </c>
      <c r="E19" s="126" t="n">
        <f aca="false">'P&amp;L'!BL41</f>
        <v>35027776.063542</v>
      </c>
      <c r="F19" s="126" t="n">
        <f aca="false">'P&amp;L'!BM41</f>
        <v>37218991.7694791</v>
      </c>
      <c r="G19" s="126" t="n">
        <f aca="false">'P&amp;L'!BN41</f>
        <v>39450126.2413681</v>
      </c>
    </row>
    <row r="20" customFormat="false" ht="15" hidden="false" customHeight="true" outlineLevel="0" collapsed="false">
      <c r="B20" s="15" t="s">
        <v>1827</v>
      </c>
      <c r="C20" s="126" t="n">
        <f aca="false">'P&amp;L'!BJ38</f>
        <v>644079.825</v>
      </c>
      <c r="D20" s="126" t="n">
        <f aca="false">'P&amp;L'!BK38</f>
        <v>2334534.66</v>
      </c>
      <c r="E20" s="126" t="n">
        <f aca="false">'P&amp;L'!BL38</f>
        <v>2346185.04</v>
      </c>
      <c r="F20" s="126" t="n">
        <f aca="false">'P&amp;L'!BM38</f>
        <v>2346185.04</v>
      </c>
      <c r="G20" s="126" t="n">
        <f aca="false">'P&amp;L'!BN38</f>
        <v>2346185.04</v>
      </c>
    </row>
    <row r="21" customFormat="false" ht="15" hidden="false" customHeight="true" outlineLevel="0" collapsed="false">
      <c r="B21" s="4" t="s">
        <v>1828</v>
      </c>
      <c r="C21" s="1107" t="n">
        <f aca="false">C19-C20</f>
        <v>6513977.91994405</v>
      </c>
      <c r="D21" s="1107" t="n">
        <f aca="false">D19-D20</f>
        <v>18560747.9096614</v>
      </c>
      <c r="E21" s="1107" t="n">
        <f aca="false">E19-E20</f>
        <v>32681591.023542</v>
      </c>
      <c r="F21" s="1107" t="n">
        <f aca="false">F19-F20</f>
        <v>34872806.7294791</v>
      </c>
      <c r="G21" s="1107" t="n">
        <f aca="false">G19-G20</f>
        <v>37103941.2013681</v>
      </c>
    </row>
    <row r="22" customFormat="false" ht="15" hidden="false" customHeight="true" outlineLevel="0" collapsed="false">
      <c r="B22" s="15" t="s">
        <v>1829</v>
      </c>
      <c r="C22" s="126" t="n">
        <f aca="false">C21/12</f>
        <v>542831.493328671</v>
      </c>
      <c r="D22" s="126" t="n">
        <f aca="false">D21/12</f>
        <v>1546728.99247179</v>
      </c>
      <c r="E22" s="126" t="n">
        <f aca="false">E21/12</f>
        <v>2723465.9186285</v>
      </c>
      <c r="F22" s="126" t="n">
        <f aca="false">F21/12</f>
        <v>2906067.22745659</v>
      </c>
      <c r="G22" s="126" t="n">
        <f aca="false">G21/12</f>
        <v>3091995.100114</v>
      </c>
    </row>
    <row r="23" customFormat="false" ht="18" hidden="false" customHeight="true" outlineLevel="0" collapsed="false">
      <c r="B23" s="1106" t="s">
        <v>1830</v>
      </c>
      <c r="C23" s="1106"/>
      <c r="D23" s="1106"/>
      <c r="E23" s="1106"/>
      <c r="F23" s="1106"/>
      <c r="G23" s="1106"/>
    </row>
    <row r="24" customFormat="false" ht="15" hidden="false" customHeight="true" outlineLevel="0" collapsed="false">
      <c r="B24" s="1109" t="s">
        <v>1831</v>
      </c>
      <c r="C24" s="1109"/>
      <c r="D24" s="1109"/>
      <c r="E24" s="1109"/>
      <c r="F24" s="1109"/>
      <c r="G24" s="1109"/>
    </row>
    <row r="25" customFormat="false" ht="15" hidden="false" customHeight="true" outlineLevel="0" collapsed="false">
      <c r="B25" s="1109" t="s">
        <v>1832</v>
      </c>
      <c r="C25" s="1109"/>
      <c r="D25" s="1109"/>
      <c r="E25" s="1109"/>
      <c r="F25" s="1109"/>
      <c r="G25" s="1109"/>
    </row>
    <row r="26" customFormat="false" ht="15" hidden="false" customHeight="true" outlineLevel="0" collapsed="false">
      <c r="B26" s="1109" t="s">
        <v>1833</v>
      </c>
      <c r="C26" s="1109"/>
      <c r="D26" s="1109"/>
      <c r="E26" s="1109"/>
      <c r="F26" s="1109"/>
      <c r="G26" s="1109"/>
    </row>
    <row r="27" customFormat="false" ht="15" hidden="false" customHeight="true" outlineLevel="0" collapsed="false">
      <c r="B27" s="1109" t="s">
        <v>1834</v>
      </c>
      <c r="C27" s="1109"/>
      <c r="D27" s="1109"/>
      <c r="E27" s="1109"/>
      <c r="F27" s="1109"/>
      <c r="G27" s="1109"/>
    </row>
  </sheetData>
  <mergeCells count="9">
    <mergeCell ref="B2:G2"/>
    <mergeCell ref="B5:G5"/>
    <mergeCell ref="B10:G10"/>
    <mergeCell ref="B16:G16"/>
    <mergeCell ref="B23:G23"/>
    <mergeCell ref="B24:G24"/>
    <mergeCell ref="B25:G25"/>
    <mergeCell ref="B26:G26"/>
    <mergeCell ref="B27:G27"/>
  </mergeCells>
  <printOptions headings="false" gridLines="false" gridLinesSet="true" horizontalCentered="false" verticalCentered="false"/>
  <pageMargins left="0.75" right="0.75" top="1" bottom="1"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R23"/>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35" activeCellId="0" sqref="G35"/>
    </sheetView>
  </sheetViews>
  <sheetFormatPr defaultColWidth="8.6328125" defaultRowHeight="15" customHeight="true" zeroHeight="false" outlineLevelRow="0" outlineLevelCol="0"/>
  <cols>
    <col collapsed="false" customWidth="true" hidden="false" outlineLevel="0" max="1" min="1" style="1" width="3"/>
    <col collapsed="false" customWidth="true" hidden="false" outlineLevel="0" max="2" min="2" style="1" width="36.36"/>
    <col collapsed="false" customWidth="true" hidden="false" outlineLevel="0" max="8" min="3" style="1" width="14"/>
    <col collapsed="false" customWidth="true" hidden="false" outlineLevel="0" max="10" min="10" style="1" width="38"/>
    <col collapsed="false" customWidth="true" hidden="false" outlineLevel="0" max="13" min="11" style="1" width="14"/>
    <col collapsed="false" customWidth="true" hidden="false" outlineLevel="0" max="18" min="14" style="1" width="13"/>
  </cols>
  <sheetData>
    <row r="1" customFormat="false" ht="12" hidden="false" customHeight="true" outlineLevel="0" collapsed="false"/>
    <row r="2" customFormat="false" ht="21.75" hidden="false" customHeight="true" outlineLevel="0" collapsed="false">
      <c r="B2" s="1105" t="s">
        <v>1835</v>
      </c>
      <c r="C2" s="1105"/>
      <c r="D2" s="1105"/>
      <c r="E2" s="1105"/>
      <c r="F2" s="1105"/>
      <c r="G2" s="1105"/>
      <c r="H2" s="1105"/>
      <c r="J2" s="1110" t="s">
        <v>1836</v>
      </c>
      <c r="K2" s="1110"/>
      <c r="L2" s="1110"/>
      <c r="M2" s="1110"/>
      <c r="N2" s="1110"/>
      <c r="O2" s="1110"/>
      <c r="P2" s="1110"/>
      <c r="Q2" s="1110"/>
      <c r="R2" s="1110"/>
    </row>
    <row r="3" customFormat="false" ht="12" hidden="false" customHeight="true" outlineLevel="0" collapsed="false"/>
    <row r="4" customFormat="false" ht="19.5" hidden="false" customHeight="true" outlineLevel="0" collapsed="false">
      <c r="B4" s="29" t="s">
        <v>1811</v>
      </c>
      <c r="C4" s="29" t="s">
        <v>1837</v>
      </c>
      <c r="D4" s="29" t="s">
        <v>1488</v>
      </c>
      <c r="E4" s="29" t="s">
        <v>1672</v>
      </c>
      <c r="F4" s="29" t="s">
        <v>1673</v>
      </c>
      <c r="G4" s="29" t="s">
        <v>1674</v>
      </c>
      <c r="H4" s="29" t="s">
        <v>1675</v>
      </c>
      <c r="J4" s="1111" t="s">
        <v>1811</v>
      </c>
      <c r="K4" s="1111" t="s">
        <v>1838</v>
      </c>
      <c r="L4" s="1111" t="s">
        <v>1839</v>
      </c>
      <c r="M4" s="1111" t="s">
        <v>1840</v>
      </c>
      <c r="N4" s="1111" t="s">
        <v>1488</v>
      </c>
      <c r="O4" s="1111" t="s">
        <v>1672</v>
      </c>
      <c r="P4" s="1111" t="s">
        <v>1673</v>
      </c>
      <c r="Q4" s="1111" t="s">
        <v>1674</v>
      </c>
      <c r="R4" s="1111" t="s">
        <v>1675</v>
      </c>
    </row>
    <row r="5" customFormat="false" ht="18" hidden="false" customHeight="true" outlineLevel="0" collapsed="false">
      <c r="B5" s="1106" t="s">
        <v>1841</v>
      </c>
      <c r="C5" s="1106"/>
      <c r="D5" s="1106"/>
      <c r="E5" s="1106"/>
      <c r="F5" s="1106"/>
      <c r="G5" s="1106"/>
      <c r="H5" s="1106"/>
      <c r="J5" s="1112" t="s">
        <v>1842</v>
      </c>
      <c r="K5" s="1112"/>
      <c r="L5" s="1112"/>
      <c r="M5" s="1112"/>
      <c r="N5" s="1112"/>
      <c r="O5" s="1112"/>
      <c r="P5" s="1112"/>
      <c r="Q5" s="1112"/>
      <c r="R5" s="1112"/>
    </row>
    <row r="6" customFormat="false" ht="27.75" hidden="false" customHeight="true" outlineLevel="0" collapsed="false">
      <c r="B6" s="4" t="s">
        <v>1843</v>
      </c>
      <c r="C6" s="434" t="s">
        <v>1844</v>
      </c>
      <c r="D6" s="1113" t="n">
        <f aca="false">IFERROR(Inputs!C6/Inputs!C13, NA())</f>
        <v>-3.26923566576255</v>
      </c>
      <c r="E6" s="1113" t="n">
        <f aca="false">IFERROR(Inputs!D6/Inputs!D13, NA())</f>
        <v>4.17904552698694</v>
      </c>
      <c r="F6" s="1113" t="n">
        <f aca="false">IFERROR(Inputs!E6/Inputs!E13, NA())</f>
        <v>16.985129130379</v>
      </c>
      <c r="G6" s="1113" t="n">
        <f aca="false">IFERROR(Inputs!F6/Inputs!F13, NA())</f>
        <v>19.3543591486733</v>
      </c>
      <c r="H6" s="1113" t="n">
        <f aca="false">IFERROR(Inputs!G6/Inputs!G13, NA())</f>
        <v>21.7108180049872</v>
      </c>
      <c r="J6" s="1114" t="s">
        <v>1845</v>
      </c>
      <c r="K6" s="1115" t="s">
        <v>1846</v>
      </c>
      <c r="L6" s="1115" t="s">
        <v>1847</v>
      </c>
      <c r="M6" s="1115" t="s">
        <v>1844</v>
      </c>
      <c r="N6" s="1116" t="s">
        <v>1388</v>
      </c>
      <c r="O6" s="1117" t="n">
        <f aca="false">IFERROR((Inputs!D6+500000)/Inputs!D13, NA())</f>
        <v>4.33980821000055</v>
      </c>
      <c r="P6" s="1117" t="n">
        <f aca="false">IFERROR(Inputs!E6/Inputs!E13, NA())</f>
        <v>16.985129130379</v>
      </c>
      <c r="Q6" s="1117" t="n">
        <f aca="false">IFERROR(Inputs!F6/Inputs!F13, NA())</f>
        <v>19.3543591486733</v>
      </c>
      <c r="R6" s="1117" t="n">
        <f aca="false">IFERROR(Inputs!G6/Inputs!G13, NA())</f>
        <v>21.7108180049872</v>
      </c>
    </row>
    <row r="7" customFormat="false" ht="27.75" hidden="false" customHeight="true" outlineLevel="0" collapsed="false">
      <c r="B7" s="4" t="s">
        <v>1848</v>
      </c>
      <c r="C7" s="434" t="s">
        <v>1849</v>
      </c>
      <c r="D7" s="1113" t="n">
        <f aca="false">IFERROR(Inputs!C9/Inputs!C15, NA())</f>
        <v>-0.629249967254186</v>
      </c>
      <c r="E7" s="1113" t="n">
        <f aca="false">IFERROR(Inputs!D9/Inputs!D15, NA())</f>
        <v>1.75134041002227</v>
      </c>
      <c r="F7" s="1113" t="n">
        <f aca="false">IFERROR(Inputs!E9/Inputs!E15, NA())</f>
        <v>6.43603938927043</v>
      </c>
      <c r="G7" s="1113" t="n">
        <f aca="false">IFERROR(Inputs!F9/Inputs!F15, NA())</f>
        <v>7.12158809553072</v>
      </c>
      <c r="H7" s="1113" t="n">
        <f aca="false">IFERROR(Inputs!G9/Inputs!G15, NA())</f>
        <v>7.75586999215352</v>
      </c>
      <c r="J7" s="1114" t="s">
        <v>1850</v>
      </c>
      <c r="K7" s="1115" t="s">
        <v>1846</v>
      </c>
      <c r="L7" s="1115" t="s">
        <v>1851</v>
      </c>
      <c r="M7" s="1115" t="s">
        <v>1849</v>
      </c>
      <c r="N7" s="1116" t="s">
        <v>1388</v>
      </c>
      <c r="O7" s="1117" t="n">
        <f aca="false">IFERROR((Inputs!D9+500000)/Inputs!D15, NA())</f>
        <v>1.82390751246118</v>
      </c>
      <c r="P7" s="1117" t="n">
        <f aca="false">IFERROR(Inputs!E9/Inputs!E15, NA())</f>
        <v>6.43603938927043</v>
      </c>
      <c r="Q7" s="1117" t="n">
        <f aca="false">IFERROR(Inputs!F9/Inputs!F15, NA())</f>
        <v>7.12158809553072</v>
      </c>
      <c r="R7" s="1117" t="n">
        <f aca="false">IFERROR(Inputs!G9/Inputs!G15, NA())</f>
        <v>7.75586999215352</v>
      </c>
    </row>
    <row r="8" customFormat="false" ht="15" hidden="false" customHeight="true" outlineLevel="0" collapsed="false">
      <c r="B8" s="4" t="s">
        <v>1852</v>
      </c>
      <c r="C8" s="434" t="s">
        <v>1853</v>
      </c>
      <c r="D8" s="1113" t="str">
        <f aca="false">IF(Inputs!C6&lt;=0, "N/A", Inputs!C17/Inputs!C6)</f>
        <v>N/A</v>
      </c>
      <c r="E8" s="1113" t="n">
        <f aca="false">IF(Inputs!D6&lt;=0, "N/A", Inputs!D17/Inputs!D6)</f>
        <v>1.63103672248714</v>
      </c>
      <c r="F8" s="1113" t="n">
        <f aca="false">IF(Inputs!E6&lt;=0, "N/A", Inputs!E17/Inputs!E6)</f>
        <v>0.363417052787296</v>
      </c>
      <c r="G8" s="1113" t="n">
        <f aca="false">IF(Inputs!F6&lt;=0, "N/A", Inputs!F17/Inputs!F6)</f>
        <v>0.285488128825436</v>
      </c>
      <c r="H8" s="1113" t="n">
        <f aca="false">IF(Inputs!G6&lt;=0, "N/A", Inputs!G17/Inputs!G6)</f>
        <v>0.222850805569743</v>
      </c>
      <c r="J8" s="1114" t="s">
        <v>1852</v>
      </c>
      <c r="K8" s="1115" t="s">
        <v>1846</v>
      </c>
      <c r="L8" s="1115" t="s">
        <v>1854</v>
      </c>
      <c r="M8" s="1115" t="s">
        <v>1853</v>
      </c>
      <c r="N8" s="1116" t="s">
        <v>1388</v>
      </c>
      <c r="O8" s="1117" t="n">
        <f aca="false">IF(Inputs!D6&lt;=0, "N/A", Inputs!D17/Inputs!D6)</f>
        <v>1.63103672248714</v>
      </c>
      <c r="P8" s="1117" t="n">
        <f aca="false">IF(Inputs!E6&lt;=0, "N/A", Inputs!E17/Inputs!E6)</f>
        <v>0.363417052787296</v>
      </c>
      <c r="Q8" s="1117" t="n">
        <f aca="false">IF(Inputs!F6&lt;=0, "N/A", Inputs!F17/Inputs!F6)</f>
        <v>0.285488128825436</v>
      </c>
      <c r="R8" s="1117" t="n">
        <f aca="false">IF(Inputs!G6&lt;=0, "N/A", Inputs!G17/Inputs!G6)</f>
        <v>0.222850805569743</v>
      </c>
    </row>
    <row r="9" customFormat="false" ht="15" hidden="false" customHeight="true" outlineLevel="0" collapsed="false">
      <c r="B9" s="4" t="s">
        <v>1855</v>
      </c>
      <c r="C9" s="434" t="s">
        <v>1856</v>
      </c>
      <c r="D9" s="1118" t="n">
        <f aca="false">IF(Inputs!C18&lt;=0, "DEPLETED", Inputs!C18/Inputs!C22)</f>
        <v>11.6875797723517</v>
      </c>
      <c r="E9" s="1118" t="n">
        <f aca="false">IF(Inputs!D18&lt;=0, "DEPLETED", Inputs!D18/Inputs!D22)</f>
        <v>9.00976226378603</v>
      </c>
      <c r="F9" s="1118" t="n">
        <f aca="false">IF(Inputs!E18&lt;=0, "DEPLETED", Inputs!E18/Inputs!E22)</f>
        <v>19.8913452740893</v>
      </c>
      <c r="G9" s="1118" t="n">
        <f aca="false">IF(Inputs!F18&lt;=0, "DEPLETED", Inputs!F18/Inputs!F22)</f>
        <v>35.2575038963703</v>
      </c>
      <c r="H9" s="1118" t="n">
        <f aca="false">IF(Inputs!G18&lt;=0, "DEPLETED", Inputs!G18/Inputs!G22)</f>
        <v>50.7737677049755</v>
      </c>
      <c r="J9" s="1114" t="s">
        <v>1855</v>
      </c>
      <c r="K9" s="1115" t="s">
        <v>1857</v>
      </c>
      <c r="L9" s="1115" t="s">
        <v>1856</v>
      </c>
      <c r="M9" s="1115" t="s">
        <v>1856</v>
      </c>
      <c r="N9" s="1119" t="str">
        <f aca="false">IF(Inputs!C18&gt;=3000000,"✓ ≥$3M","✗ &lt;$3M")</f>
        <v>✓ ≥$3M</v>
      </c>
      <c r="O9" s="1120" t="n">
        <f aca="false">IF(Inputs!D18&lt;=0, "DEPLETED", Inputs!D18/Inputs!D22)</f>
        <v>9.00976226378603</v>
      </c>
      <c r="P9" s="1120" t="n">
        <f aca="false">IF(Inputs!E18&lt;=0, "DEPLETED", Inputs!E18/Inputs!E22)</f>
        <v>19.8913452740893</v>
      </c>
      <c r="Q9" s="1120" t="n">
        <f aca="false">IF(Inputs!F18&lt;=0, "DEPLETED", Inputs!F18/Inputs!F22)</f>
        <v>35.2575038963703</v>
      </c>
      <c r="R9" s="1120" t="n">
        <f aca="false">IF(Inputs!G18&lt;=0, "DEPLETED", Inputs!G18/Inputs!G22)</f>
        <v>50.7737677049755</v>
      </c>
    </row>
    <row r="10" customFormat="false" ht="12" hidden="false" customHeight="true" outlineLevel="0" collapsed="false"/>
    <row r="11" customFormat="false" ht="18" hidden="false" customHeight="true" outlineLevel="0" collapsed="false">
      <c r="B11" s="1106" t="s">
        <v>1858</v>
      </c>
      <c r="C11" s="1106"/>
      <c r="D11" s="1106"/>
      <c r="E11" s="1106"/>
      <c r="F11" s="1106"/>
      <c r="G11" s="1106"/>
      <c r="H11" s="1106"/>
      <c r="J11" s="1112" t="s">
        <v>1859</v>
      </c>
      <c r="K11" s="1112"/>
      <c r="L11" s="1112"/>
      <c r="M11" s="1112"/>
      <c r="N11" s="1112"/>
      <c r="O11" s="1112"/>
      <c r="P11" s="1112"/>
      <c r="Q11" s="1112"/>
      <c r="R11" s="1112"/>
    </row>
    <row r="12" customFormat="false" ht="15" hidden="false" customHeight="true" outlineLevel="0" collapsed="false">
      <c r="B12" s="4" t="s">
        <v>1860</v>
      </c>
      <c r="C12" s="1121" t="s">
        <v>1861</v>
      </c>
      <c r="D12" s="434" t="str">
        <f aca="false">IF(ISNUMBER(D6),IF(D6&gt;=1.35,"✓ PASS","✗ FAIL"),"N/A")</f>
        <v>✗ FAIL</v>
      </c>
      <c r="E12" s="434" t="str">
        <f aca="false">IF(ISNUMBER(E6),IF(E6&gt;=1.35,"✓ PASS","✗ FAIL"),"N/A")</f>
        <v>✓ PASS</v>
      </c>
      <c r="F12" s="434" t="str">
        <f aca="false">IF(ISNUMBER(F6),IF(F6&gt;=1.35,"✓ PASS","✗ FAIL"),"N/A")</f>
        <v>✓ PASS</v>
      </c>
      <c r="G12" s="434" t="str">
        <f aca="false">IF(ISNUMBER(G6),IF(G6&gt;=1.35,"✓ PASS","✗ FAIL"),"N/A")</f>
        <v>✓ PASS</v>
      </c>
      <c r="H12" s="434" t="str">
        <f aca="false">IF(ISNUMBER(H6),IF(H6&gt;=1.35,"✓ PASS","✗ FAIL"),"N/A")</f>
        <v>✓ PASS</v>
      </c>
      <c r="J12" s="1114" t="s">
        <v>1860</v>
      </c>
      <c r="K12" s="1122" t="s">
        <v>1862</v>
      </c>
      <c r="L12" s="1122" t="s">
        <v>1863</v>
      </c>
      <c r="M12" s="1122" t="s">
        <v>1861</v>
      </c>
      <c r="N12" s="1116" t="s">
        <v>1864</v>
      </c>
      <c r="O12" s="1123" t="str">
        <f aca="false">IF(ISNUMBER(O6),IF(O6&gt;=1.1,"✓ PASS","✗ FAIL"),"N/A")</f>
        <v>✓ PASS</v>
      </c>
      <c r="P12" s="1123" t="str">
        <f aca="false">IF(ISNUMBER(P6),IF(P6&gt;=1.35,"✓ PASS","✗ FAIL"),"N/A")</f>
        <v>✓ PASS</v>
      </c>
      <c r="Q12" s="1123" t="str">
        <f aca="false">IF(ISNUMBER(Q6),IF(Q6&gt;=1.35,"✓ PASS","✗ FAIL"),"N/A")</f>
        <v>✓ PASS</v>
      </c>
      <c r="R12" s="1123" t="str">
        <f aca="false">IF(ISNUMBER(R6),IF(R6&gt;=1.35,"✓ PASS","✗ FAIL"),"N/A")</f>
        <v>✓ PASS</v>
      </c>
    </row>
    <row r="13" customFormat="false" ht="15" hidden="false" customHeight="true" outlineLevel="0" collapsed="false">
      <c r="B13" s="4" t="s">
        <v>1865</v>
      </c>
      <c r="C13" s="1121" t="s">
        <v>1866</v>
      </c>
      <c r="D13" s="434" t="str">
        <f aca="false">IF(ISNUMBER(D7),IF(D7&gt;=1.2,"✓ PASS","✗ FAIL"),"N/A")</f>
        <v>✗ FAIL</v>
      </c>
      <c r="E13" s="434" t="str">
        <f aca="false">IF(ISNUMBER(E7),IF(E7&gt;=1.2,"✓ PASS","✗ FAIL"),"N/A")</f>
        <v>✓ PASS</v>
      </c>
      <c r="F13" s="434" t="str">
        <f aca="false">IF(ISNUMBER(F7),IF(F7&gt;=1.2,"✓ PASS","✗ FAIL"),"N/A")</f>
        <v>✓ PASS</v>
      </c>
      <c r="G13" s="434" t="str">
        <f aca="false">IF(ISNUMBER(G7),IF(G7&gt;=1.2,"✓ PASS","✗ FAIL"),"N/A")</f>
        <v>✓ PASS</v>
      </c>
      <c r="H13" s="434" t="str">
        <f aca="false">IF(ISNUMBER(H7),IF(H7&gt;=1.2,"✓ PASS","✗ FAIL"),"N/A")</f>
        <v>✓ PASS</v>
      </c>
      <c r="J13" s="1114" t="s">
        <v>1865</v>
      </c>
      <c r="K13" s="1122" t="s">
        <v>1862</v>
      </c>
      <c r="L13" s="1122" t="s">
        <v>1867</v>
      </c>
      <c r="M13" s="1122" t="s">
        <v>1868</v>
      </c>
      <c r="N13" s="1116" t="s">
        <v>1864</v>
      </c>
      <c r="O13" s="1123" t="str">
        <f aca="false">IF(ISNUMBER(O7),IF(O7&gt;=1,"✓ PASS","✗ FAIL"),"N/A")</f>
        <v>✓ PASS</v>
      </c>
      <c r="P13" s="1123" t="str">
        <f aca="false">IF(ISNUMBER(P7),IF(P7&gt;=1.2,"✓ PASS","✗ FAIL"),"N/A")</f>
        <v>✓ PASS</v>
      </c>
      <c r="Q13" s="1123" t="str">
        <f aca="false">IF(ISNUMBER(Q7),IF(Q7&gt;=1.2,"✓ PASS","✗ FAIL"),"N/A")</f>
        <v>✓ PASS</v>
      </c>
      <c r="R13" s="1123" t="str">
        <f aca="false">IF(ISNUMBER(R7),IF(R7&gt;=1.2,"✓ PASS","✗ FAIL"),"N/A")</f>
        <v>✓ PASS</v>
      </c>
    </row>
    <row r="14" customFormat="false" ht="15" hidden="false" customHeight="true" outlineLevel="0" collapsed="false">
      <c r="B14" s="4" t="s">
        <v>1869</v>
      </c>
      <c r="C14" s="1121" t="s">
        <v>1870</v>
      </c>
      <c r="D14" s="434" t="str">
        <f aca="false">IF(NOT(ISNUMBER(D8)),"N/A",IF(D8&lt;=3.5,"✓ PASS","✗ FAIL"))</f>
        <v>N/A</v>
      </c>
      <c r="E14" s="434" t="str">
        <f aca="false">IF(NOT(ISNUMBER(E8)),"N/A",IF(E8&lt;=3.5,"✓ PASS","✗ FAIL"))</f>
        <v>✓ PASS</v>
      </c>
      <c r="F14" s="434" t="str">
        <f aca="false">IF(NOT(ISNUMBER(F8)),"N/A",IF(F8&lt;=3.5,"✓ PASS","✗ FAIL"))</f>
        <v>✓ PASS</v>
      </c>
      <c r="G14" s="434" t="str">
        <f aca="false">IF(NOT(ISNUMBER(G8)),"N/A",IF(G8&lt;=3.5,"✓ PASS","✗ FAIL"))</f>
        <v>✓ PASS</v>
      </c>
      <c r="H14" s="434" t="str">
        <f aca="false">IF(NOT(ISNUMBER(H8)),"N/A",IF(H8&lt;=3.5,"✓ PASS","✗ FAIL"))</f>
        <v>✓ PASS</v>
      </c>
      <c r="J14" s="1114" t="s">
        <v>1869</v>
      </c>
      <c r="K14" s="1122" t="s">
        <v>1862</v>
      </c>
      <c r="L14" s="1122" t="s">
        <v>1871</v>
      </c>
      <c r="M14" s="1122" t="s">
        <v>1872</v>
      </c>
      <c r="N14" s="1116" t="s">
        <v>1864</v>
      </c>
      <c r="O14" s="1123" t="str">
        <f aca="false">IF(NOT(ISNUMBER(O8)),"N/A",IF(O8&lt;=5,"✓ PASS","✗ FAIL"))</f>
        <v>✓ PASS</v>
      </c>
      <c r="P14" s="1123" t="str">
        <f aca="false">IF(NOT(ISNUMBER(P8)),"N/A",IF(P8&lt;=3.5,"✓ PASS","✗ FAIL"))</f>
        <v>✓ PASS</v>
      </c>
      <c r="Q14" s="1123" t="str">
        <f aca="false">IF(NOT(ISNUMBER(Q8)),"N/A",IF(Q8&lt;=3.5,"✓ PASS","✗ FAIL"))</f>
        <v>✓ PASS</v>
      </c>
      <c r="R14" s="1123" t="str">
        <f aca="false">IF(NOT(ISNUMBER(R8)),"N/A",IF(R8&lt;=3.5,"✓ PASS","✗ FAIL"))</f>
        <v>✓ PASS</v>
      </c>
    </row>
    <row r="15" customFormat="false" ht="15" hidden="false" customHeight="true" outlineLevel="0" collapsed="false">
      <c r="B15" s="4" t="s">
        <v>1873</v>
      </c>
      <c r="C15" s="1121" t="s">
        <v>1874</v>
      </c>
      <c r="D15" s="434" t="str">
        <f aca="false">IF(D9="DEPLETED","✗ FAIL",IF(ISNUMBER(D9),IF(D9&gt;=3,"✓ PASS","✗ FAIL"),"N/A"))</f>
        <v>✓ PASS</v>
      </c>
      <c r="E15" s="434" t="str">
        <f aca="false">IF(E9="DEPLETED","✗ FAIL",IF(ISNUMBER(E9),IF(E9&gt;=3,"✓ PASS","✗ FAIL"),"N/A"))</f>
        <v>✓ PASS</v>
      </c>
      <c r="F15" s="434" t="str">
        <f aca="false">IF(F9="DEPLETED","✗ FAIL",IF(ISNUMBER(F9),IF(F9&gt;=3,"✓ PASS","✗ FAIL"),"N/A"))</f>
        <v>✓ PASS</v>
      </c>
      <c r="G15" s="434" t="str">
        <f aca="false">IF(G9="DEPLETED","✗ FAIL",IF(ISNUMBER(G9),IF(G9&gt;=3,"✓ PASS","✗ FAIL"),"N/A"))</f>
        <v>✓ PASS</v>
      </c>
      <c r="H15" s="434" t="str">
        <f aca="false">IF(H9="DEPLETED","✗ FAIL",IF(ISNUMBER(H9),IF(H9&gt;=3,"✓ PASS","✗ FAIL"),"N/A"))</f>
        <v>✓ PASS</v>
      </c>
      <c r="J15" s="1114" t="s">
        <v>1873</v>
      </c>
      <c r="K15" s="1122" t="s">
        <v>1875</v>
      </c>
      <c r="L15" s="1122" t="s">
        <v>1874</v>
      </c>
      <c r="M15" s="1122" t="s">
        <v>1874</v>
      </c>
      <c r="N15" s="1123" t="str">
        <f aca="false">IF(Inputs!C18&gt;=3000000,"✓ PASS","✗ FAIL")</f>
        <v>✓ PASS</v>
      </c>
      <c r="O15" s="1123" t="str">
        <f aca="false">IF(O9="DEPLETED","✗ FAIL",IF(ISNUMBER(O9),IF(O9&gt;=3,"✓ PASS","✗ FAIL"),"N/A"))</f>
        <v>✓ PASS</v>
      </c>
      <c r="P15" s="1123" t="str">
        <f aca="false">IF(P9="DEPLETED","✗ FAIL",IF(ISNUMBER(P9),IF(P9&gt;=3,"✓ PASS","✗ FAIL"),"N/A"))</f>
        <v>✓ PASS</v>
      </c>
      <c r="Q15" s="1123" t="str">
        <f aca="false">IF(Q9="DEPLETED","✗ FAIL",IF(ISNUMBER(Q9),IF(Q9&gt;=3,"✓ PASS","✗ FAIL"),"N/A"))</f>
        <v>✓ PASS</v>
      </c>
      <c r="R15" s="1123" t="str">
        <f aca="false">IF(R9="DEPLETED","✗ FAIL",IF(ISNUMBER(R9),IF(R9&gt;=3,"✓ PASS","✗ FAIL"),"N/A"))</f>
        <v>✓ PASS</v>
      </c>
    </row>
    <row r="16" customFormat="false" ht="12" hidden="false" customHeight="true" outlineLevel="0" collapsed="false"/>
    <row r="17" customFormat="false" ht="18" hidden="false" customHeight="true" outlineLevel="0" collapsed="false">
      <c r="B17" s="1106" t="s">
        <v>1876</v>
      </c>
      <c r="C17" s="1106"/>
      <c r="D17" s="1106"/>
      <c r="E17" s="1106"/>
      <c r="F17" s="1106"/>
      <c r="G17" s="1106"/>
      <c r="H17" s="1106"/>
      <c r="J17" s="1112" t="s">
        <v>1877</v>
      </c>
      <c r="K17" s="1112"/>
      <c r="L17" s="1112"/>
      <c r="M17" s="1112"/>
      <c r="N17" s="1112"/>
      <c r="O17" s="1112"/>
      <c r="P17" s="1112"/>
      <c r="Q17" s="1112"/>
      <c r="R17" s="1112"/>
    </row>
    <row r="18" customFormat="false" ht="30" hidden="false" customHeight="true" outlineLevel="0" collapsed="false">
      <c r="B18" s="1124" t="s">
        <v>1878</v>
      </c>
      <c r="C18" s="1124"/>
      <c r="D18" s="1124"/>
      <c r="E18" s="1124"/>
      <c r="F18" s="1124"/>
      <c r="G18" s="1124"/>
      <c r="H18" s="1124"/>
      <c r="J18" s="1125" t="s">
        <v>1879</v>
      </c>
      <c r="K18" s="1125"/>
      <c r="L18" s="1125"/>
      <c r="M18" s="1125"/>
      <c r="N18" s="1125"/>
      <c r="O18" s="1125"/>
      <c r="P18" s="1125"/>
      <c r="Q18" s="1125"/>
      <c r="R18" s="1125"/>
    </row>
    <row r="19" customFormat="false" ht="30" hidden="false" customHeight="true" outlineLevel="0" collapsed="false">
      <c r="B19" s="1124" t="s">
        <v>1880</v>
      </c>
      <c r="C19" s="1124"/>
      <c r="D19" s="1124"/>
      <c r="E19" s="1124"/>
      <c r="F19" s="1124"/>
      <c r="G19" s="1124"/>
      <c r="H19" s="1124"/>
      <c r="J19" s="1125" t="s">
        <v>1881</v>
      </c>
      <c r="K19" s="1125"/>
      <c r="L19" s="1125"/>
      <c r="M19" s="1125"/>
      <c r="N19" s="1125"/>
      <c r="O19" s="1125"/>
      <c r="P19" s="1125"/>
      <c r="Q19" s="1125"/>
      <c r="R19" s="1125"/>
    </row>
    <row r="20" customFormat="false" ht="30" hidden="false" customHeight="true" outlineLevel="0" collapsed="false">
      <c r="B20" s="1124" t="s">
        <v>1882</v>
      </c>
      <c r="C20" s="1124"/>
      <c r="D20" s="1124"/>
      <c r="E20" s="1124"/>
      <c r="F20" s="1124"/>
      <c r="G20" s="1124"/>
      <c r="H20" s="1124"/>
      <c r="J20" s="1125" t="s">
        <v>1883</v>
      </c>
      <c r="K20" s="1125"/>
      <c r="L20" s="1125"/>
      <c r="M20" s="1125"/>
      <c r="N20" s="1125"/>
      <c r="O20" s="1125"/>
      <c r="P20" s="1125"/>
      <c r="Q20" s="1125"/>
      <c r="R20" s="1125"/>
    </row>
    <row r="21" customFormat="false" ht="30" hidden="false" customHeight="true" outlineLevel="0" collapsed="false">
      <c r="B21" s="1124" t="s">
        <v>1884</v>
      </c>
      <c r="C21" s="1124"/>
      <c r="D21" s="1124"/>
      <c r="E21" s="1124"/>
      <c r="F21" s="1124"/>
      <c r="G21" s="1124"/>
      <c r="H21" s="1124"/>
      <c r="J21" s="1125" t="s">
        <v>1885</v>
      </c>
      <c r="K21" s="1125"/>
      <c r="L21" s="1125"/>
      <c r="M21" s="1125"/>
      <c r="N21" s="1125"/>
      <c r="O21" s="1125"/>
      <c r="P21" s="1125"/>
      <c r="Q21" s="1125"/>
      <c r="R21" s="1125"/>
    </row>
    <row r="22" customFormat="false" ht="30" hidden="false" customHeight="true" outlineLevel="0" collapsed="false">
      <c r="B22" s="1124" t="s">
        <v>1886</v>
      </c>
      <c r="C22" s="1124"/>
      <c r="D22" s="1124"/>
      <c r="E22" s="1124"/>
      <c r="F22" s="1124"/>
      <c r="G22" s="1124"/>
      <c r="H22" s="1124"/>
      <c r="J22" s="1125" t="s">
        <v>1887</v>
      </c>
      <c r="K22" s="1125"/>
      <c r="L22" s="1125"/>
      <c r="M22" s="1125"/>
      <c r="N22" s="1125"/>
      <c r="O22" s="1125"/>
      <c r="P22" s="1125"/>
      <c r="Q22" s="1125"/>
      <c r="R22" s="1125"/>
    </row>
    <row r="23" customFormat="false" ht="30" hidden="false" customHeight="true" outlineLevel="0" collapsed="false">
      <c r="B23" s="1124" t="s">
        <v>1888</v>
      </c>
      <c r="C23" s="1124"/>
      <c r="D23" s="1124"/>
      <c r="E23" s="1124"/>
      <c r="F23" s="1124"/>
      <c r="G23" s="1124"/>
      <c r="H23" s="1124"/>
      <c r="J23" s="1125" t="s">
        <v>1889</v>
      </c>
      <c r="K23" s="1125"/>
      <c r="L23" s="1125"/>
      <c r="M23" s="1125"/>
      <c r="N23" s="1125"/>
      <c r="O23" s="1125"/>
      <c r="P23" s="1125"/>
      <c r="Q23" s="1125"/>
      <c r="R23" s="1125"/>
    </row>
  </sheetData>
  <mergeCells count="20">
    <mergeCell ref="B2:H2"/>
    <mergeCell ref="J2:R2"/>
    <mergeCell ref="B5:H5"/>
    <mergeCell ref="J5:R5"/>
    <mergeCell ref="B11:H11"/>
    <mergeCell ref="J11:R11"/>
    <mergeCell ref="B17:H17"/>
    <mergeCell ref="J17:R17"/>
    <mergeCell ref="B18:H18"/>
    <mergeCell ref="J18:R18"/>
    <mergeCell ref="B19:H19"/>
    <mergeCell ref="J19:R19"/>
    <mergeCell ref="B20:H20"/>
    <mergeCell ref="J20:R20"/>
    <mergeCell ref="B21:H21"/>
    <mergeCell ref="J21:R21"/>
    <mergeCell ref="B22:H22"/>
    <mergeCell ref="J22:R22"/>
    <mergeCell ref="B23:H23"/>
    <mergeCell ref="J23:R23"/>
  </mergeCells>
  <conditionalFormatting sqref="D6:H6">
    <cfRule type="cellIs" priority="2" operator="greaterThanOrEqual" aboveAverage="0" equalAverage="0" bottom="0" percent="0" rank="0" text="" dxfId="8">
      <formula>1.35</formula>
    </cfRule>
    <cfRule type="cellIs" priority="3" operator="lessThan" aboveAverage="0" equalAverage="0" bottom="0" percent="0" rank="0" text="" dxfId="9">
      <formula>1.35</formula>
    </cfRule>
  </conditionalFormatting>
  <conditionalFormatting sqref="D7:H7">
    <cfRule type="cellIs" priority="4" operator="greaterThanOrEqual" aboveAverage="0" equalAverage="0" bottom="0" percent="0" rank="0" text="" dxfId="8">
      <formula>1.2</formula>
    </cfRule>
    <cfRule type="cellIs" priority="5" operator="lessThan" aboveAverage="0" equalAverage="0" bottom="0" percent="0" rank="0" text="" dxfId="9">
      <formula>1.2</formula>
    </cfRule>
  </conditionalFormatting>
  <conditionalFormatting sqref="D8:H8">
    <cfRule type="expression" priority="6" aboveAverage="0" equalAverage="0" bottom="0" percent="0" rank="0" text="" dxfId="8">
      <formula>AND(ISNUMBER(D8),D8&gt;0,D8&lt;=3.5)</formula>
    </cfRule>
    <cfRule type="expression" priority="7" aboveAverage="0" equalAverage="0" bottom="0" percent="0" rank="0" text="" dxfId="9">
      <formula>AND(ISNUMBER(D8),OR(D8&lt;=0,D8&gt;3.5))</formula>
    </cfRule>
  </conditionalFormatting>
  <conditionalFormatting sqref="D9:H9">
    <cfRule type="cellIs" priority="8" operator="greaterThanOrEqual" aboveAverage="0" equalAverage="0" bottom="0" percent="0" rank="0" text="" dxfId="8">
      <formula>3</formula>
    </cfRule>
    <cfRule type="cellIs" priority="9" operator="lessThan" aboveAverage="0" equalAverage="0" bottom="0" percent="0" rank="0" text="" dxfId="9">
      <formula>3</formula>
    </cfRule>
  </conditionalFormatting>
  <conditionalFormatting sqref="D12:H15">
    <cfRule type="expression" priority="10" aboveAverage="0" equalAverage="0" bottom="0" percent="0" rank="0" text="" dxfId="8">
      <formula>D12="✓ PASS"</formula>
    </cfRule>
    <cfRule type="expression" priority="11" aboveAverage="0" equalAverage="0" bottom="0" percent="0" rank="0" text="" dxfId="9">
      <formula>D12="✗ FAIL"</formula>
    </cfRule>
  </conditionalFormatting>
  <printOptions headings="false" gridLines="false" gridLinesSet="true" horizontalCentered="false" verticalCentered="false"/>
  <pageMargins left="0.75" right="0.75" top="1" bottom="1"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0000"/>
    <pageSetUpPr fitToPage="false"/>
  </sheetPr>
  <dimension ref="A1:HQ78"/>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R53" activeCellId="0" sqref="R53"/>
    </sheetView>
  </sheetViews>
  <sheetFormatPr defaultColWidth="12.82421875" defaultRowHeight="15" customHeight="true" zeroHeight="false" outlineLevelRow="0" outlineLevelCol="0"/>
  <cols>
    <col collapsed="false" customWidth="true" hidden="false" outlineLevel="0" max="1" min="1" style="1126" width="4.45"/>
    <col collapsed="false" customWidth="true" hidden="false" outlineLevel="0" max="2" min="2" style="1127" width="24.45"/>
    <col collapsed="false" customWidth="true" hidden="false" outlineLevel="0" max="3" min="3" style="1128" width="8.45"/>
    <col collapsed="false" customWidth="true" hidden="false" outlineLevel="0" max="4" min="4" style="1127" width="3.45"/>
    <col collapsed="false" customWidth="true" hidden="false" outlineLevel="0" max="5" min="5" style="1126" width="4.45"/>
    <col collapsed="false" customWidth="true" hidden="false" outlineLevel="0" max="6" min="6" style="1127" width="18"/>
    <col collapsed="false" customWidth="true" hidden="false" outlineLevel="0" max="7" min="7" style="1127" width="15.54"/>
    <col collapsed="false" customWidth="true" hidden="false" outlineLevel="0" max="8" min="8" style="1127" width="3.45"/>
    <col collapsed="false" customWidth="true" hidden="false" outlineLevel="0" max="9" min="9" style="1126" width="4.45"/>
    <col collapsed="false" customWidth="true" hidden="false" outlineLevel="0" max="10" min="10" style="1127" width="18.18"/>
    <col collapsed="false" customWidth="true" hidden="false" outlineLevel="0" max="15" min="11" style="1127" width="11"/>
    <col collapsed="false" customWidth="true" hidden="false" outlineLevel="0" max="16" min="16" style="1127" width="3.54"/>
    <col collapsed="false" customWidth="true" hidden="false" outlineLevel="0" max="17" min="17" style="1126" width="4.45"/>
    <col collapsed="false" customWidth="true" hidden="false" outlineLevel="0" max="18" min="18" style="1127" width="16.18"/>
    <col collapsed="false" customWidth="true" hidden="false" outlineLevel="0" max="23" min="19" style="1129" width="5.82"/>
    <col collapsed="false" customWidth="true" hidden="false" outlineLevel="0" max="30" min="24" style="1129" width="6.54"/>
    <col collapsed="false" customWidth="true" hidden="false" outlineLevel="0" max="31" min="31" style="1127" width="3.73"/>
    <col collapsed="false" customWidth="true" hidden="false" outlineLevel="0" max="32" min="32" style="1126" width="4.45"/>
    <col collapsed="false" customWidth="true" hidden="false" outlineLevel="0" max="33" min="33" style="1130" width="18.82"/>
    <col collapsed="false" customWidth="true" hidden="false" outlineLevel="0" max="38" min="34" style="1129" width="12.45"/>
    <col collapsed="false" customWidth="true" hidden="false" outlineLevel="0" max="39" min="39" style="1129" width="8.18"/>
    <col collapsed="false" customWidth="true" hidden="false" outlineLevel="0" max="40" min="40" style="1131" width="4.45"/>
    <col collapsed="false" customWidth="true" hidden="false" outlineLevel="0" max="41" min="41" style="1130" width="20.45"/>
    <col collapsed="false" customWidth="true" hidden="false" outlineLevel="0" max="43" min="42" style="1129" width="9"/>
    <col collapsed="false" customWidth="true" hidden="false" outlineLevel="0" max="46" min="44" style="1129" width="8.73"/>
    <col collapsed="false" customWidth="true" hidden="false" outlineLevel="0" max="47" min="47" style="1129" width="9"/>
    <col collapsed="false" customWidth="true" hidden="false" outlineLevel="0" max="49" min="48" style="1127" width="8.73"/>
    <col collapsed="false" customWidth="true" hidden="false" outlineLevel="0" max="50" min="50" style="1127" width="9"/>
    <col collapsed="false" customWidth="true" hidden="false" outlineLevel="0" max="51" min="51" style="1127" width="8.73"/>
    <col collapsed="false" customWidth="true" hidden="false" outlineLevel="0" max="52" min="52" style="1127" width="9"/>
    <col collapsed="false" customWidth="true" hidden="false" outlineLevel="0" max="53" min="53" style="1127" width="8.73"/>
    <col collapsed="false" customWidth="true" hidden="false" outlineLevel="0" max="55" min="54" style="1127" width="4.27"/>
    <col collapsed="false" customWidth="true" hidden="false" outlineLevel="0" max="56" min="56" style="1127" width="4.45"/>
    <col collapsed="false" customWidth="true" hidden="false" outlineLevel="0" max="57" min="57" style="1132" width="20.82"/>
    <col collapsed="false" customWidth="true" hidden="false" outlineLevel="0" max="62" min="58" style="1127" width="8.73"/>
    <col collapsed="false" customWidth="true" hidden="false" outlineLevel="0" max="63" min="63" style="1127" width="4.27"/>
    <col collapsed="false" customWidth="true" hidden="false" outlineLevel="0" max="64" min="64" style="1127" width="4.45"/>
    <col collapsed="false" customWidth="true" hidden="false" outlineLevel="0" max="65" min="65" style="1132" width="18"/>
    <col collapsed="false" customWidth="true" hidden="false" outlineLevel="0" max="74" min="66" style="1129" width="5.27"/>
    <col collapsed="false" customWidth="true" hidden="false" outlineLevel="0" max="77" min="75" style="1129" width="6"/>
    <col collapsed="false" customWidth="true" hidden="false" outlineLevel="0" max="79" min="78" style="1127" width="4.27"/>
    <col collapsed="false" customWidth="true" hidden="false" outlineLevel="0" max="80" min="80" style="1126" width="4.45"/>
    <col collapsed="false" customWidth="true" hidden="false" outlineLevel="0" max="81" min="81" style="1132" width="23.73"/>
    <col collapsed="false" customWidth="true" hidden="false" outlineLevel="0" max="86" min="82" style="1127" width="12.45"/>
    <col collapsed="false" customWidth="true" hidden="false" outlineLevel="0" max="87" min="87" style="1127" width="3.27"/>
    <col collapsed="false" customWidth="true" hidden="false" outlineLevel="0" max="88" min="88" style="1126" width="4.45"/>
    <col collapsed="false" customWidth="true" hidden="false" outlineLevel="0" max="89" min="89" style="1127" width="17.45"/>
    <col collapsed="false" customWidth="true" hidden="false" outlineLevel="0" max="93" min="90" style="1129" width="5.27"/>
    <col collapsed="false" customWidth="true" hidden="false" outlineLevel="0" max="94" min="94" style="1129" width="7"/>
    <col collapsed="false" customWidth="true" hidden="false" outlineLevel="0" max="95" min="95" style="1129" width="8.18"/>
    <col collapsed="false" customWidth="true" hidden="false" outlineLevel="0" max="101" min="96" style="1129" width="7.54"/>
    <col collapsed="false" customWidth="true" hidden="false" outlineLevel="0" max="103" min="102" style="1127" width="4.45"/>
    <col collapsed="false" customWidth="true" hidden="false" outlineLevel="0" max="104" min="104" style="1127" width="24.73"/>
    <col collapsed="false" customWidth="true" hidden="false" outlineLevel="0" max="105" min="105" style="1133" width="9.82"/>
    <col collapsed="false" customWidth="true" hidden="false" outlineLevel="0" max="107" min="106" style="1129" width="9.45"/>
    <col collapsed="false" customWidth="true" hidden="false" outlineLevel="0" max="109" min="108" style="1129" width="10.18"/>
    <col collapsed="false" customWidth="true" hidden="false" outlineLevel="0" max="110" min="110" style="1127" width="2.27"/>
    <col collapsed="false" customWidth="true" hidden="false" outlineLevel="0" max="111" min="111" style="1126" width="4.45"/>
    <col collapsed="false" customWidth="true" hidden="false" outlineLevel="0" max="112" min="112" style="1134" width="27.18"/>
    <col collapsed="false" customWidth="true" hidden="false" outlineLevel="0" max="116" min="113" style="1129" width="6.18"/>
    <col collapsed="false" customWidth="true" hidden="false" outlineLevel="0" max="117" min="117" style="1129" width="8.82"/>
    <col collapsed="false" customWidth="true" hidden="false" outlineLevel="0" max="118" min="118" style="1129" width="8.18"/>
    <col collapsed="false" customWidth="true" hidden="false" outlineLevel="0" max="124" min="119" style="1129" width="7.54"/>
    <col collapsed="false" customWidth="true" hidden="false" outlineLevel="0" max="125" min="125" style="1127" width="10.27"/>
    <col collapsed="false" customWidth="true" hidden="false" outlineLevel="0" max="126" min="126" style="1126" width="4.45"/>
    <col collapsed="false" customWidth="true" hidden="false" outlineLevel="0" max="127" min="127" style="1134" width="22.45"/>
    <col collapsed="false" customWidth="true" hidden="false" outlineLevel="0" max="130" min="128" style="1129" width="9.45"/>
    <col collapsed="false" customWidth="true" hidden="false" outlineLevel="0" max="132" min="131" style="1129" width="10.18"/>
    <col collapsed="false" customWidth="true" hidden="false" outlineLevel="0" max="133" min="133" style="1127" width="2"/>
    <col collapsed="false" customWidth="true" hidden="false" outlineLevel="0" max="134" min="134" style="1126" width="4.45"/>
    <col collapsed="false" customWidth="true" hidden="false" outlineLevel="0" max="135" min="135" style="1134" width="23"/>
    <col collapsed="false" customWidth="true" hidden="false" outlineLevel="0" max="139" min="136" style="1133" width="5.27"/>
    <col collapsed="false" customWidth="true" hidden="false" outlineLevel="0" max="143" min="140" style="1133" width="8.45"/>
    <col collapsed="false" customWidth="true" hidden="false" outlineLevel="0" max="147" min="144" style="1129" width="8.45"/>
    <col collapsed="false" customWidth="true" hidden="false" outlineLevel="0" max="148" min="148" style="1135" width="9.27"/>
    <col collapsed="false" customWidth="true" hidden="false" outlineLevel="0" max="149" min="149" style="1136" width="4.45"/>
    <col collapsed="false" customWidth="true" hidden="false" outlineLevel="0" max="150" min="150" style="1137" width="25.54"/>
    <col collapsed="false" customWidth="true" hidden="false" outlineLevel="0" max="151" min="151" style="1127" width="10.73"/>
    <col collapsed="false" customWidth="true" hidden="false" outlineLevel="0" max="153" min="152" style="1127" width="11"/>
    <col collapsed="false" customWidth="true" hidden="false" outlineLevel="0" max="155" min="154" style="1127" width="11.82"/>
    <col collapsed="false" customWidth="true" hidden="false" outlineLevel="0" max="156" min="156" style="1127" width="2.73"/>
    <col collapsed="false" customWidth="true" hidden="false" outlineLevel="0" max="157" min="157" style="1127" width="4.45"/>
    <col collapsed="false" customWidth="true" hidden="false" outlineLevel="0" max="158" min="158" style="1134" width="17.18"/>
    <col collapsed="false" customWidth="false" hidden="false" outlineLevel="0" max="162" min="159" style="1127" width="12.82"/>
    <col collapsed="false" customWidth="true" hidden="false" outlineLevel="0" max="163" min="163" style="1127" width="14.18"/>
    <col collapsed="false" customWidth="true" hidden="false" outlineLevel="0" max="164" min="164" style="1127" width="2.45"/>
    <col collapsed="false" customWidth="true" hidden="false" outlineLevel="0" max="165" min="165" style="1127" width="6.73"/>
    <col collapsed="false" customWidth="true" hidden="false" outlineLevel="0" max="166" min="166" style="1126" width="4.45"/>
    <col collapsed="false" customWidth="true" hidden="false" outlineLevel="0" max="167" min="167" style="1134" width="24.27"/>
    <col collapsed="false" customWidth="true" hidden="false" outlineLevel="0" max="170" min="168" style="1127" width="13"/>
    <col collapsed="false" customWidth="true" hidden="false" outlineLevel="0" max="171" min="171" style="1127" width="7.82"/>
    <col collapsed="false" customWidth="true" hidden="false" outlineLevel="0" max="172" min="172" style="1126" width="4.45"/>
    <col collapsed="false" customWidth="true" hidden="false" outlineLevel="0" max="173" min="173" style="1134" width="19.18"/>
    <col collapsed="false" customWidth="true" hidden="false" outlineLevel="0" max="178" min="174" style="1127" width="7.82"/>
    <col collapsed="false" customWidth="true" hidden="false" outlineLevel="0" max="179" min="179" style="1127" width="9.54"/>
    <col collapsed="false" customWidth="true" hidden="false" outlineLevel="0" max="180" min="180" style="1138" width="6.18"/>
    <col collapsed="false" customWidth="true" hidden="false" outlineLevel="0" max="181" min="181" style="1127" width="8.27"/>
    <col collapsed="false" customWidth="true" hidden="false" outlineLevel="0" max="182" min="182" style="1127" width="4.45"/>
    <col collapsed="false" customWidth="true" hidden="false" outlineLevel="0" max="183" min="183" style="1134" width="25.27"/>
    <col collapsed="false" customWidth="true" hidden="false" outlineLevel="0" max="184" min="184" style="1127" width="7.82"/>
    <col collapsed="false" customWidth="true" hidden="false" outlineLevel="0" max="188" min="185" style="1127" width="8.27"/>
    <col collapsed="false" customWidth="true" hidden="false" outlineLevel="0" max="189" min="189" style="1127" width="9.45"/>
    <col collapsed="false" customWidth="true" hidden="false" outlineLevel="0" max="190" min="190" style="1127" width="8.82"/>
    <col collapsed="false" customWidth="true" hidden="false" outlineLevel="0" max="191" min="191" style="1127" width="9.18"/>
    <col collapsed="false" customWidth="true" hidden="false" outlineLevel="0" max="192" min="192" style="1127" width="15.73"/>
    <col collapsed="false" customWidth="true" hidden="false" outlineLevel="0" max="193" min="193" style="1127" width="7.82"/>
    <col collapsed="false" customWidth="true" hidden="false" outlineLevel="0" max="197" min="194" style="1127" width="8.27"/>
    <col collapsed="false" customWidth="true" hidden="false" outlineLevel="0" max="199" min="198" style="1127" width="3.18"/>
    <col collapsed="false" customWidth="true" hidden="false" outlineLevel="0" max="200" min="200" style="1127" width="3"/>
    <col collapsed="false" customWidth="true" hidden="false" outlineLevel="0" max="201" min="201" style="1127" width="4.54"/>
    <col collapsed="false" customWidth="true" hidden="false" outlineLevel="0" max="202" min="202" style="1127" width="16.54"/>
    <col collapsed="false" customWidth="true" hidden="false" outlineLevel="0" max="203" min="203" style="1127" width="7.54"/>
    <col collapsed="false" customWidth="true" hidden="false" outlineLevel="0" max="211" min="204" style="1127" width="7.73"/>
    <col collapsed="false" customWidth="true" hidden="false" outlineLevel="0" max="212" min="212" style="1127" width="8.27"/>
    <col collapsed="false" customWidth="true" hidden="false" outlineLevel="0" max="213" min="213" style="1127" width="7.82"/>
    <col collapsed="false" customWidth="true" hidden="false" outlineLevel="0" max="214" min="214" style="1127" width="8.27"/>
    <col collapsed="false" customWidth="true" hidden="false" outlineLevel="0" max="215" min="215" style="1127" width="3.18"/>
    <col collapsed="false" customWidth="true" hidden="false" outlineLevel="0" max="217" min="216" style="1127" width="3.45"/>
    <col collapsed="false" customWidth="true" hidden="false" outlineLevel="0" max="218" min="218" style="1127" width="4.45"/>
    <col collapsed="false" customWidth="true" hidden="false" outlineLevel="0" max="220" min="219" style="1127" width="9.73"/>
    <col collapsed="false" customWidth="true" hidden="false" outlineLevel="0" max="221" min="221" style="1127" width="7.82"/>
    <col collapsed="false" customWidth="true" hidden="false" outlineLevel="0" max="225" min="222" style="1127" width="8.27"/>
    <col collapsed="false" customWidth="true" hidden="false" outlineLevel="0" max="226" min="226" style="1127" width="11.18"/>
    <col collapsed="false" customWidth="true" hidden="false" outlineLevel="0" max="227" min="227" style="1127" width="10.18"/>
    <col collapsed="false" customWidth="true" hidden="false" outlineLevel="0" max="228" min="228" style="1127" width="13"/>
    <col collapsed="false" customWidth="false" hidden="false" outlineLevel="0" max="16384" min="229" style="1127" width="12.82"/>
  </cols>
  <sheetData>
    <row r="1" s="1182" customFormat="true" ht="12.75" hidden="false" customHeight="true" outlineLevel="0" collapsed="false">
      <c r="A1" s="1139" t="s">
        <v>1890</v>
      </c>
      <c r="B1" s="1140" t="str">
        <f aca="false">'Sources &amp; Uses'!A3</f>
        <v>SOURCES OF FUNDS</v>
      </c>
      <c r="C1" s="1140"/>
      <c r="D1" s="1141"/>
      <c r="E1" s="1139" t="s">
        <v>1890</v>
      </c>
      <c r="F1" s="1140" t="str">
        <f aca="false">B1</f>
        <v>SOURCES OF FUNDS</v>
      </c>
      <c r="G1" s="1140"/>
      <c r="H1" s="1141"/>
      <c r="I1" s="1139" t="s">
        <v>1891</v>
      </c>
      <c r="J1" s="1142"/>
      <c r="K1" s="1143" t="str">
        <f aca="false">'P&amp;L'!BJ27</f>
        <v>Year 1</v>
      </c>
      <c r="L1" s="1143" t="str">
        <f aca="false">'P&amp;L'!BK27</f>
        <v>Year 2</v>
      </c>
      <c r="M1" s="1143" t="str">
        <f aca="false">'P&amp;L'!BL27</f>
        <v>Year 3</v>
      </c>
      <c r="N1" s="1143" t="str">
        <f aca="false">'P&amp;L'!BM27</f>
        <v>Year 4</v>
      </c>
      <c r="O1" s="1144" t="str">
        <f aca="false">'P&amp;L'!BN27</f>
        <v>Year 5</v>
      </c>
      <c r="P1" s="1145"/>
      <c r="Q1" s="1146" t="s">
        <v>1891</v>
      </c>
      <c r="R1" s="1147"/>
      <c r="S1" s="1148" t="str">
        <f aca="false">Revenue!B56</f>
        <v>Month 1</v>
      </c>
      <c r="T1" s="1148" t="str">
        <f aca="false">Revenue!C56</f>
        <v>Month 2</v>
      </c>
      <c r="U1" s="1148" t="str">
        <f aca="false">Revenue!D56</f>
        <v>Month 3</v>
      </c>
      <c r="V1" s="1148" t="str">
        <f aca="false">Revenue!E56</f>
        <v>Month 4</v>
      </c>
      <c r="W1" s="1148" t="str">
        <f aca="false">Revenue!F56</f>
        <v>Month 5</v>
      </c>
      <c r="X1" s="1148" t="str">
        <f aca="false">Revenue!G56</f>
        <v>Month 6</v>
      </c>
      <c r="Y1" s="1148" t="str">
        <f aca="false">Revenue!H56</f>
        <v>Month 7</v>
      </c>
      <c r="Z1" s="1148" t="str">
        <f aca="false">Revenue!I56</f>
        <v>Month 8</v>
      </c>
      <c r="AA1" s="1148" t="str">
        <f aca="false">Revenue!J56</f>
        <v>Month 9</v>
      </c>
      <c r="AB1" s="1148" t="str">
        <f aca="false">Revenue!K56</f>
        <v>Month 10</v>
      </c>
      <c r="AC1" s="1148" t="str">
        <f aca="false">Revenue!L56</f>
        <v>Month 11</v>
      </c>
      <c r="AD1" s="1149" t="str">
        <f aca="false">Revenue!M56</f>
        <v>Month 12</v>
      </c>
      <c r="AE1" s="1141"/>
      <c r="AF1" s="1139" t="s">
        <v>1892</v>
      </c>
      <c r="AG1" s="1142"/>
      <c r="AH1" s="1143" t="str">
        <f aca="false">K1</f>
        <v>Year 1</v>
      </c>
      <c r="AI1" s="1143" t="str">
        <f aca="false">L1</f>
        <v>Year 2</v>
      </c>
      <c r="AJ1" s="1143" t="str">
        <f aca="false">M1</f>
        <v>Year 3</v>
      </c>
      <c r="AK1" s="1143" t="str">
        <f aca="false">N1</f>
        <v>Year 4</v>
      </c>
      <c r="AL1" s="1144" t="str">
        <f aca="false">O1</f>
        <v>Year 5</v>
      </c>
      <c r="AM1" s="1150"/>
      <c r="AN1" s="1139" t="s">
        <v>1892</v>
      </c>
      <c r="AO1" s="1151"/>
      <c r="AP1" s="1152" t="str">
        <f aca="false">S1</f>
        <v>Month 1</v>
      </c>
      <c r="AQ1" s="1152" t="str">
        <f aca="false">T1</f>
        <v>Month 2</v>
      </c>
      <c r="AR1" s="1152" t="str">
        <f aca="false">U1</f>
        <v>Month 3</v>
      </c>
      <c r="AS1" s="1152" t="str">
        <f aca="false">V1</f>
        <v>Month 4</v>
      </c>
      <c r="AT1" s="1152" t="str">
        <f aca="false">W1</f>
        <v>Month 5</v>
      </c>
      <c r="AU1" s="1152" t="str">
        <f aca="false">X1</f>
        <v>Month 6</v>
      </c>
      <c r="AV1" s="1152" t="str">
        <f aca="false">Y1</f>
        <v>Month 7</v>
      </c>
      <c r="AW1" s="1152" t="str">
        <f aca="false">Z1</f>
        <v>Month 8</v>
      </c>
      <c r="AX1" s="1152" t="str">
        <f aca="false">AA1</f>
        <v>Month 9</v>
      </c>
      <c r="AY1" s="1152" t="str">
        <f aca="false">AB1</f>
        <v>Month 10</v>
      </c>
      <c r="AZ1" s="1152" t="str">
        <f aca="false">AC1</f>
        <v>Month 11</v>
      </c>
      <c r="BA1" s="1153" t="str">
        <f aca="false">AD1</f>
        <v>Month 12</v>
      </c>
      <c r="BB1" s="1150"/>
      <c r="BC1" s="1150"/>
      <c r="BD1" s="1139" t="s">
        <v>1893</v>
      </c>
      <c r="BE1" s="1154"/>
      <c r="BF1" s="1143" t="str">
        <f aca="false">'P&amp;L'!BJ27</f>
        <v>Year 1</v>
      </c>
      <c r="BG1" s="1143" t="str">
        <f aca="false">'P&amp;L'!BK27</f>
        <v>Year 2</v>
      </c>
      <c r="BH1" s="1143" t="str">
        <f aca="false">'P&amp;L'!BL27</f>
        <v>Year 3</v>
      </c>
      <c r="BI1" s="1143" t="str">
        <f aca="false">'P&amp;L'!BM27</f>
        <v>Year 4</v>
      </c>
      <c r="BJ1" s="1144" t="str">
        <f aca="false">'P&amp;L'!BN27</f>
        <v>Year 5</v>
      </c>
      <c r="BK1" s="1150"/>
      <c r="BL1" s="1139" t="s">
        <v>1893</v>
      </c>
      <c r="BM1" s="1155"/>
      <c r="BN1" s="1148" t="str">
        <f aca="false">Revenue!B56</f>
        <v>Month 1</v>
      </c>
      <c r="BO1" s="1148" t="str">
        <f aca="false">Revenue!C56</f>
        <v>Month 2</v>
      </c>
      <c r="BP1" s="1148" t="str">
        <f aca="false">Revenue!D56</f>
        <v>Month 3</v>
      </c>
      <c r="BQ1" s="1148" t="str">
        <f aca="false">Revenue!E56</f>
        <v>Month 4</v>
      </c>
      <c r="BR1" s="1148" t="str">
        <f aca="false">Revenue!F56</f>
        <v>Month 5</v>
      </c>
      <c r="BS1" s="1148" t="str">
        <f aca="false">Revenue!G56</f>
        <v>Month 6</v>
      </c>
      <c r="BT1" s="1148" t="str">
        <f aca="false">Revenue!H56</f>
        <v>Month 7</v>
      </c>
      <c r="BU1" s="1148" t="str">
        <f aca="false">Revenue!I56</f>
        <v>Month 8</v>
      </c>
      <c r="BV1" s="1148" t="str">
        <f aca="false">Revenue!J56</f>
        <v>Month 9</v>
      </c>
      <c r="BW1" s="1148" t="str">
        <f aca="false">Revenue!K56</f>
        <v>Month 10</v>
      </c>
      <c r="BX1" s="1148" t="str">
        <f aca="false">Revenue!L56</f>
        <v>Month 11</v>
      </c>
      <c r="BY1" s="1149" t="str">
        <f aca="false">Revenue!M56</f>
        <v>Month 12</v>
      </c>
      <c r="BZ1" s="1150"/>
      <c r="CA1" s="1150"/>
      <c r="CB1" s="1139" t="s">
        <v>1894</v>
      </c>
      <c r="CC1" s="1142"/>
      <c r="CD1" s="1143" t="str">
        <f aca="false">'P&amp;L'!BJ27</f>
        <v>Year 1</v>
      </c>
      <c r="CE1" s="1143" t="str">
        <f aca="false">'P&amp;L'!BK27</f>
        <v>Year 2</v>
      </c>
      <c r="CF1" s="1143" t="str">
        <f aca="false">'P&amp;L'!BL27</f>
        <v>Year 3</v>
      </c>
      <c r="CG1" s="1143" t="str">
        <f aca="false">'P&amp;L'!BM27</f>
        <v>Year 4</v>
      </c>
      <c r="CH1" s="1144" t="str">
        <f aca="false">'P&amp;L'!BN27</f>
        <v>Year 5</v>
      </c>
      <c r="CI1" s="1141"/>
      <c r="CJ1" s="1139" t="s">
        <v>1894</v>
      </c>
      <c r="CK1" s="1156"/>
      <c r="CL1" s="1148" t="str">
        <f aca="false">'P&amp;L'!B27</f>
        <v>Month 1</v>
      </c>
      <c r="CM1" s="1148" t="str">
        <f aca="false">'P&amp;L'!C27</f>
        <v>Month 2</v>
      </c>
      <c r="CN1" s="1148" t="str">
        <f aca="false">'P&amp;L'!D27</f>
        <v>Month 3</v>
      </c>
      <c r="CO1" s="1148" t="str">
        <f aca="false">'P&amp;L'!E27</f>
        <v>Month 4</v>
      </c>
      <c r="CP1" s="1148" t="str">
        <f aca="false">'P&amp;L'!F27</f>
        <v>Month 5</v>
      </c>
      <c r="CQ1" s="1148" t="str">
        <f aca="false">'P&amp;L'!G27</f>
        <v>Month 6</v>
      </c>
      <c r="CR1" s="1148" t="str">
        <f aca="false">'P&amp;L'!H27</f>
        <v>Month 7</v>
      </c>
      <c r="CS1" s="1148" t="str">
        <f aca="false">'P&amp;L'!I27</f>
        <v>Month 8</v>
      </c>
      <c r="CT1" s="1148" t="str">
        <f aca="false">'P&amp;L'!J27</f>
        <v>Month 9</v>
      </c>
      <c r="CU1" s="1148" t="str">
        <f aca="false">'P&amp;L'!K27</f>
        <v>Month 10</v>
      </c>
      <c r="CV1" s="1148" t="str">
        <f aca="false">'P&amp;L'!L27</f>
        <v>Month 11</v>
      </c>
      <c r="CW1" s="1149" t="str">
        <f aca="false">'P&amp;L'!M27</f>
        <v>Month 12</v>
      </c>
      <c r="CX1" s="1141"/>
      <c r="CY1" s="1157" t="s">
        <v>1895</v>
      </c>
      <c r="CZ1" s="1142"/>
      <c r="DA1" s="1158" t="str">
        <f aca="false">CD1</f>
        <v>Year 1</v>
      </c>
      <c r="DB1" s="1159" t="str">
        <f aca="false">CE1</f>
        <v>Year 2</v>
      </c>
      <c r="DC1" s="1159" t="str">
        <f aca="false">CF1</f>
        <v>Year 3</v>
      </c>
      <c r="DD1" s="1159" t="str">
        <f aca="false">CG1</f>
        <v>Year 4</v>
      </c>
      <c r="DE1" s="1160" t="str">
        <f aca="false">CH1</f>
        <v>Year 5</v>
      </c>
      <c r="DF1" s="1161"/>
      <c r="DG1" s="1139" t="s">
        <v>1895</v>
      </c>
      <c r="DH1" s="1142"/>
      <c r="DI1" s="1148" t="str">
        <f aca="false">CL1</f>
        <v>Month 1</v>
      </c>
      <c r="DJ1" s="1148" t="str">
        <f aca="false">CM1</f>
        <v>Month 2</v>
      </c>
      <c r="DK1" s="1148" t="str">
        <f aca="false">CN1</f>
        <v>Month 3</v>
      </c>
      <c r="DL1" s="1148" t="str">
        <f aca="false">CO1</f>
        <v>Month 4</v>
      </c>
      <c r="DM1" s="1148" t="str">
        <f aca="false">CP1</f>
        <v>Month 5</v>
      </c>
      <c r="DN1" s="1148" t="str">
        <f aca="false">CQ1</f>
        <v>Month 6</v>
      </c>
      <c r="DO1" s="1148" t="str">
        <f aca="false">CR1</f>
        <v>Month 7</v>
      </c>
      <c r="DP1" s="1148" t="str">
        <f aca="false">CS1</f>
        <v>Month 8</v>
      </c>
      <c r="DQ1" s="1148" t="str">
        <f aca="false">CT1</f>
        <v>Month 9</v>
      </c>
      <c r="DR1" s="1148" t="str">
        <f aca="false">CU1</f>
        <v>Month 10</v>
      </c>
      <c r="DS1" s="1148" t="str">
        <f aca="false">CV1</f>
        <v>Month 11</v>
      </c>
      <c r="DT1" s="1149" t="str">
        <f aca="false">CW1</f>
        <v>Month 12</v>
      </c>
      <c r="DU1" s="1161"/>
      <c r="DV1" s="1157" t="s">
        <v>1896</v>
      </c>
      <c r="DW1" s="1142"/>
      <c r="DX1" s="1159" t="str">
        <f aca="false">DA1</f>
        <v>Year 1</v>
      </c>
      <c r="DY1" s="1159" t="str">
        <f aca="false">DB1</f>
        <v>Year 2</v>
      </c>
      <c r="DZ1" s="1159" t="str">
        <f aca="false">DC1</f>
        <v>Year 3</v>
      </c>
      <c r="EA1" s="1159" t="str">
        <f aca="false">DD1</f>
        <v>Year 4</v>
      </c>
      <c r="EB1" s="1160" t="str">
        <f aca="false">DE1</f>
        <v>Year 5</v>
      </c>
      <c r="EC1" s="1141"/>
      <c r="ED1" s="1157" t="s">
        <v>1896</v>
      </c>
      <c r="EE1" s="1162"/>
      <c r="EF1" s="1148" t="str">
        <f aca="false">DI1</f>
        <v>Month 1</v>
      </c>
      <c r="EG1" s="1148" t="str">
        <f aca="false">DJ1</f>
        <v>Month 2</v>
      </c>
      <c r="EH1" s="1148" t="str">
        <f aca="false">DK1</f>
        <v>Month 3</v>
      </c>
      <c r="EI1" s="1148" t="str">
        <f aca="false">DL1</f>
        <v>Month 4</v>
      </c>
      <c r="EJ1" s="1148" t="str">
        <f aca="false">DM1</f>
        <v>Month 5</v>
      </c>
      <c r="EK1" s="1148" t="str">
        <f aca="false">DN1</f>
        <v>Month 6</v>
      </c>
      <c r="EL1" s="1148" t="str">
        <f aca="false">DO1</f>
        <v>Month 7</v>
      </c>
      <c r="EM1" s="1148" t="str">
        <f aca="false">DP1</f>
        <v>Month 8</v>
      </c>
      <c r="EN1" s="1148" t="str">
        <f aca="false">DQ1</f>
        <v>Month 9</v>
      </c>
      <c r="EO1" s="1148" t="str">
        <f aca="false">DR1</f>
        <v>Month 10</v>
      </c>
      <c r="EP1" s="1148" t="str">
        <f aca="false">DS1</f>
        <v>Month 11</v>
      </c>
      <c r="EQ1" s="1149" t="str">
        <f aca="false">DT1</f>
        <v>Month 12</v>
      </c>
      <c r="ER1" s="1141"/>
      <c r="ES1" s="1163" t="s">
        <v>1897</v>
      </c>
      <c r="ET1" s="1164"/>
      <c r="EU1" s="1159" t="str">
        <f aca="false">DA1</f>
        <v>Year 1</v>
      </c>
      <c r="EV1" s="1159" t="str">
        <f aca="false">DB1</f>
        <v>Year 2</v>
      </c>
      <c r="EW1" s="1159" t="str">
        <f aca="false">DC1</f>
        <v>Year 3</v>
      </c>
      <c r="EX1" s="1159" t="str">
        <f aca="false">DD1</f>
        <v>Year 4</v>
      </c>
      <c r="EY1" s="1160" t="str">
        <f aca="false">EB1</f>
        <v>Year 5</v>
      </c>
      <c r="EZ1" s="1141"/>
      <c r="FA1" s="1165" t="s">
        <v>1898</v>
      </c>
      <c r="FB1" s="1166"/>
      <c r="FC1" s="1166"/>
      <c r="FD1" s="1166"/>
      <c r="FE1" s="1166"/>
      <c r="FF1" s="1166"/>
      <c r="FG1" s="1166"/>
      <c r="FH1" s="1167"/>
      <c r="FI1" s="1150"/>
      <c r="FJ1" s="1139" t="s">
        <v>1899</v>
      </c>
      <c r="FK1" s="1168" t="str">
        <f aca="false">IF('P&amp;L'!E14="y","SURPLUS &amp; DEFICIT"," PROFIT &amp; LOSS")</f>
        <v> PROFIT &amp; LOSS</v>
      </c>
      <c r="FL1" s="1169" t="n">
        <f aca="false">Existing!B1</f>
        <v>2028</v>
      </c>
      <c r="FM1" s="1169" t="n">
        <f aca="false">Existing!C1</f>
        <v>2027</v>
      </c>
      <c r="FN1" s="1170" t="n">
        <f aca="false">Existing!D1</f>
        <v>2026</v>
      </c>
      <c r="FO1" s="1150"/>
      <c r="FP1" s="1163" t="s">
        <v>1900</v>
      </c>
      <c r="FQ1" s="1171"/>
      <c r="FR1" s="1172" t="str">
        <f aca="false">FC2</f>
        <v>Year 1</v>
      </c>
      <c r="FS1" s="1172" t="str">
        <f aca="false">FD2</f>
        <v>Year 2</v>
      </c>
      <c r="FT1" s="1172" t="str">
        <f aca="false">FE2</f>
        <v>Year 3</v>
      </c>
      <c r="FU1" s="1172" t="str">
        <f aca="false">FF2</f>
        <v>Year 4</v>
      </c>
      <c r="FV1" s="1172" t="str">
        <f aca="false">FG2</f>
        <v>Year 5</v>
      </c>
      <c r="FW1" s="1141"/>
      <c r="FX1" s="1173" t="s">
        <v>1901</v>
      </c>
      <c r="FY1" s="1174"/>
      <c r="FZ1" s="1175" t="s">
        <v>1902</v>
      </c>
      <c r="GA1" s="1171"/>
      <c r="GB1" s="1176"/>
      <c r="GC1" s="1176"/>
      <c r="GD1" s="1176"/>
      <c r="GE1" s="1176"/>
      <c r="GF1" s="1177"/>
      <c r="GG1" s="1143"/>
      <c r="GH1" s="1143"/>
      <c r="GI1" s="1178"/>
      <c r="GJ1" s="1171"/>
      <c r="GK1" s="1176"/>
      <c r="GL1" s="1176"/>
      <c r="GM1" s="1176"/>
      <c r="GN1" s="1176"/>
      <c r="GO1" s="1177"/>
      <c r="GP1" s="1141"/>
      <c r="GQ1" s="1141"/>
      <c r="GR1" s="1141"/>
      <c r="GS1" s="1163"/>
      <c r="GT1" s="1171"/>
      <c r="GU1" s="1179"/>
      <c r="GV1" s="1179"/>
      <c r="GW1" s="1179"/>
      <c r="GX1" s="1179"/>
      <c r="GY1" s="1179"/>
      <c r="GZ1" s="1179"/>
      <c r="HA1" s="1179"/>
      <c r="HB1" s="1179"/>
      <c r="HC1" s="1179"/>
      <c r="HD1" s="1179"/>
      <c r="HE1" s="1179"/>
      <c r="HF1" s="1180"/>
      <c r="HG1" s="1141"/>
      <c r="HH1" s="1141"/>
      <c r="HI1" s="1141"/>
      <c r="HJ1" s="1178"/>
      <c r="HK1" s="1181"/>
      <c r="HL1" s="1176"/>
      <c r="HM1" s="1176"/>
      <c r="HN1" s="1176"/>
      <c r="HO1" s="1176"/>
      <c r="HP1" s="1176"/>
      <c r="HQ1" s="1177"/>
    </row>
    <row r="2" customFormat="false" ht="12.75" hidden="false" customHeight="true" outlineLevel="0" collapsed="false">
      <c r="A2" s="1139"/>
      <c r="B2" s="1183" t="str">
        <f aca="false">'Sources &amp; Uses'!A4</f>
        <v>Owner Cash Investment OPX $4M/Credit line $4M</v>
      </c>
      <c r="C2" s="1184" t="n">
        <f aca="false">'Sources &amp; Uses'!B4</f>
        <v>10000000</v>
      </c>
      <c r="D2" s="1167"/>
      <c r="E2" s="1139"/>
      <c r="F2" s="1183" t="str">
        <f aca="false">'Sources &amp; Uses'!E4</f>
        <v>Loan</v>
      </c>
      <c r="G2" s="1184" t="n">
        <f aca="false">'Sources &amp; Uses'!F4</f>
        <v>0</v>
      </c>
      <c r="H2" s="1167"/>
      <c r="I2" s="1139"/>
      <c r="J2" s="1185" t="str">
        <f aca="false">R2</f>
        <v>Personnel Count</v>
      </c>
      <c r="K2" s="1186"/>
      <c r="L2" s="1187"/>
      <c r="M2" s="1187"/>
      <c r="N2" s="1187"/>
      <c r="O2" s="1188"/>
      <c r="P2" s="1189"/>
      <c r="Q2" s="1146"/>
      <c r="R2" s="1190" t="str">
        <f aca="false">Personnel!A2</f>
        <v>Personnel Count</v>
      </c>
      <c r="S2" s="1191"/>
      <c r="T2" s="1192"/>
      <c r="U2" s="1192"/>
      <c r="V2" s="1192"/>
      <c r="W2" s="1192"/>
      <c r="X2" s="1192"/>
      <c r="Y2" s="1192"/>
      <c r="Z2" s="1192"/>
      <c r="AA2" s="1192"/>
      <c r="AB2" s="1192"/>
      <c r="AC2" s="1192"/>
      <c r="AD2" s="1193"/>
      <c r="AE2" s="1167"/>
      <c r="AF2" s="1139"/>
      <c r="AG2" s="1194"/>
      <c r="AH2" s="1186"/>
      <c r="AI2" s="1187"/>
      <c r="AJ2" s="1187"/>
      <c r="AK2" s="1187"/>
      <c r="AL2" s="1188"/>
      <c r="AM2" s="1189"/>
      <c r="AN2" s="1139"/>
      <c r="AO2" s="1195"/>
      <c r="AP2" s="1196"/>
      <c r="AQ2" s="1196"/>
      <c r="AR2" s="1196"/>
      <c r="AS2" s="1196"/>
      <c r="AT2" s="1196"/>
      <c r="AU2" s="1196"/>
      <c r="AV2" s="1196"/>
      <c r="AW2" s="1196"/>
      <c r="AX2" s="1196"/>
      <c r="AY2" s="1196"/>
      <c r="AZ2" s="1196"/>
      <c r="BA2" s="1197"/>
      <c r="BB2" s="1189"/>
      <c r="BC2" s="1189"/>
      <c r="BD2" s="1139"/>
      <c r="BE2" s="1194" t="str">
        <f aca="false">Revenue!A56</f>
        <v>Average DI Throughput</v>
      </c>
      <c r="BF2" s="1186"/>
      <c r="BG2" s="1187"/>
      <c r="BH2" s="1187"/>
      <c r="BI2" s="1187"/>
      <c r="BJ2" s="1188"/>
      <c r="BK2" s="1198"/>
      <c r="BL2" s="1139"/>
      <c r="BM2" s="1199" t="str">
        <f aca="false">BE2</f>
        <v>Average DI Throughput</v>
      </c>
      <c r="BN2" s="1191"/>
      <c r="BO2" s="1192"/>
      <c r="BP2" s="1192"/>
      <c r="BQ2" s="1192"/>
      <c r="BR2" s="1192"/>
      <c r="BS2" s="1192"/>
      <c r="BT2" s="1192"/>
      <c r="BU2" s="1192"/>
      <c r="BV2" s="1192"/>
      <c r="BW2" s="1192"/>
      <c r="BX2" s="1192"/>
      <c r="BY2" s="1193"/>
      <c r="BZ2" s="1189"/>
      <c r="CA2" s="1189"/>
      <c r="CB2" s="1139"/>
      <c r="CC2" s="1200" t="str">
        <f aca="false">'P&amp;L'!A19</f>
        <v>Total Revenue</v>
      </c>
      <c r="CD2" s="1201"/>
      <c r="CE2" s="1201"/>
      <c r="CF2" s="1201"/>
      <c r="CG2" s="1201"/>
      <c r="CH2" s="1202"/>
      <c r="CI2" s="1167"/>
      <c r="CJ2" s="1139"/>
      <c r="CK2" s="1190" t="str">
        <f aca="false">'P&amp;L'!A19</f>
        <v>Total Revenue</v>
      </c>
      <c r="CL2" s="1191" t="n">
        <f aca="false">'P&amp;L'!B19</f>
        <v>0</v>
      </c>
      <c r="CM2" s="1192" t="n">
        <f aca="false">'P&amp;L'!C19</f>
        <v>0</v>
      </c>
      <c r="CN2" s="1192" t="n">
        <f aca="false">'P&amp;L'!D19</f>
        <v>917.14</v>
      </c>
      <c r="CO2" s="1192" t="n">
        <f aca="false">'P&amp;L'!E19</f>
        <v>134197.060869048</v>
      </c>
      <c r="CP2" s="1192" t="n">
        <f aca="false">'P&amp;L'!F19</f>
        <v>268394.121738095</v>
      </c>
      <c r="CQ2" s="1192" t="n">
        <f aca="false">'P&amp;L'!G19</f>
        <v>536788.243476191</v>
      </c>
      <c r="CR2" s="1192" t="n">
        <f aca="false">'P&amp;L'!H19</f>
        <v>805182.365214286</v>
      </c>
      <c r="CS2" s="1192" t="n">
        <f aca="false">'P&amp;L'!I19</f>
        <v>1073576.48695238</v>
      </c>
      <c r="CT2" s="1192" t="n">
        <f aca="false">'P&amp;L'!J19</f>
        <v>1341970.60869048</v>
      </c>
      <c r="CU2" s="1192" t="n">
        <f aca="false">'P&amp;L'!K19</f>
        <v>1610364.73042857</v>
      </c>
      <c r="CV2" s="1192" t="n">
        <f aca="false">'P&amp;L'!L19</f>
        <v>1878758.85216667</v>
      </c>
      <c r="CW2" s="1193" t="n">
        <f aca="false">'P&amp;L'!M19</f>
        <v>2147152.97390476</v>
      </c>
      <c r="CX2" s="1167"/>
      <c r="CY2" s="1157"/>
      <c r="CZ2" s="1203" t="str">
        <f aca="false">'Cash Flow'!A24</f>
        <v>OPERATING</v>
      </c>
      <c r="DA2" s="1204"/>
      <c r="DB2" s="1205"/>
      <c r="DC2" s="1205"/>
      <c r="DD2" s="1205"/>
      <c r="DE2" s="1206"/>
      <c r="DF2" s="1167"/>
      <c r="DG2" s="1139"/>
      <c r="DH2" s="1203" t="str">
        <f aca="false">CZ2</f>
        <v>OPERATING</v>
      </c>
      <c r="DI2" s="1191"/>
      <c r="DJ2" s="1192"/>
      <c r="DK2" s="1192"/>
      <c r="DL2" s="1192"/>
      <c r="DM2" s="1192"/>
      <c r="DN2" s="1192"/>
      <c r="DO2" s="1192"/>
      <c r="DP2" s="1192"/>
      <c r="DQ2" s="1192"/>
      <c r="DR2" s="1192"/>
      <c r="DS2" s="1192"/>
      <c r="DT2" s="1193"/>
      <c r="DU2" s="1167"/>
      <c r="DV2" s="1157"/>
      <c r="DW2" s="1207" t="s">
        <v>199</v>
      </c>
      <c r="DX2" s="1208"/>
      <c r="DY2" s="1205"/>
      <c r="DZ2" s="1205"/>
      <c r="EA2" s="1205"/>
      <c r="EB2" s="1206"/>
      <c r="EC2" s="1167"/>
      <c r="ED2" s="1157"/>
      <c r="EE2" s="1194" t="str">
        <f aca="false">DW2</f>
        <v>Assets</v>
      </c>
      <c r="EF2" s="1209"/>
      <c r="EG2" s="1210"/>
      <c r="EH2" s="1210"/>
      <c r="EI2" s="1210"/>
      <c r="EJ2" s="1210"/>
      <c r="EK2" s="1210"/>
      <c r="EL2" s="1210"/>
      <c r="EM2" s="1210"/>
      <c r="EN2" s="1210"/>
      <c r="EO2" s="1210"/>
      <c r="EP2" s="1210"/>
      <c r="EQ2" s="1211"/>
      <c r="ER2" s="1167"/>
      <c r="ES2" s="1163"/>
      <c r="ET2" s="1212" t="str">
        <f aca="false">'P&amp;L'!A19</f>
        <v>Total Revenue</v>
      </c>
      <c r="EU2" s="1186"/>
      <c r="EV2" s="1187"/>
      <c r="EW2" s="1187"/>
      <c r="EX2" s="1187"/>
      <c r="EY2" s="1188"/>
      <c r="EZ2" s="1167"/>
      <c r="FA2" s="1165"/>
      <c r="FB2" s="1213"/>
      <c r="FC2" s="1214" t="str">
        <f aca="false">K1</f>
        <v>Year 1</v>
      </c>
      <c r="FD2" s="1214" t="str">
        <f aca="false">L1</f>
        <v>Year 2</v>
      </c>
      <c r="FE2" s="1214" t="str">
        <f aca="false">M1</f>
        <v>Year 3</v>
      </c>
      <c r="FF2" s="1214" t="str">
        <f aca="false">N1</f>
        <v>Year 4</v>
      </c>
      <c r="FG2" s="1215" t="str">
        <f aca="false">O1</f>
        <v>Year 5</v>
      </c>
      <c r="FH2" s="1141"/>
      <c r="FI2" s="1189"/>
      <c r="FJ2" s="1139"/>
      <c r="FK2" s="1216" t="str">
        <f aca="false">Existing!A2</f>
        <v>Revenue</v>
      </c>
      <c r="FL2" s="1217" t="n">
        <f aca="false">Existing!B2</f>
        <v>167140846.428</v>
      </c>
      <c r="FM2" s="1217" t="n">
        <f aca="false">Existing!C2</f>
        <v>63473726.2030143</v>
      </c>
      <c r="FN2" s="1218" t="n">
        <f aca="false">Existing!D2</f>
        <v>9797302.58344048</v>
      </c>
      <c r="FO2" s="1189"/>
      <c r="FP2" s="1163"/>
      <c r="FQ2" s="1213" t="s">
        <v>1903</v>
      </c>
      <c r="FR2" s="1219"/>
      <c r="FS2" s="1219"/>
      <c r="FT2" s="1219"/>
      <c r="FU2" s="1219"/>
      <c r="FV2" s="1220"/>
      <c r="FW2" s="1167"/>
      <c r="FX2" s="1173"/>
      <c r="FY2" s="1174"/>
      <c r="FZ2" s="1175"/>
      <c r="GA2" s="1216"/>
      <c r="GB2" s="1217"/>
      <c r="GC2" s="1217"/>
      <c r="GD2" s="1217"/>
      <c r="GE2" s="1217"/>
      <c r="GF2" s="1218"/>
      <c r="GG2" s="1189"/>
      <c r="GH2" s="1189"/>
      <c r="GI2" s="1178"/>
      <c r="GJ2" s="1216"/>
      <c r="GK2" s="1217"/>
      <c r="GL2" s="1217"/>
      <c r="GM2" s="1217"/>
      <c r="GN2" s="1217"/>
      <c r="GO2" s="1218"/>
      <c r="GP2" s="1167"/>
      <c r="GQ2" s="1167"/>
      <c r="GR2" s="1167"/>
      <c r="GS2" s="1163"/>
      <c r="GT2" s="1213"/>
      <c r="GU2" s="1221"/>
      <c r="GV2" s="1221"/>
      <c r="GW2" s="1221"/>
      <c r="GX2" s="1221"/>
      <c r="GY2" s="1221"/>
      <c r="GZ2" s="1221"/>
      <c r="HA2" s="1221"/>
      <c r="HB2" s="1221"/>
      <c r="HC2" s="1221"/>
      <c r="HD2" s="1221"/>
      <c r="HE2" s="1221"/>
      <c r="HF2" s="1222"/>
      <c r="HG2" s="1167"/>
      <c r="HH2" s="1167"/>
      <c r="HI2" s="1167"/>
      <c r="HJ2" s="1178"/>
      <c r="HK2" s="1223"/>
      <c r="HL2" s="1217"/>
      <c r="HM2" s="1217"/>
      <c r="HN2" s="1217"/>
      <c r="HO2" s="1217"/>
      <c r="HP2" s="1217"/>
      <c r="HQ2" s="1218"/>
    </row>
    <row r="3" customFormat="false" ht="12.75" hidden="false" customHeight="true" outlineLevel="0" collapsed="false">
      <c r="A3" s="1139"/>
      <c r="B3" s="1224" t="n">
        <f aca="false">'Sources &amp; Uses'!A7</f>
        <v>0</v>
      </c>
      <c r="C3" s="1225" t="n">
        <f aca="false">'Sources &amp; Uses'!B7</f>
        <v>0</v>
      </c>
      <c r="D3" s="1167"/>
      <c r="E3" s="1139"/>
      <c r="F3" s="1224" t="str">
        <f aca="false">'Sources &amp; Uses'!E5</f>
        <v>Owner Investment</v>
      </c>
      <c r="G3" s="1225" t="n">
        <f aca="false">'Sources &amp; Uses'!F5</f>
        <v>0</v>
      </c>
      <c r="H3" s="1167"/>
      <c r="I3" s="1139"/>
      <c r="J3" s="1226" t="str">
        <f aca="false">Personnel!A3</f>
        <v>Trades</v>
      </c>
      <c r="K3" s="1227" t="n">
        <f aca="false">Personnel!BL3</f>
        <v>30</v>
      </c>
      <c r="L3" s="1228" t="n">
        <f aca="false">Personnel!BM3</f>
        <v>80</v>
      </c>
      <c r="M3" s="1228" t="n">
        <f aca="false">Personnel!BN3</f>
        <v>80</v>
      </c>
      <c r="N3" s="1228" t="n">
        <f aca="false">Personnel!BO3</f>
        <v>80</v>
      </c>
      <c r="O3" s="1229" t="n">
        <f aca="false">Personnel!BP3</f>
        <v>80</v>
      </c>
      <c r="P3" s="1230"/>
      <c r="Q3" s="1146"/>
      <c r="R3" s="1231" t="str">
        <f aca="false">Personnel!A3</f>
        <v>Trades</v>
      </c>
      <c r="S3" s="1232" t="n">
        <f aca="false">Personnel!D3</f>
        <v>4</v>
      </c>
      <c r="T3" s="1233" t="n">
        <f aca="false">Personnel!E3</f>
        <v>8</v>
      </c>
      <c r="U3" s="1233" t="n">
        <f aca="false">Personnel!F3</f>
        <v>10</v>
      </c>
      <c r="V3" s="1233" t="n">
        <f aca="false">Personnel!G3</f>
        <v>10</v>
      </c>
      <c r="W3" s="1233" t="n">
        <f aca="false">Personnel!H3</f>
        <v>10</v>
      </c>
      <c r="X3" s="1233" t="n">
        <f aca="false">Personnel!I3</f>
        <v>15</v>
      </c>
      <c r="Y3" s="1233" t="n">
        <f aca="false">Personnel!J3</f>
        <v>25</v>
      </c>
      <c r="Z3" s="1233" t="n">
        <f aca="false">Personnel!K3</f>
        <v>30</v>
      </c>
      <c r="AA3" s="1233" t="n">
        <f aca="false">Personnel!L3</f>
        <v>30</v>
      </c>
      <c r="AB3" s="1233" t="n">
        <f aca="false">Personnel!M3</f>
        <v>30</v>
      </c>
      <c r="AC3" s="1233" t="n">
        <f aca="false">Personnel!N3</f>
        <v>30</v>
      </c>
      <c r="AD3" s="1234" t="n">
        <f aca="false">Personnel!O3</f>
        <v>30</v>
      </c>
      <c r="AE3" s="1167"/>
      <c r="AF3" s="1139"/>
      <c r="AG3" s="1235"/>
      <c r="AH3" s="1236"/>
      <c r="AI3" s="1217"/>
      <c r="AJ3" s="1217"/>
      <c r="AK3" s="1217"/>
      <c r="AL3" s="1218"/>
      <c r="AM3" s="1189"/>
      <c r="AN3" s="1139"/>
      <c r="AO3" s="1237"/>
      <c r="AP3" s="1221"/>
      <c r="AQ3" s="1221"/>
      <c r="AR3" s="1221"/>
      <c r="AS3" s="1221"/>
      <c r="AT3" s="1221"/>
      <c r="AU3" s="1221"/>
      <c r="AV3" s="1221"/>
      <c r="AW3" s="1221"/>
      <c r="AX3" s="1221"/>
      <c r="AY3" s="1221"/>
      <c r="AZ3" s="1221"/>
      <c r="BA3" s="1222"/>
      <c r="BB3" s="1189"/>
      <c r="BC3" s="1189"/>
      <c r="BD3" s="1139"/>
      <c r="BE3" s="1238" t="str">
        <f aca="false">Revenue!A70</f>
        <v>CS-36</v>
      </c>
      <c r="BF3" s="1239" t="n">
        <f aca="false">Revenue!BJ70</f>
        <v>16294.6428571429</v>
      </c>
      <c r="BG3" s="1240" t="n">
        <f aca="false">Revenue!BK70</f>
        <v>77678.5714285715</v>
      </c>
      <c r="BH3" s="1240" t="n">
        <f aca="false">Revenue!BL70</f>
        <v>187500</v>
      </c>
      <c r="BI3" s="1240" t="n">
        <f aca="false">Revenue!BM70</f>
        <v>187500</v>
      </c>
      <c r="BJ3" s="1241" t="n">
        <f aca="false">Revenue!BN70</f>
        <v>187500</v>
      </c>
      <c r="BK3" s="1198"/>
      <c r="BL3" s="1139"/>
      <c r="BM3" s="1242" t="str">
        <f aca="false">Revenue!A70</f>
        <v>CS-36</v>
      </c>
      <c r="BN3" s="1232" t="n">
        <f aca="false">Revenue!G70</f>
        <v>892.857142857143</v>
      </c>
      <c r="BO3" s="1233" t="n">
        <f aca="false">Revenue!H70</f>
        <v>1339.28571428571</v>
      </c>
      <c r="BP3" s="1233" t="n">
        <f aca="false">Revenue!I70</f>
        <v>1785.71428571429</v>
      </c>
      <c r="BQ3" s="1233" t="n">
        <f aca="false">Revenue!J70</f>
        <v>2232.14285714286</v>
      </c>
      <c r="BR3" s="1233" t="n">
        <f aca="false">Revenue!K70</f>
        <v>2678.57142857143</v>
      </c>
      <c r="BS3" s="1233" t="n">
        <f aca="false">Revenue!L70</f>
        <v>3125</v>
      </c>
      <c r="BT3" s="1233" t="n">
        <f aca="false">Revenue!M70</f>
        <v>3571.42857142857</v>
      </c>
      <c r="BU3" s="1233" t="n">
        <f aca="false">Revenue!N70</f>
        <v>4017.85714285714</v>
      </c>
      <c r="BV3" s="1233" t="n">
        <f aca="false">Revenue!O70</f>
        <v>4464.28571428572</v>
      </c>
      <c r="BW3" s="1233"/>
      <c r="BX3" s="1233"/>
      <c r="BY3" s="1234"/>
      <c r="BZ3" s="1189"/>
      <c r="CA3" s="1189"/>
      <c r="CB3" s="1139"/>
      <c r="CC3" s="1243" t="str">
        <f aca="false">'P&amp;L'!A23</f>
        <v>Total Direct Cost of Revenue</v>
      </c>
      <c r="CD3" s="1217" t="n">
        <f aca="false">'Tables 5Y'!AH28</f>
        <v>6087649.67781669</v>
      </c>
      <c r="CE3" s="1217" t="n">
        <f aca="false">'Tables 5Y'!AI28</f>
        <v>31915417.3897659</v>
      </c>
      <c r="CF3" s="1217" t="n">
        <f aca="false">'Tables 5Y'!AJ28</f>
        <v>81368910.4966181</v>
      </c>
      <c r="CG3" s="1217" t="n">
        <f aca="false">'Tables 5Y'!AK28</f>
        <v>85700606.6041462</v>
      </c>
      <c r="CH3" s="1218" t="n">
        <f aca="false">'Tables 5Y'!AL28</f>
        <v>90032302.7116743</v>
      </c>
      <c r="CI3" s="1167"/>
      <c r="CJ3" s="1139"/>
      <c r="CK3" s="1244" t="str">
        <f aca="false">CC3</f>
        <v>Total Direct Cost of Revenue</v>
      </c>
      <c r="CL3" s="1245" t="n">
        <f aca="false">'Tables 5Y'!AP28</f>
        <v>0</v>
      </c>
      <c r="CM3" s="1246" t="n">
        <f aca="false">'Tables 5Y'!AQ28</f>
        <v>0</v>
      </c>
      <c r="CN3" s="1246" t="n">
        <f aca="false">'Tables 5Y'!AR28</f>
        <v>695.983831428571</v>
      </c>
      <c r="CO3" s="1246" t="n">
        <f aca="false">'Tables 5Y'!AS28</f>
        <v>83392.4613399547</v>
      </c>
      <c r="CP3" s="1246" t="n">
        <f aca="false">'Tables 5Y'!AT28</f>
        <v>166784.922679909</v>
      </c>
      <c r="CQ3" s="1246" t="n">
        <f aca="false">'Tables 5Y'!AU28</f>
        <v>333569.845359819</v>
      </c>
      <c r="CR3" s="1246" t="n">
        <f aca="false">'Tables 5Y'!AV28</f>
        <v>500354.768039728</v>
      </c>
      <c r="CS3" s="1246" t="n">
        <f aca="false">'Tables 5Y'!AW28</f>
        <v>667139.690719637</v>
      </c>
      <c r="CT3" s="1246" t="n">
        <f aca="false">'Tables 5Y'!AX28</f>
        <v>833924.613399547</v>
      </c>
      <c r="CU3" s="1246" t="n">
        <f aca="false">'Tables 5Y'!AY28</f>
        <v>1000709.53607946</v>
      </c>
      <c r="CV3" s="1246" t="n">
        <f aca="false">'Tables 5Y'!AZ28</f>
        <v>1167494.45875937</v>
      </c>
      <c r="CW3" s="1247" t="n">
        <f aca="false">'Tables 5Y'!BA28</f>
        <v>1334279.38143928</v>
      </c>
      <c r="CX3" s="1167"/>
      <c r="CY3" s="1157"/>
      <c r="CZ3" s="1248" t="str">
        <f aca="false">'Cash Flow'!A25</f>
        <v>Net Profit</v>
      </c>
      <c r="DA3" s="1249" t="n">
        <f aca="false">'Cash Flow'!BJ25</f>
        <v>-3831207.37527624</v>
      </c>
      <c r="DB3" s="1250" t="n">
        <f aca="false">'Cash Flow'!BK25</f>
        <v>8408716.91682543</v>
      </c>
      <c r="DC3" s="1250" t="n">
        <f aca="false">'Cash Flow'!BL25</f>
        <v>42095422.6414667</v>
      </c>
      <c r="DD3" s="1250" t="n">
        <f aca="false">'Cash Flow'!BM25</f>
        <v>48489992.1730687</v>
      </c>
      <c r="DE3" s="1251" t="n">
        <f aca="false">'Cash Flow'!BN25</f>
        <v>54856792.4462355</v>
      </c>
      <c r="DF3" s="1167"/>
      <c r="DG3" s="1139"/>
      <c r="DH3" s="1252" t="str">
        <f aca="false">CZ3</f>
        <v>Net Profit</v>
      </c>
      <c r="DI3" s="1245" t="n">
        <f aca="false">'Cash Flow'!B25</f>
        <v>-395805.9718</v>
      </c>
      <c r="DJ3" s="1246" t="n">
        <f aca="false">'Cash Flow'!C25</f>
        <v>-412861.9718</v>
      </c>
      <c r="DK3" s="1246" t="n">
        <f aca="false">'Cash Flow'!D25</f>
        <v>-421260.529631429</v>
      </c>
      <c r="DL3" s="1246" t="n">
        <f aca="false">'Cash Flow'!E25</f>
        <v>-384005.078357812</v>
      </c>
      <c r="DM3" s="1246" t="n">
        <f aca="false">'Cash Flow'!F25</f>
        <v>-346620.184915624</v>
      </c>
      <c r="DN3" s="1246" t="n">
        <f aca="false">'Cash Flow'!G25</f>
        <v>-293170.398031247</v>
      </c>
      <c r="DO3" s="1246" t="n">
        <f aca="false">'Cash Flow'!H25</f>
        <v>-329502.211146871</v>
      </c>
      <c r="DP3" s="1246" t="n">
        <f aca="false">'Cash Flow'!I25</f>
        <v>-323383.693717655</v>
      </c>
      <c r="DQ3" s="1246" t="n">
        <f aca="false">'Cash Flow'!J25</f>
        <v>-286581.439850612</v>
      </c>
      <c r="DR3" s="1246" t="n">
        <f aca="false">'Cash Flow'!K25</f>
        <v>-252553.470602261</v>
      </c>
      <c r="DS3" s="1246" t="n">
        <f aca="false">'Cash Flow'!L25</f>
        <v>-209831.414324076</v>
      </c>
      <c r="DT3" s="1247" t="n">
        <f aca="false">'Cash Flow'!M25</f>
        <v>-175631.011098656</v>
      </c>
      <c r="DU3" s="1167"/>
      <c r="DV3" s="1157"/>
      <c r="DW3" s="1253" t="s">
        <v>1492</v>
      </c>
      <c r="DX3" s="1254"/>
      <c r="DY3" s="1255"/>
      <c r="DZ3" s="1255"/>
      <c r="EA3" s="1255"/>
      <c r="EB3" s="1256"/>
      <c r="EC3" s="1167"/>
      <c r="ED3" s="1157"/>
      <c r="EE3" s="1238" t="str">
        <f aca="false">'Balance Sheet'!A2</f>
        <v>Current Assets</v>
      </c>
      <c r="EF3" s="1245"/>
      <c r="EG3" s="1246"/>
      <c r="EH3" s="1246"/>
      <c r="EI3" s="1246"/>
      <c r="EJ3" s="1246"/>
      <c r="EK3" s="1246"/>
      <c r="EL3" s="1246"/>
      <c r="EM3" s="1246"/>
      <c r="EN3" s="1246"/>
      <c r="EO3" s="1246"/>
      <c r="EP3" s="1246"/>
      <c r="EQ3" s="1247"/>
      <c r="ER3" s="1167"/>
      <c r="ES3" s="1163"/>
      <c r="ET3" s="1257" t="str">
        <f aca="false">'P&amp;L'!A25</f>
        <v>Gross Margin</v>
      </c>
      <c r="EU3" s="1236"/>
      <c r="EV3" s="1217"/>
      <c r="EW3" s="1217"/>
      <c r="EX3" s="1217"/>
      <c r="EY3" s="1218"/>
      <c r="EZ3" s="1167"/>
      <c r="FA3" s="1165"/>
      <c r="FB3" s="1213"/>
      <c r="FC3" s="1214"/>
      <c r="FD3" s="1214"/>
      <c r="FE3" s="1214"/>
      <c r="FF3" s="1214"/>
      <c r="FG3" s="1215"/>
      <c r="FH3" s="1167"/>
      <c r="FI3" s="1189"/>
      <c r="FJ3" s="1139"/>
      <c r="FK3" s="1216" t="str">
        <f aca="false">Existing!A3</f>
        <v>Gross Margin</v>
      </c>
      <c r="FL3" s="1217" t="n">
        <f aca="false">Existing!B3</f>
        <v>85771935.9313818</v>
      </c>
      <c r="FM3" s="1217" t="n">
        <f aca="false">Existing!C3</f>
        <v>31558308.8132484</v>
      </c>
      <c r="FN3" s="1218" t="n">
        <f aca="false">Existing!D3</f>
        <v>3708956.92179236</v>
      </c>
      <c r="FO3" s="1189"/>
      <c r="FP3" s="1163"/>
      <c r="FQ3" s="1216" t="s">
        <v>1904</v>
      </c>
      <c r="FR3" s="1217"/>
      <c r="FS3" s="1217" t="n">
        <f aca="false">'P&amp;L'!BK19/'P&amp;L'!BJ19-1</f>
        <v>5.47930061240245</v>
      </c>
      <c r="FT3" s="1217" t="n">
        <f aca="false">'P&amp;L'!BL19/'P&amp;L'!BK19-1</f>
        <v>1.63322884012539</v>
      </c>
      <c r="FU3" s="1217" t="n">
        <f aca="false">'P&amp;L'!BM19/'P&amp;L'!BL19-1</f>
        <v>0.0833333333333335</v>
      </c>
      <c r="FV3" s="1218" t="n">
        <f aca="false">'P&amp;L'!BN19/'P&amp;L'!BM19-1</f>
        <v>0.0769230769230769</v>
      </c>
      <c r="FW3" s="1167"/>
      <c r="FX3" s="1173"/>
      <c r="FY3" s="1174"/>
      <c r="FZ3" s="1175"/>
      <c r="GA3" s="1258"/>
      <c r="GB3" s="1217"/>
      <c r="GC3" s="1217"/>
      <c r="GD3" s="1217"/>
      <c r="GE3" s="1217"/>
      <c r="GF3" s="1218"/>
      <c r="GG3" s="1189"/>
      <c r="GH3" s="1189"/>
      <c r="GI3" s="1178"/>
      <c r="GJ3" s="1216"/>
      <c r="GK3" s="1217"/>
      <c r="GL3" s="1217"/>
      <c r="GM3" s="1217"/>
      <c r="GN3" s="1217"/>
      <c r="GO3" s="1218"/>
      <c r="GP3" s="1167"/>
      <c r="GQ3" s="1167"/>
      <c r="GR3" s="1167"/>
      <c r="GS3" s="1163"/>
      <c r="GT3" s="1213"/>
      <c r="GU3" s="1221"/>
      <c r="GV3" s="1221"/>
      <c r="GW3" s="1221"/>
      <c r="GX3" s="1221"/>
      <c r="GY3" s="1221"/>
      <c r="GZ3" s="1221"/>
      <c r="HA3" s="1221"/>
      <c r="HB3" s="1221"/>
      <c r="HC3" s="1221"/>
      <c r="HD3" s="1221"/>
      <c r="HE3" s="1221"/>
      <c r="HF3" s="1222"/>
      <c r="HG3" s="1167"/>
      <c r="HH3" s="1167"/>
      <c r="HI3" s="1167"/>
      <c r="HJ3" s="1178"/>
      <c r="HK3" s="1223"/>
      <c r="HL3" s="1217"/>
      <c r="HM3" s="1217"/>
      <c r="HN3" s="1217"/>
      <c r="HO3" s="1217"/>
      <c r="HP3" s="1217"/>
      <c r="HQ3" s="1218"/>
    </row>
    <row r="4" customFormat="false" ht="12.75" hidden="false" customHeight="true" outlineLevel="0" collapsed="false">
      <c r="A4" s="1139"/>
      <c r="B4" s="1224" t="n">
        <f aca="false">'Sources &amp; Uses'!A8</f>
        <v>0</v>
      </c>
      <c r="C4" s="1225" t="str">
        <f aca="false">'Sources &amp; Uses'!B8</f>
        <v>.</v>
      </c>
      <c r="D4" s="1167"/>
      <c r="E4" s="1139"/>
      <c r="F4" s="1224" t="str">
        <f aca="false">'Sources &amp; Uses'!E6</f>
        <v>Investor</v>
      </c>
      <c r="G4" s="1225" t="n">
        <f aca="false">'Sources &amp; Uses'!F6</f>
        <v>0</v>
      </c>
      <c r="H4" s="1167"/>
      <c r="I4" s="1139"/>
      <c r="J4" s="1226" t="str">
        <f aca="false">Personnel!A4</f>
        <v>Admin</v>
      </c>
      <c r="K4" s="1227" t="n">
        <f aca="false">Personnel!BL4</f>
        <v>1</v>
      </c>
      <c r="L4" s="1228" t="n">
        <f aca="false">Personnel!BM4</f>
        <v>2</v>
      </c>
      <c r="M4" s="1228" t="n">
        <f aca="false">Personnel!BN4</f>
        <v>3</v>
      </c>
      <c r="N4" s="1228" t="n">
        <f aca="false">Personnel!BO4</f>
        <v>3</v>
      </c>
      <c r="O4" s="1229" t="n">
        <f aca="false">Personnel!BP4</f>
        <v>3</v>
      </c>
      <c r="P4" s="1230"/>
      <c r="Q4" s="1146"/>
      <c r="R4" s="1231" t="str">
        <f aca="false">Personnel!A4</f>
        <v>Admin</v>
      </c>
      <c r="S4" s="1232" t="n">
        <f aca="false">Personnel!D4</f>
        <v>1</v>
      </c>
      <c r="T4" s="1233" t="n">
        <f aca="false">Personnel!E4</f>
        <v>1</v>
      </c>
      <c r="U4" s="1233" t="n">
        <f aca="false">Personnel!F4</f>
        <v>1</v>
      </c>
      <c r="V4" s="1233" t="n">
        <f aca="false">Personnel!G4</f>
        <v>1</v>
      </c>
      <c r="W4" s="1233" t="n">
        <f aca="false">Personnel!H4</f>
        <v>1</v>
      </c>
      <c r="X4" s="1233" t="n">
        <f aca="false">Personnel!I4</f>
        <v>1</v>
      </c>
      <c r="Y4" s="1233" t="n">
        <f aca="false">Personnel!J4</f>
        <v>1</v>
      </c>
      <c r="Z4" s="1233" t="n">
        <f aca="false">Personnel!K4</f>
        <v>1</v>
      </c>
      <c r="AA4" s="1233" t="n">
        <f aca="false">Personnel!L4</f>
        <v>1</v>
      </c>
      <c r="AB4" s="1233" t="n">
        <f aca="false">Personnel!M4</f>
        <v>1</v>
      </c>
      <c r="AC4" s="1233" t="n">
        <f aca="false">Personnel!N4</f>
        <v>1</v>
      </c>
      <c r="AD4" s="1234" t="n">
        <f aca="false">Personnel!O4</f>
        <v>1</v>
      </c>
      <c r="AE4" s="1167"/>
      <c r="AF4" s="1139"/>
      <c r="AG4" s="1235"/>
      <c r="AH4" s="1236"/>
      <c r="AI4" s="1217"/>
      <c r="AJ4" s="1217"/>
      <c r="AK4" s="1217"/>
      <c r="AL4" s="1218"/>
      <c r="AM4" s="1189"/>
      <c r="AN4" s="1139"/>
      <c r="AO4" s="1237"/>
      <c r="AP4" s="1221"/>
      <c r="AQ4" s="1221"/>
      <c r="AR4" s="1221"/>
      <c r="AS4" s="1221"/>
      <c r="AT4" s="1221"/>
      <c r="AU4" s="1221"/>
      <c r="AV4" s="1221"/>
      <c r="AW4" s="1221"/>
      <c r="AX4" s="1221"/>
      <c r="AY4" s="1221"/>
      <c r="AZ4" s="1221"/>
      <c r="BA4" s="1222"/>
      <c r="BB4" s="1189"/>
      <c r="BC4" s="1189"/>
      <c r="BD4" s="1139"/>
      <c r="BE4" s="1235" t="str">
        <f aca="false">Revenue!A71</f>
        <v>CS-42</v>
      </c>
      <c r="BF4" s="1227" t="n">
        <f aca="false">Revenue!BJ71</f>
        <v>5431.54761904762</v>
      </c>
      <c r="BG4" s="1228" t="n">
        <f aca="false">Revenue!BK71</f>
        <v>25892.8571428572</v>
      </c>
      <c r="BH4" s="1228" t="n">
        <f aca="false">Revenue!BL71</f>
        <v>62500</v>
      </c>
      <c r="BI4" s="1228" t="n">
        <f aca="false">Revenue!BM71</f>
        <v>62500</v>
      </c>
      <c r="BJ4" s="1229" t="n">
        <f aca="false">Revenue!BN71</f>
        <v>62500</v>
      </c>
      <c r="BK4" s="1198"/>
      <c r="BL4" s="1139"/>
      <c r="BM4" s="1242" t="str">
        <f aca="false">Revenue!A71</f>
        <v>CS-42</v>
      </c>
      <c r="BN4" s="1232" t="n">
        <f aca="false">Revenue!G71</f>
        <v>297.619047619048</v>
      </c>
      <c r="BO4" s="1233" t="n">
        <f aca="false">Revenue!H71</f>
        <v>446.428571428571</v>
      </c>
      <c r="BP4" s="1233" t="n">
        <f aca="false">Revenue!I71</f>
        <v>595.238095238095</v>
      </c>
      <c r="BQ4" s="1233" t="n">
        <f aca="false">Revenue!J71</f>
        <v>744.047619047619</v>
      </c>
      <c r="BR4" s="1233" t="n">
        <f aca="false">Revenue!K71</f>
        <v>892.857142857143</v>
      </c>
      <c r="BS4" s="1233" t="n">
        <f aca="false">Revenue!L71</f>
        <v>1041.66666666667</v>
      </c>
      <c r="BT4" s="1233" t="n">
        <f aca="false">Revenue!M71</f>
        <v>1190.47619047619</v>
      </c>
      <c r="BU4" s="1233" t="n">
        <f aca="false">Revenue!N71</f>
        <v>1339.28571428571</v>
      </c>
      <c r="BV4" s="1233" t="n">
        <f aca="false">Revenue!O71</f>
        <v>1488.09523809524</v>
      </c>
      <c r="BW4" s="1233"/>
      <c r="BX4" s="1233"/>
      <c r="BY4" s="1234"/>
      <c r="BZ4" s="1189"/>
      <c r="CA4" s="1189"/>
      <c r="CB4" s="1139"/>
      <c r="CC4" s="1243" t="str">
        <f aca="false">'P&amp;L'!A25</f>
        <v>Gross Margin</v>
      </c>
      <c r="CD4" s="1217"/>
      <c r="CE4" s="1217"/>
      <c r="CF4" s="1217"/>
      <c r="CG4" s="1217"/>
      <c r="CH4" s="1218"/>
      <c r="CI4" s="1167"/>
      <c r="CJ4" s="1139"/>
      <c r="CK4" s="1244" t="str">
        <f aca="false">CC4</f>
        <v>Gross Margin</v>
      </c>
      <c r="CL4" s="1245" t="n">
        <f aca="false">'P&amp;L'!B25</f>
        <v>0</v>
      </c>
      <c r="CM4" s="1246" t="n">
        <f aca="false">'P&amp;L'!C25</f>
        <v>0</v>
      </c>
      <c r="CN4" s="1246" t="n">
        <f aca="false">'P&amp;L'!D25</f>
        <v>221.156168571428</v>
      </c>
      <c r="CO4" s="1246" t="n">
        <f aca="false">'P&amp;L'!E25</f>
        <v>50804.599529093</v>
      </c>
      <c r="CP4" s="1246" t="n">
        <f aca="false">'P&amp;L'!F25</f>
        <v>101609.199058186</v>
      </c>
      <c r="CQ4" s="1246" t="n">
        <f aca="false">'P&amp;L'!G25</f>
        <v>203218.398116372</v>
      </c>
      <c r="CR4" s="1246" t="n">
        <f aca="false">'P&amp;L'!H25</f>
        <v>304827.597174558</v>
      </c>
      <c r="CS4" s="1246" t="n">
        <f aca="false">'P&amp;L'!I25</f>
        <v>406436.796232744</v>
      </c>
      <c r="CT4" s="1246" t="n">
        <f aca="false">'P&amp;L'!J25</f>
        <v>508045.99529093</v>
      </c>
      <c r="CU4" s="1246" t="n">
        <f aca="false">'P&amp;L'!K25</f>
        <v>609655.194349116</v>
      </c>
      <c r="CV4" s="1246" t="n">
        <f aca="false">'P&amp;L'!L25</f>
        <v>711264.393407302</v>
      </c>
      <c r="CW4" s="1247" t="n">
        <f aca="false">'P&amp;L'!M25</f>
        <v>812873.592465487</v>
      </c>
      <c r="CX4" s="1167"/>
      <c r="CY4" s="1157"/>
      <c r="CZ4" s="1259" t="str">
        <f aca="false">'Cash Flow'!A26</f>
        <v>Adjustments to Net Profit</v>
      </c>
      <c r="DA4" s="1249"/>
      <c r="DB4" s="1250"/>
      <c r="DC4" s="1250"/>
      <c r="DD4" s="1250"/>
      <c r="DE4" s="1251"/>
      <c r="DF4" s="1167"/>
      <c r="DG4" s="1139"/>
      <c r="DH4" s="1260" t="str">
        <f aca="false">CZ4</f>
        <v>Adjustments to Net Profit</v>
      </c>
      <c r="DI4" s="1245"/>
      <c r="DJ4" s="1246"/>
      <c r="DK4" s="1246"/>
      <c r="DL4" s="1246"/>
      <c r="DM4" s="1246"/>
      <c r="DN4" s="1246"/>
      <c r="DO4" s="1246"/>
      <c r="DP4" s="1246"/>
      <c r="DQ4" s="1246"/>
      <c r="DR4" s="1246"/>
      <c r="DS4" s="1246"/>
      <c r="DT4" s="1247"/>
      <c r="DU4" s="1167"/>
      <c r="DV4" s="1157"/>
      <c r="DW4" s="1253" t="str">
        <f aca="false">'Balance Sheet'!A3</f>
        <v>Cash</v>
      </c>
      <c r="DX4" s="1261" t="n">
        <f aca="false">'Balance Sheet'!BJ3</f>
        <v>6344386.38122366</v>
      </c>
      <c r="DY4" s="1262" t="n">
        <f aca="false">'Balance Sheet'!BK3</f>
        <v>13935660.5086761</v>
      </c>
      <c r="DZ4" s="1262" t="n">
        <f aca="false">'Balance Sheet'!BL3</f>
        <v>54173400.9296542</v>
      </c>
      <c r="EA4" s="1262" t="n">
        <f aca="false">'Balance Sheet'!BM3</f>
        <v>102460676.595165</v>
      </c>
      <c r="EB4" s="1263" t="n">
        <f aca="false">'Balance Sheet'!BN3</f>
        <v>156992240.958111</v>
      </c>
      <c r="EC4" s="1167"/>
      <c r="ED4" s="1157"/>
      <c r="EE4" s="1235" t="str">
        <f aca="false">'Balance Sheet'!A3</f>
        <v>Cash</v>
      </c>
      <c r="EF4" s="1245" t="n">
        <f aca="false">'Balance Sheet'!B3</f>
        <v>9994578.0003863</v>
      </c>
      <c r="EG4" s="1246" t="n">
        <f aca="false">'Balance Sheet'!C3</f>
        <v>9598538.38475069</v>
      </c>
      <c r="EH4" s="1246" t="n">
        <f aca="false">'Balance Sheet'!D3</f>
        <v>9185561.36421327</v>
      </c>
      <c r="EI4" s="1246" t="n">
        <f aca="false">'Balance Sheet'!E3</f>
        <v>8764811.18322942</v>
      </c>
      <c r="EJ4" s="1246" t="n">
        <f aca="false">'Balance Sheet'!F3</f>
        <v>8381318.22669959</v>
      </c>
      <c r="EK4" s="1246" t="n">
        <f aca="false">'Balance Sheet'!G3</f>
        <v>8035430.23064539</v>
      </c>
      <c r="EL4" s="1246" t="n">
        <f aca="false">'Balance Sheet'!H3</f>
        <v>7711016.57141172</v>
      </c>
      <c r="EM4" s="1246" t="n">
        <f aca="false">'Balance Sheet'!I3</f>
        <v>7371571.85376486</v>
      </c>
      <c r="EN4" s="1246" t="n">
        <f aca="false">'Balance Sheet'!J3</f>
        <v>7050502.8255245</v>
      </c>
      <c r="EO4" s="1246" t="n">
        <f aca="false">'Balance Sheet'!K3</f>
        <v>6770955.57916217</v>
      </c>
      <c r="EP4" s="1246" t="n">
        <f aca="false">'Balance Sheet'!L3</f>
        <v>6535843.4593412</v>
      </c>
      <c r="EQ4" s="1247" t="n">
        <f aca="false">'Balance Sheet'!M3</f>
        <v>6344386.38122366</v>
      </c>
      <c r="ER4" s="1167"/>
      <c r="ES4" s="1163"/>
      <c r="ET4" s="1257" t="s">
        <v>1490</v>
      </c>
      <c r="EU4" s="1236" t="n">
        <f aca="false">'P&amp;L'!BJ41</f>
        <v>7158057.74494405</v>
      </c>
      <c r="EV4" s="1217" t="n">
        <f aca="false">'P&amp;L'!BK41</f>
        <v>20895282.5696614</v>
      </c>
      <c r="EW4" s="1217" t="n">
        <f aca="false">'P&amp;L'!BL41</f>
        <v>35027776.063542</v>
      </c>
      <c r="EX4" s="1217" t="n">
        <f aca="false">'P&amp;L'!BM41</f>
        <v>37218991.7694791</v>
      </c>
      <c r="EY4" s="1218" t="n">
        <f aca="false">'P&amp;L'!BN41</f>
        <v>39450126.2413681</v>
      </c>
      <c r="EZ4" s="1167"/>
      <c r="FA4" s="1165"/>
      <c r="FB4" s="1216" t="s">
        <v>228</v>
      </c>
      <c r="FC4" s="1217" t="n">
        <f aca="false">'Sensitivity Analysis'!BK19</f>
        <v>11266897.9709565</v>
      </c>
      <c r="FD4" s="1217" t="n">
        <f aca="false">'Sensitivity Analysis'!BL19</f>
        <v>72994785.1334664</v>
      </c>
      <c r="FE4" s="1217" t="n">
        <f aca="false">'Sensitivity Analysis'!BM19</f>
        <v>192211973.3922</v>
      </c>
      <c r="FF4" s="1217" t="n">
        <f aca="false">'Sensitivity Analysis'!BN19</f>
        <v>208229637.84155</v>
      </c>
      <c r="FG4" s="1218" t="n">
        <f aca="false">'Sensitivity Analysis'!BO19</f>
        <v>224247302.2909</v>
      </c>
      <c r="FH4" s="1167"/>
      <c r="FI4" s="1189"/>
      <c r="FJ4" s="1139"/>
      <c r="FK4" s="1216" t="s">
        <v>1905</v>
      </c>
      <c r="FL4" s="1217" t="n">
        <f aca="false">IF(FL2=0,0,FL3/FL2)</f>
        <v>0.51317160206156</v>
      </c>
      <c r="FM4" s="1217" t="n">
        <f aca="false">IF(FM2=0,0,FM3/FM2)</f>
        <v>0.497186957518649</v>
      </c>
      <c r="FN4" s="1218" t="n">
        <f aca="false">IF(FN2=0,0,FN3/FN2)</f>
        <v>0.378569191897909</v>
      </c>
      <c r="FO4" s="1189"/>
      <c r="FP4" s="1163"/>
      <c r="FQ4" s="1216" t="s">
        <v>1906</v>
      </c>
      <c r="FR4" s="1217"/>
      <c r="FS4" s="1217" t="n">
        <f aca="false">'P&amp;L'!BK41/'P&amp;L'!BJ41-1</f>
        <v>1.91912741056335</v>
      </c>
      <c r="FT4" s="1217" t="n">
        <f aca="false">'P&amp;L'!BL41/'P&amp;L'!BK41-1</f>
        <v>0.676348522532067</v>
      </c>
      <c r="FU4" s="1217" t="n">
        <f aca="false">'P&amp;L'!BM41/'P&amp;L'!BL41-1</f>
        <v>0.062556518060471</v>
      </c>
      <c r="FV4" s="1218" t="n">
        <f aca="false">'P&amp;L'!BN41/'P&amp;L'!BM41-1</f>
        <v>0.0599461287320138</v>
      </c>
      <c r="FW4" s="1167"/>
      <c r="FX4" s="1173"/>
      <c r="FY4" s="1174"/>
      <c r="FZ4" s="1175"/>
      <c r="GA4" s="1258"/>
      <c r="GB4" s="1217"/>
      <c r="GC4" s="1217"/>
      <c r="GD4" s="1217"/>
      <c r="GE4" s="1217"/>
      <c r="GF4" s="1218"/>
      <c r="GG4" s="1189"/>
      <c r="GH4" s="1189"/>
      <c r="GI4" s="1178"/>
      <c r="GJ4" s="1258"/>
      <c r="GK4" s="1217"/>
      <c r="GL4" s="1217"/>
      <c r="GM4" s="1217"/>
      <c r="GN4" s="1217"/>
      <c r="GO4" s="1218"/>
      <c r="GP4" s="1167"/>
      <c r="GQ4" s="1167"/>
      <c r="GR4" s="1167"/>
      <c r="GS4" s="1163"/>
      <c r="GT4" s="1216"/>
      <c r="GU4" s="1221"/>
      <c r="GV4" s="1221"/>
      <c r="GW4" s="1221"/>
      <c r="GX4" s="1221"/>
      <c r="GY4" s="1221"/>
      <c r="GZ4" s="1221"/>
      <c r="HA4" s="1221"/>
      <c r="HB4" s="1221"/>
      <c r="HC4" s="1221"/>
      <c r="HD4" s="1221"/>
      <c r="HE4" s="1221"/>
      <c r="HF4" s="1222"/>
      <c r="HG4" s="1167"/>
      <c r="HH4" s="1167"/>
      <c r="HI4" s="1167"/>
      <c r="HJ4" s="1178"/>
      <c r="HK4" s="1264"/>
      <c r="HL4" s="1217"/>
      <c r="HM4" s="1217"/>
      <c r="HN4" s="1217"/>
      <c r="HO4" s="1217"/>
      <c r="HP4" s="1217"/>
      <c r="HQ4" s="1218"/>
    </row>
    <row r="5" customFormat="false" ht="12.75" hidden="false" customHeight="true" outlineLevel="0" collapsed="false">
      <c r="A5" s="1139"/>
      <c r="B5" s="1265" t="s">
        <v>1521</v>
      </c>
      <c r="C5" s="1266" t="n">
        <f aca="false">'Sources &amp; Uses'!B10</f>
        <v>33461850.4</v>
      </c>
      <c r="D5" s="1167"/>
      <c r="E5" s="1139"/>
      <c r="F5" s="1265" t="s">
        <v>1521</v>
      </c>
      <c r="G5" s="1266" t="n">
        <f aca="false">'Sources &amp; Uses'!F7</f>
        <v>0</v>
      </c>
      <c r="H5" s="1167"/>
      <c r="I5" s="1139"/>
      <c r="J5" s="1226" t="str">
        <f aca="false">Personnel!A5</f>
        <v>Trades -2</v>
      </c>
      <c r="K5" s="1227" t="n">
        <f aca="false">Personnel!BL5</f>
        <v>0</v>
      </c>
      <c r="L5" s="1228" t="n">
        <f aca="false">Personnel!BM5</f>
        <v>80</v>
      </c>
      <c r="M5" s="1228" t="n">
        <f aca="false">Personnel!BN5</f>
        <v>80</v>
      </c>
      <c r="N5" s="1228" t="n">
        <f aca="false">Personnel!BO5</f>
        <v>80</v>
      </c>
      <c r="O5" s="1229" t="n">
        <f aca="false">Personnel!BP5</f>
        <v>80</v>
      </c>
      <c r="P5" s="1230"/>
      <c r="Q5" s="1146"/>
      <c r="R5" s="1231" t="str">
        <f aca="false">Personnel!A5</f>
        <v>Trades -2</v>
      </c>
      <c r="S5" s="1232" t="n">
        <f aca="false">Personnel!D5</f>
        <v>0</v>
      </c>
      <c r="T5" s="1233" t="n">
        <f aca="false">Personnel!E5</f>
        <v>0</v>
      </c>
      <c r="U5" s="1233" t="n">
        <f aca="false">Personnel!F5</f>
        <v>0</v>
      </c>
      <c r="V5" s="1233" t="n">
        <f aca="false">Personnel!G5</f>
        <v>0</v>
      </c>
      <c r="W5" s="1233" t="n">
        <f aca="false">Personnel!H5</f>
        <v>0</v>
      </c>
      <c r="X5" s="1233" t="n">
        <f aca="false">Personnel!I5</f>
        <v>0</v>
      </c>
      <c r="Y5" s="1233" t="n">
        <f aca="false">Personnel!J5</f>
        <v>0</v>
      </c>
      <c r="Z5" s="1233" t="n">
        <f aca="false">Personnel!K5</f>
        <v>0</v>
      </c>
      <c r="AA5" s="1233" t="n">
        <f aca="false">Personnel!L5</f>
        <v>0</v>
      </c>
      <c r="AB5" s="1233" t="n">
        <f aca="false">Personnel!M5</f>
        <v>0</v>
      </c>
      <c r="AC5" s="1233" t="n">
        <f aca="false">Personnel!N5</f>
        <v>0</v>
      </c>
      <c r="AD5" s="1234" t="n">
        <f aca="false">Personnel!O5</f>
        <v>0</v>
      </c>
      <c r="AE5" s="1167"/>
      <c r="AF5" s="1139"/>
      <c r="AG5" s="1235"/>
      <c r="AH5" s="1236"/>
      <c r="AI5" s="1217"/>
      <c r="AJ5" s="1217"/>
      <c r="AK5" s="1217"/>
      <c r="AL5" s="1218"/>
      <c r="AM5" s="1189"/>
      <c r="AN5" s="1139"/>
      <c r="AO5" s="1237"/>
      <c r="AP5" s="1221"/>
      <c r="AQ5" s="1221"/>
      <c r="AR5" s="1221"/>
      <c r="AS5" s="1221"/>
      <c r="AT5" s="1221"/>
      <c r="AU5" s="1221"/>
      <c r="AV5" s="1221"/>
      <c r="AW5" s="1221"/>
      <c r="AX5" s="1221"/>
      <c r="AY5" s="1221"/>
      <c r="AZ5" s="1221"/>
      <c r="BA5" s="1222"/>
      <c r="BB5" s="1189"/>
      <c r="BC5" s="1189"/>
      <c r="BD5" s="1139"/>
      <c r="BE5" s="1235" t="str">
        <f aca="false">Revenue!A72</f>
        <v>CS-48</v>
      </c>
      <c r="BF5" s="1227" t="n">
        <f aca="false">Revenue!BJ72</f>
        <v>5431.54761904762</v>
      </c>
      <c r="BG5" s="1228" t="n">
        <f aca="false">Revenue!BK72</f>
        <v>25892.8571428572</v>
      </c>
      <c r="BH5" s="1228" t="n">
        <f aca="false">Revenue!BL72</f>
        <v>62500</v>
      </c>
      <c r="BI5" s="1228" t="n">
        <f aca="false">Revenue!BM72</f>
        <v>62500</v>
      </c>
      <c r="BJ5" s="1229" t="n">
        <f aca="false">Revenue!BN72</f>
        <v>62500</v>
      </c>
      <c r="BK5" s="1198"/>
      <c r="BL5" s="1139"/>
      <c r="BM5" s="1242" t="str">
        <f aca="false">Revenue!A72</f>
        <v>CS-48</v>
      </c>
      <c r="BN5" s="1232" t="n">
        <f aca="false">Revenue!G72</f>
        <v>297.619047619048</v>
      </c>
      <c r="BO5" s="1233" t="n">
        <f aca="false">Revenue!H72</f>
        <v>446.428571428571</v>
      </c>
      <c r="BP5" s="1233" t="n">
        <f aca="false">Revenue!I72</f>
        <v>595.238095238095</v>
      </c>
      <c r="BQ5" s="1233" t="n">
        <f aca="false">Revenue!J72</f>
        <v>744.047619047619</v>
      </c>
      <c r="BR5" s="1233" t="n">
        <f aca="false">Revenue!K72</f>
        <v>892.857142857143</v>
      </c>
      <c r="BS5" s="1233" t="n">
        <f aca="false">Revenue!L72</f>
        <v>1041.66666666667</v>
      </c>
      <c r="BT5" s="1233" t="n">
        <f aca="false">Revenue!M72</f>
        <v>1190.47619047619</v>
      </c>
      <c r="BU5" s="1233" t="n">
        <f aca="false">Revenue!N72</f>
        <v>1339.28571428571</v>
      </c>
      <c r="BV5" s="1233" t="n">
        <f aca="false">Revenue!O72</f>
        <v>1488.09523809524</v>
      </c>
      <c r="BW5" s="1233"/>
      <c r="BX5" s="1233"/>
      <c r="BY5" s="1234"/>
      <c r="BZ5" s="1189"/>
      <c r="CA5" s="1189"/>
      <c r="CB5" s="1139"/>
      <c r="CC5" s="1267" t="str">
        <f aca="false">'P&amp;L'!A26</f>
        <v>Gross Margin/Revenue</v>
      </c>
      <c r="CD5" s="1268"/>
      <c r="CE5" s="1268"/>
      <c r="CF5" s="1268"/>
      <c r="CG5" s="1268"/>
      <c r="CH5" s="1269"/>
      <c r="CI5" s="1167"/>
      <c r="CJ5" s="1139"/>
      <c r="CK5" s="1270" t="str">
        <f aca="false">CC5</f>
        <v>Gross Margin/Revenue</v>
      </c>
      <c r="CL5" s="1271" t="str">
        <f aca="false">IF(CL2=0,"N/A",1-CL3/CL2)</f>
        <v>N/A</v>
      </c>
      <c r="CM5" s="1272" t="str">
        <f aca="false">IF(CM2=0,"N/A",1-CM3/CM2)</f>
        <v>N/A</v>
      </c>
      <c r="CN5" s="1272" t="n">
        <f aca="false">IF(CN2=0,"N/A",1-CN3/CN2)</f>
        <v>0.241136760550656</v>
      </c>
      <c r="CO5" s="1272" t="n">
        <f aca="false">IF(CO2=0,"N/A",1-CO3/CO2)</f>
        <v>0.378582058355728</v>
      </c>
      <c r="CP5" s="1272" t="n">
        <f aca="false">IF(CP2=0,"N/A",1-CP3/CP2)</f>
        <v>0.378582058355728</v>
      </c>
      <c r="CQ5" s="1272" t="n">
        <f aca="false">IF(CQ2=0,"N/A",1-CQ3/CQ2)</f>
        <v>0.378582058355728</v>
      </c>
      <c r="CR5" s="1272" t="n">
        <f aca="false">IF(CR2=0,"N/A",1-CR3/CR2)</f>
        <v>0.378582058355728</v>
      </c>
      <c r="CS5" s="1272" t="n">
        <f aca="false">IF(CS2=0,"N/A",1-CS3/CS2)</f>
        <v>0.378582058355728</v>
      </c>
      <c r="CT5" s="1272" t="n">
        <f aca="false">IF(CT2=0,"N/A",1-CT3/CT2)</f>
        <v>0.378582058355728</v>
      </c>
      <c r="CU5" s="1272" t="n">
        <f aca="false">IF(CU2=0,"N/A",1-CU3/CU2)</f>
        <v>0.378582058355728</v>
      </c>
      <c r="CV5" s="1272" t="n">
        <f aca="false">IF(CV2=0,"N/A",1-CV3/CV2)</f>
        <v>0.378582058355728</v>
      </c>
      <c r="CW5" s="1273" t="n">
        <f aca="false">IF(CW2=0,"N/A",1-CW3/CW2)</f>
        <v>0.378582058355728</v>
      </c>
      <c r="CX5" s="1167"/>
      <c r="CY5" s="1157"/>
      <c r="CZ5" s="1226" t="str">
        <f aca="false">'Cash Flow'!A27</f>
        <v>Depreciation &amp; Amortization</v>
      </c>
      <c r="DA5" s="1249" t="n">
        <f aca="false">'Cash Flow'!BJ27</f>
        <v>644079.825</v>
      </c>
      <c r="DB5" s="1250" t="n">
        <f aca="false">'Cash Flow'!BK27</f>
        <v>2334534.66</v>
      </c>
      <c r="DC5" s="1250" t="n">
        <f aca="false">'Cash Flow'!BL27</f>
        <v>2346185.04</v>
      </c>
      <c r="DD5" s="1250" t="n">
        <f aca="false">'Cash Flow'!BM27</f>
        <v>2346185.04</v>
      </c>
      <c r="DE5" s="1251" t="n">
        <f aca="false">'Cash Flow'!BN27</f>
        <v>2346185.04</v>
      </c>
      <c r="DF5" s="1274"/>
      <c r="DG5" s="1139"/>
      <c r="DH5" s="1235" t="str">
        <f aca="false">CZ5</f>
        <v>Depreciation &amp; Amortization</v>
      </c>
      <c r="DI5" s="1245" t="n">
        <f aca="false">'Cash Flow'!B27</f>
        <v>0</v>
      </c>
      <c r="DJ5" s="1246" t="n">
        <f aca="false">'Cash Flow'!C27</f>
        <v>0</v>
      </c>
      <c r="DK5" s="1246" t="n">
        <f aca="false">'Cash Flow'!D27</f>
        <v>0</v>
      </c>
      <c r="DL5" s="1246" t="n">
        <f aca="false">'Cash Flow'!E27</f>
        <v>0</v>
      </c>
      <c r="DM5" s="1246" t="n">
        <f aca="false">'Cash Flow'!F27</f>
        <v>0</v>
      </c>
      <c r="DN5" s="1246" t="n">
        <f aca="false">'Cash Flow'!G27</f>
        <v>0</v>
      </c>
      <c r="DO5" s="1246" t="n">
        <f aca="false">'Cash Flow'!H27</f>
        <v>42788.5</v>
      </c>
      <c r="DP5" s="1246" t="n">
        <f aca="false">'Cash Flow'!I27</f>
        <v>72468.455</v>
      </c>
      <c r="DQ5" s="1246" t="n">
        <f aca="false">'Cash Flow'!J27</f>
        <v>96364.48</v>
      </c>
      <c r="DR5" s="1246" t="n">
        <f aca="false">'Cash Flow'!K27</f>
        <v>122049.945</v>
      </c>
      <c r="DS5" s="1246" t="n">
        <f aca="false">'Cash Flow'!L27</f>
        <v>142361.49</v>
      </c>
      <c r="DT5" s="1247" t="n">
        <f aca="false">'Cash Flow'!M27</f>
        <v>168046.955</v>
      </c>
      <c r="DU5" s="1274"/>
      <c r="DV5" s="1157"/>
      <c r="DW5" s="1253" t="str">
        <f aca="false">'Balance Sheet'!A4</f>
        <v>Accounts Receivable</v>
      </c>
      <c r="DX5" s="1261" t="n">
        <f aca="false">'Balance Sheet'!BJ4</f>
        <v>2117739.91946771</v>
      </c>
      <c r="DY5" s="1262" t="n">
        <f aca="false">'Balance Sheet'!BK4</f>
        <v>7195887.71314286</v>
      </c>
      <c r="DZ5" s="1262" t="n">
        <f aca="false">'Balance Sheet'!BL4</f>
        <v>13737603.816</v>
      </c>
      <c r="EA5" s="1262" t="n">
        <f aca="false">'Balance Sheet'!BM4</f>
        <v>14882404.134</v>
      </c>
      <c r="EB5" s="1263" t="n">
        <f aca="false">'Balance Sheet'!BN4</f>
        <v>16027204.452</v>
      </c>
      <c r="EC5" s="1167"/>
      <c r="ED5" s="1157"/>
      <c r="EE5" s="1235" t="str">
        <f aca="false">DW5</f>
        <v>Accounts Receivable</v>
      </c>
      <c r="EF5" s="1245" t="n">
        <f aca="false">'Balance Sheet'!B4</f>
        <v>0</v>
      </c>
      <c r="EG5" s="1246" t="n">
        <f aca="false">'Balance Sheet'!C4</f>
        <v>0</v>
      </c>
      <c r="EH5" s="1246" t="n">
        <f aca="false">'Balance Sheet'!D4</f>
        <v>904.576438356164</v>
      </c>
      <c r="EI5" s="1246" t="n">
        <f aca="false">'Balance Sheet'!E4</f>
        <v>132358.744966732</v>
      </c>
      <c r="EJ5" s="1246" t="n">
        <f aca="false">'Balance Sheet'!F4</f>
        <v>264717.489933464</v>
      </c>
      <c r="EK5" s="1246" t="n">
        <f aca="false">'Balance Sheet'!G4</f>
        <v>529434.979866928</v>
      </c>
      <c r="EL5" s="1246" t="n">
        <f aca="false">'Balance Sheet'!H4</f>
        <v>794152.469800392</v>
      </c>
      <c r="EM5" s="1246" t="n">
        <f aca="false">'Balance Sheet'!I4</f>
        <v>1058869.95973386</v>
      </c>
      <c r="EN5" s="1246" t="n">
        <f aca="false">'Balance Sheet'!J4</f>
        <v>1323587.44966732</v>
      </c>
      <c r="EO5" s="1246" t="n">
        <f aca="false">'Balance Sheet'!K4</f>
        <v>1588304.93960078</v>
      </c>
      <c r="EP5" s="1246" t="n">
        <f aca="false">'Balance Sheet'!L4</f>
        <v>1853022.42953425</v>
      </c>
      <c r="EQ5" s="1247" t="n">
        <f aca="false">'Balance Sheet'!M4</f>
        <v>2117739.91946771</v>
      </c>
      <c r="ER5" s="1167"/>
      <c r="ES5" s="1163"/>
      <c r="ET5" s="1275" t="s">
        <v>1907</v>
      </c>
      <c r="EU5" s="1276" t="n">
        <f aca="false">CD24</f>
        <v>-2805242.15432026</v>
      </c>
      <c r="EV5" s="1277" t="n">
        <f aca="false">CE24</f>
        <v>12997560.903587</v>
      </c>
      <c r="EW5" s="1277" t="n">
        <f aca="false">CF24</f>
        <v>53090344.9078398</v>
      </c>
      <c r="EX5" s="1277" t="n">
        <f aca="false">CG24</f>
        <v>60495836.9633747</v>
      </c>
      <c r="EY5" s="1278" t="n">
        <f aca="false">CH24</f>
        <v>67861410.2529576</v>
      </c>
      <c r="EZ5" s="1167"/>
      <c r="FA5" s="1165"/>
      <c r="FB5" s="1216" t="s">
        <v>1908</v>
      </c>
      <c r="FC5" s="1217" t="n">
        <f aca="false">'Sensitivity Analysis'!BK20</f>
        <v>7001597.51089534</v>
      </c>
      <c r="FD5" s="1217" t="n">
        <f aca="false">'Sensitivity Analysis'!BL20</f>
        <v>36702729.9982308</v>
      </c>
      <c r="FE5" s="1217" t="n">
        <f aca="false">'Sensitivity Analysis'!BM20</f>
        <v>93574247.0711108</v>
      </c>
      <c r="FF5" s="1217" t="n">
        <f aca="false">'Sensitivity Analysis'!BN20</f>
        <v>98555697.5947681</v>
      </c>
      <c r="FG5" s="1218" t="n">
        <f aca="false">'Sensitivity Analysis'!BO20</f>
        <v>103537148.118425</v>
      </c>
      <c r="FH5" s="1167"/>
      <c r="FI5" s="1189"/>
      <c r="FJ5" s="1139"/>
      <c r="FK5" s="1216" t="str">
        <f aca="false">Existing!A4</f>
        <v>Operating Expenses</v>
      </c>
      <c r="FL5" s="1217" t="n">
        <f aca="false">Existing!B4</f>
        <v>35027776.063542</v>
      </c>
      <c r="FM5" s="1217" t="n">
        <f aca="false">Existing!C4</f>
        <v>20895282.5696614</v>
      </c>
      <c r="FN5" s="1218" t="n">
        <f aca="false">Existing!D4</f>
        <v>7158057.74494405</v>
      </c>
      <c r="FO5" s="1189"/>
      <c r="FP5" s="1163"/>
      <c r="FQ5" s="1216"/>
      <c r="FR5" s="1217"/>
      <c r="FS5" s="1217"/>
      <c r="FT5" s="1217"/>
      <c r="FU5" s="1217"/>
      <c r="FV5" s="1218"/>
      <c r="FW5" s="1167"/>
      <c r="FX5" s="1173"/>
      <c r="FY5" s="1174"/>
      <c r="FZ5" s="1175"/>
      <c r="GA5" s="1258"/>
      <c r="GB5" s="1217"/>
      <c r="GC5" s="1217"/>
      <c r="GD5" s="1217"/>
      <c r="GE5" s="1217"/>
      <c r="GF5" s="1218"/>
      <c r="GG5" s="1189"/>
      <c r="GH5" s="1189"/>
      <c r="GI5" s="1178"/>
      <c r="GJ5" s="1216"/>
      <c r="GK5" s="1217"/>
      <c r="GL5" s="1217"/>
      <c r="GM5" s="1217"/>
      <c r="GN5" s="1217"/>
      <c r="GO5" s="1218"/>
      <c r="GP5" s="1167"/>
      <c r="GQ5" s="1167"/>
      <c r="GR5" s="1167"/>
      <c r="GS5" s="1163"/>
      <c r="GT5" s="1216"/>
      <c r="GU5" s="1221"/>
      <c r="GV5" s="1221"/>
      <c r="GW5" s="1221"/>
      <c r="GX5" s="1221"/>
      <c r="GY5" s="1221"/>
      <c r="GZ5" s="1221"/>
      <c r="HA5" s="1221"/>
      <c r="HB5" s="1221"/>
      <c r="HC5" s="1221"/>
      <c r="HD5" s="1221"/>
      <c r="HE5" s="1221"/>
      <c r="HF5" s="1222"/>
      <c r="HG5" s="1167"/>
      <c r="HH5" s="1167"/>
      <c r="HI5" s="1167"/>
      <c r="HJ5" s="1178"/>
      <c r="HK5" s="1223"/>
      <c r="HL5" s="1217"/>
      <c r="HM5" s="1217"/>
      <c r="HN5" s="1217"/>
      <c r="HO5" s="1217"/>
      <c r="HP5" s="1217"/>
      <c r="HQ5" s="1218"/>
    </row>
    <row r="6" customFormat="false" ht="12.75" hidden="false" customHeight="true" outlineLevel="0" collapsed="false">
      <c r="A6" s="1139"/>
      <c r="B6" s="1279" t="str">
        <f aca="false">'Sources &amp; Uses'!A12</f>
        <v>USES OF FUNDS</v>
      </c>
      <c r="C6" s="1279"/>
      <c r="D6" s="1167"/>
      <c r="E6" s="1139"/>
      <c r="F6" s="1279" t="str">
        <f aca="false">B6</f>
        <v>USES OF FUNDS</v>
      </c>
      <c r="G6" s="1279"/>
      <c r="H6" s="1167"/>
      <c r="I6" s="1139"/>
      <c r="J6" s="1226" t="str">
        <f aca="false">Personnel!A6</f>
        <v>Admin-2</v>
      </c>
      <c r="K6" s="1227" t="n">
        <f aca="false">Personnel!BL6</f>
        <v>0</v>
      </c>
      <c r="L6" s="1228" t="n">
        <f aca="false">Personnel!BM6</f>
        <v>0</v>
      </c>
      <c r="M6" s="1228" t="n">
        <f aca="false">Personnel!BN6</f>
        <v>0</v>
      </c>
      <c r="N6" s="1228" t="n">
        <f aca="false">Personnel!BO6</f>
        <v>0</v>
      </c>
      <c r="O6" s="1229" t="n">
        <f aca="false">Personnel!BP6</f>
        <v>0</v>
      </c>
      <c r="P6" s="1230"/>
      <c r="Q6" s="1146"/>
      <c r="R6" s="1231" t="str">
        <f aca="false">Personnel!A6</f>
        <v>Admin-2</v>
      </c>
      <c r="S6" s="1232" t="n">
        <f aca="false">Personnel!D6</f>
        <v>0</v>
      </c>
      <c r="T6" s="1233" t="n">
        <f aca="false">Personnel!E6</f>
        <v>0</v>
      </c>
      <c r="U6" s="1233" t="n">
        <f aca="false">Personnel!F6</f>
        <v>0</v>
      </c>
      <c r="V6" s="1233" t="n">
        <f aca="false">Personnel!G6</f>
        <v>0</v>
      </c>
      <c r="W6" s="1233" t="n">
        <f aca="false">Personnel!H6</f>
        <v>0</v>
      </c>
      <c r="X6" s="1233" t="n">
        <f aca="false">Personnel!I6</f>
        <v>0</v>
      </c>
      <c r="Y6" s="1233" t="n">
        <f aca="false">Personnel!J6</f>
        <v>0</v>
      </c>
      <c r="Z6" s="1233" t="n">
        <f aca="false">Personnel!K6</f>
        <v>0</v>
      </c>
      <c r="AA6" s="1233" t="n">
        <f aca="false">Personnel!L6</f>
        <v>0</v>
      </c>
      <c r="AB6" s="1233" t="n">
        <f aca="false">Personnel!M6</f>
        <v>0</v>
      </c>
      <c r="AC6" s="1233" t="n">
        <f aca="false">Personnel!N6</f>
        <v>0</v>
      </c>
      <c r="AD6" s="1234" t="n">
        <f aca="false">Personnel!O6</f>
        <v>0</v>
      </c>
      <c r="AE6" s="1167"/>
      <c r="AF6" s="1139"/>
      <c r="AG6" s="1235"/>
      <c r="AH6" s="1236"/>
      <c r="AI6" s="1217"/>
      <c r="AJ6" s="1217"/>
      <c r="AK6" s="1217"/>
      <c r="AL6" s="1218"/>
      <c r="AM6" s="1189"/>
      <c r="AN6" s="1139"/>
      <c r="AO6" s="1237"/>
      <c r="AP6" s="1221"/>
      <c r="AQ6" s="1221"/>
      <c r="AR6" s="1221"/>
      <c r="AS6" s="1221"/>
      <c r="AT6" s="1221"/>
      <c r="AU6" s="1221"/>
      <c r="AV6" s="1221"/>
      <c r="AW6" s="1221"/>
      <c r="AX6" s="1221"/>
      <c r="AY6" s="1221"/>
      <c r="AZ6" s="1221"/>
      <c r="BA6" s="1222"/>
      <c r="BB6" s="1189"/>
      <c r="BC6" s="1189"/>
      <c r="BD6" s="1139"/>
      <c r="BE6" s="1235" t="str">
        <f aca="false">Revenue!A77</f>
        <v>SS-3</v>
      </c>
      <c r="BF6" s="1227" t="n">
        <f aca="false">Revenue!BJ76</f>
        <v>5779.16666666667</v>
      </c>
      <c r="BG6" s="1228" t="n">
        <f aca="false">Revenue!BK76</f>
        <v>27550</v>
      </c>
      <c r="BH6" s="1228" t="n">
        <f aca="false">Revenue!BL76</f>
        <v>66500</v>
      </c>
      <c r="BI6" s="1228" t="n">
        <f aca="false">Revenue!BM76</f>
        <v>66500</v>
      </c>
      <c r="BJ6" s="1229" t="n">
        <f aca="false">Revenue!BN76</f>
        <v>66500</v>
      </c>
      <c r="BK6" s="1198"/>
      <c r="BL6" s="1139"/>
      <c r="BM6" s="1242" t="str">
        <f aca="false">Revenue!A77</f>
        <v>SS-3</v>
      </c>
      <c r="BN6" s="1232" t="n">
        <f aca="false">Revenue!G76</f>
        <v>316.666666666667</v>
      </c>
      <c r="BO6" s="1233" t="n">
        <f aca="false">Revenue!H76</f>
        <v>475</v>
      </c>
      <c r="BP6" s="1233" t="n">
        <f aca="false">Revenue!I76</f>
        <v>633.333333333333</v>
      </c>
      <c r="BQ6" s="1233" t="n">
        <f aca="false">Revenue!J76</f>
        <v>791.666666666667</v>
      </c>
      <c r="BR6" s="1233" t="n">
        <f aca="false">Revenue!K76</f>
        <v>950</v>
      </c>
      <c r="BS6" s="1233" t="n">
        <f aca="false">Revenue!L76</f>
        <v>1108.33333333333</v>
      </c>
      <c r="BT6" s="1233" t="n">
        <f aca="false">Revenue!M76</f>
        <v>1266.66666666667</v>
      </c>
      <c r="BU6" s="1233" t="n">
        <f aca="false">Revenue!N76</f>
        <v>1425</v>
      </c>
      <c r="BV6" s="1233" t="n">
        <f aca="false">Revenue!O76</f>
        <v>1583.33333333333</v>
      </c>
      <c r="BW6" s="1233"/>
      <c r="BX6" s="1233"/>
      <c r="BY6" s="1234"/>
      <c r="BZ6" s="1189"/>
      <c r="CA6" s="1189"/>
      <c r="CB6" s="1139"/>
      <c r="CC6" s="1280"/>
      <c r="CD6" s="1189"/>
      <c r="CE6" s="1189"/>
      <c r="CF6" s="1189"/>
      <c r="CG6" s="1189"/>
      <c r="CH6" s="1281"/>
      <c r="CI6" s="1167"/>
      <c r="CJ6" s="1139"/>
      <c r="CK6" s="1282"/>
      <c r="CL6" s="1283"/>
      <c r="CM6" s="1283"/>
      <c r="CN6" s="1283"/>
      <c r="CO6" s="1283"/>
      <c r="CP6" s="1283"/>
      <c r="CQ6" s="1283"/>
      <c r="CR6" s="1283"/>
      <c r="CS6" s="1283"/>
      <c r="CT6" s="1283"/>
      <c r="CU6" s="1283"/>
      <c r="CV6" s="1283"/>
      <c r="CW6" s="1284"/>
      <c r="CX6" s="1167"/>
      <c r="CY6" s="1157"/>
      <c r="CZ6" s="1226" t="str">
        <f aca="false">'Cash Flow'!A28</f>
        <v>Accounts Receivable</v>
      </c>
      <c r="DA6" s="1249" t="n">
        <f aca="false">'Cash Flow'!BJ28</f>
        <v>-2117739.91946771</v>
      </c>
      <c r="DB6" s="1250" t="n">
        <f aca="false">'Cash Flow'!BK28</f>
        <v>-5078147.79367515</v>
      </c>
      <c r="DC6" s="1250" t="n">
        <f aca="false">'Cash Flow'!BL28</f>
        <v>-6541716.10285714</v>
      </c>
      <c r="DD6" s="1250" t="n">
        <f aca="false">'Cash Flow'!BM28</f>
        <v>-1144800.318</v>
      </c>
      <c r="DE6" s="1251" t="n">
        <f aca="false">'Cash Flow'!BN28</f>
        <v>-1144800.318</v>
      </c>
      <c r="DF6" s="1274"/>
      <c r="DG6" s="1139"/>
      <c r="DH6" s="1235" t="str">
        <f aca="false">CZ6</f>
        <v>Accounts Receivable</v>
      </c>
      <c r="DI6" s="1245" t="n">
        <f aca="false">'Cash Flow'!B28</f>
        <v>0</v>
      </c>
      <c r="DJ6" s="1246" t="n">
        <f aca="false">'Cash Flow'!C28</f>
        <v>-0</v>
      </c>
      <c r="DK6" s="1246" t="n">
        <f aca="false">'Cash Flow'!D28</f>
        <v>-904.576438356164</v>
      </c>
      <c r="DL6" s="1246" t="n">
        <f aca="false">'Cash Flow'!E28</f>
        <v>-131454.168528376</v>
      </c>
      <c r="DM6" s="1246" t="n">
        <f aca="false">'Cash Flow'!F28</f>
        <v>-132358.744966732</v>
      </c>
      <c r="DN6" s="1246" t="n">
        <f aca="false">'Cash Flow'!G28</f>
        <v>-264717.489933464</v>
      </c>
      <c r="DO6" s="1246" t="n">
        <f aca="false">'Cash Flow'!H28</f>
        <v>-264717.489933464</v>
      </c>
      <c r="DP6" s="1246" t="n">
        <f aca="false">'Cash Flow'!I28</f>
        <v>-264717.489933463</v>
      </c>
      <c r="DQ6" s="1246" t="n">
        <f aca="false">'Cash Flow'!J28</f>
        <v>-264717.489933465</v>
      </c>
      <c r="DR6" s="1246" t="n">
        <f aca="false">'Cash Flow'!K28</f>
        <v>-264717.489933463</v>
      </c>
      <c r="DS6" s="1246" t="n">
        <f aca="false">'Cash Flow'!L28</f>
        <v>-264717.489933464</v>
      </c>
      <c r="DT6" s="1247" t="n">
        <f aca="false">'Cash Flow'!M28</f>
        <v>-264717.489933463</v>
      </c>
      <c r="DU6" s="1274"/>
      <c r="DV6" s="1157"/>
      <c r="DW6" s="1253" t="str">
        <f aca="false">'Balance Sheet'!A5</f>
        <v>Inventory</v>
      </c>
      <c r="DX6" s="1261" t="n">
        <f aca="false">'Balance Sheet'!BJ5</f>
        <v>0</v>
      </c>
      <c r="DY6" s="1262" t="n">
        <f aca="false">'Balance Sheet'!BK5</f>
        <v>0</v>
      </c>
      <c r="DZ6" s="1262" t="n">
        <f aca="false">'Balance Sheet'!BL5</f>
        <v>0</v>
      </c>
      <c r="EA6" s="1262" t="n">
        <f aca="false">'Balance Sheet'!BM5</f>
        <v>0</v>
      </c>
      <c r="EB6" s="1263" t="n">
        <f aca="false">'Balance Sheet'!BN5</f>
        <v>0</v>
      </c>
      <c r="EC6" s="1167"/>
      <c r="ED6" s="1157"/>
      <c r="EE6" s="1235" t="str">
        <f aca="false">DW6</f>
        <v>Inventory</v>
      </c>
      <c r="EF6" s="1245" t="n">
        <f aca="false">'Balance Sheet'!B5</f>
        <v>0</v>
      </c>
      <c r="EG6" s="1246" t="n">
        <f aca="false">'Balance Sheet'!C5</f>
        <v>0</v>
      </c>
      <c r="EH6" s="1246" t="n">
        <f aca="false">'Balance Sheet'!D5</f>
        <v>0</v>
      </c>
      <c r="EI6" s="1246" t="n">
        <f aca="false">'Balance Sheet'!E5</f>
        <v>0</v>
      </c>
      <c r="EJ6" s="1246" t="n">
        <f aca="false">'Balance Sheet'!F5</f>
        <v>0</v>
      </c>
      <c r="EK6" s="1246" t="n">
        <f aca="false">'Balance Sheet'!G5</f>
        <v>0</v>
      </c>
      <c r="EL6" s="1246" t="n">
        <f aca="false">'Balance Sheet'!H5</f>
        <v>0</v>
      </c>
      <c r="EM6" s="1246" t="n">
        <f aca="false">'Balance Sheet'!I5</f>
        <v>0</v>
      </c>
      <c r="EN6" s="1246" t="n">
        <f aca="false">'Balance Sheet'!J5</f>
        <v>0</v>
      </c>
      <c r="EO6" s="1246" t="n">
        <f aca="false">'Balance Sheet'!K5</f>
        <v>0</v>
      </c>
      <c r="EP6" s="1246" t="n">
        <f aca="false">'Balance Sheet'!L5</f>
        <v>0</v>
      </c>
      <c r="EQ6" s="1247" t="n">
        <f aca="false">'Balance Sheet'!M5</f>
        <v>0</v>
      </c>
      <c r="ER6" s="1167"/>
      <c r="ES6" s="1163"/>
      <c r="ET6" s="1285" t="str">
        <f aca="false">CK28</f>
        <v>Net Profit</v>
      </c>
      <c r="EU6" s="1286"/>
      <c r="EV6" s="1287"/>
      <c r="EW6" s="1287"/>
      <c r="EX6" s="1287"/>
      <c r="EY6" s="1288"/>
      <c r="EZ6" s="1167"/>
      <c r="FA6" s="1165"/>
      <c r="FB6" s="1216" t="s">
        <v>1909</v>
      </c>
      <c r="FC6" s="1217" t="n">
        <f aca="false">'Sensitivity Analysis'!BK21</f>
        <v>4265300.46006121</v>
      </c>
      <c r="FD6" s="1217" t="n">
        <f aca="false">'Sensitivity Analysis'!BL21</f>
        <v>36292055.1352357</v>
      </c>
      <c r="FE6" s="1217" t="n">
        <f aca="false">'Sensitivity Analysis'!BM21</f>
        <v>98637726.3210891</v>
      </c>
      <c r="FF6" s="1217" t="n">
        <f aca="false">'Sensitivity Analysis'!BN21</f>
        <v>109673940.246782</v>
      </c>
      <c r="FG6" s="1218" t="n">
        <f aca="false">'Sensitivity Analysis'!BO21</f>
        <v>120710154.172475</v>
      </c>
      <c r="FH6" s="1167"/>
      <c r="FI6" s="1189"/>
      <c r="FJ6" s="1139"/>
      <c r="FK6" s="1216" t="str">
        <f aca="false">Existing!A5</f>
        <v>Net Profit</v>
      </c>
      <c r="FL6" s="1217" t="n">
        <f aca="false">Existing!B5</f>
        <v>50744159.8678398</v>
      </c>
      <c r="FM6" s="1217" t="n">
        <f aca="false">Existing!C5</f>
        <v>8408716.91682543</v>
      </c>
      <c r="FN6" s="1218" t="n">
        <f aca="false">Existing!D5</f>
        <v>-3831207.37527624</v>
      </c>
      <c r="FO6" s="1189"/>
      <c r="FP6" s="1163"/>
      <c r="FQ6" s="1216" t="s">
        <v>1910</v>
      </c>
      <c r="FR6" s="1217"/>
      <c r="FS6" s="1217"/>
      <c r="FT6" s="1217"/>
      <c r="FU6" s="1217"/>
      <c r="FV6" s="1218"/>
      <c r="FW6" s="1167"/>
      <c r="FX6" s="1173"/>
      <c r="FY6" s="1174"/>
      <c r="FZ6" s="1175"/>
      <c r="GA6" s="1258"/>
      <c r="GB6" s="1217"/>
      <c r="GC6" s="1217"/>
      <c r="GD6" s="1217"/>
      <c r="GE6" s="1217"/>
      <c r="GF6" s="1218"/>
      <c r="GG6" s="1189"/>
      <c r="GH6" s="1189"/>
      <c r="GI6" s="1178"/>
      <c r="GJ6" s="1216"/>
      <c r="GK6" s="1217"/>
      <c r="GL6" s="1217"/>
      <c r="GM6" s="1217"/>
      <c r="GN6" s="1217"/>
      <c r="GO6" s="1218"/>
      <c r="GP6" s="1167"/>
      <c r="GQ6" s="1167"/>
      <c r="GR6" s="1167"/>
      <c r="GS6" s="1163"/>
      <c r="GT6" s="1216"/>
      <c r="GU6" s="1221"/>
      <c r="GV6" s="1221"/>
      <c r="GW6" s="1221"/>
      <c r="GX6" s="1221"/>
      <c r="GY6" s="1221"/>
      <c r="GZ6" s="1221"/>
      <c r="HA6" s="1221"/>
      <c r="HB6" s="1221"/>
      <c r="HC6" s="1221"/>
      <c r="HD6" s="1221"/>
      <c r="HE6" s="1221"/>
      <c r="HF6" s="1222"/>
      <c r="HG6" s="1167"/>
      <c r="HH6" s="1167"/>
      <c r="HI6" s="1167"/>
      <c r="HJ6" s="1178"/>
      <c r="HK6" s="1223"/>
      <c r="HL6" s="1217"/>
      <c r="HM6" s="1217"/>
      <c r="HN6" s="1217"/>
      <c r="HO6" s="1217"/>
      <c r="HP6" s="1217"/>
      <c r="HQ6" s="1218"/>
    </row>
    <row r="7" customFormat="false" ht="12.75" hidden="false" customHeight="true" outlineLevel="0" collapsed="false">
      <c r="A7" s="1139"/>
      <c r="B7" s="1289" t="str">
        <f aca="false">'Sources &amp; Uses'!A13</f>
        <v>Start-up Expenses</v>
      </c>
      <c r="C7" s="1184"/>
      <c r="D7" s="1167"/>
      <c r="E7" s="1139"/>
      <c r="F7" s="1183" t="n">
        <f aca="false">'Sources &amp; Uses'!E10</f>
        <v>0</v>
      </c>
      <c r="G7" s="1184" t="n">
        <f aca="false">'Sources &amp; Uses'!F10</f>
        <v>0</v>
      </c>
      <c r="H7" s="1167"/>
      <c r="I7" s="1139"/>
      <c r="J7" s="1226" t="str">
        <f aca="false">Personnel!A7</f>
        <v>Trades-3</v>
      </c>
      <c r="K7" s="1227" t="n">
        <f aca="false">Personnel!BL7</f>
        <v>0</v>
      </c>
      <c r="L7" s="1228" t="n">
        <f aca="false">Personnel!BM7</f>
        <v>0</v>
      </c>
      <c r="M7" s="1228" t="n">
        <f aca="false">Personnel!BN7</f>
        <v>0</v>
      </c>
      <c r="N7" s="1228" t="n">
        <f aca="false">Personnel!BO7</f>
        <v>0</v>
      </c>
      <c r="O7" s="1229" t="n">
        <f aca="false">Personnel!BP7</f>
        <v>0</v>
      </c>
      <c r="P7" s="1230"/>
      <c r="Q7" s="1146"/>
      <c r="R7" s="1231" t="str">
        <f aca="false">Personnel!A7</f>
        <v>Trades-3</v>
      </c>
      <c r="S7" s="1232" t="n">
        <f aca="false">Personnel!D7</f>
        <v>0</v>
      </c>
      <c r="T7" s="1233" t="n">
        <f aca="false">Personnel!E7</f>
        <v>0</v>
      </c>
      <c r="U7" s="1233" t="n">
        <f aca="false">Personnel!F7</f>
        <v>0</v>
      </c>
      <c r="V7" s="1233" t="n">
        <f aca="false">Personnel!G7</f>
        <v>0</v>
      </c>
      <c r="W7" s="1233" t="n">
        <f aca="false">Personnel!H7</f>
        <v>0</v>
      </c>
      <c r="X7" s="1233" t="n">
        <f aca="false">Personnel!I7</f>
        <v>0</v>
      </c>
      <c r="Y7" s="1233" t="n">
        <f aca="false">Personnel!J7</f>
        <v>0</v>
      </c>
      <c r="Z7" s="1233" t="n">
        <f aca="false">Personnel!K7</f>
        <v>0</v>
      </c>
      <c r="AA7" s="1233" t="n">
        <f aca="false">Personnel!L7</f>
        <v>0</v>
      </c>
      <c r="AB7" s="1233" t="n">
        <f aca="false">Personnel!M7</f>
        <v>0</v>
      </c>
      <c r="AC7" s="1233" t="n">
        <f aca="false">Personnel!N7</f>
        <v>0</v>
      </c>
      <c r="AD7" s="1234" t="n">
        <f aca="false">Personnel!O7</f>
        <v>0</v>
      </c>
      <c r="AE7" s="1167"/>
      <c r="AF7" s="1139"/>
      <c r="AG7" s="1235"/>
      <c r="AH7" s="1236"/>
      <c r="AI7" s="1217"/>
      <c r="AJ7" s="1217"/>
      <c r="AK7" s="1217"/>
      <c r="AL7" s="1218"/>
      <c r="AM7" s="1189"/>
      <c r="AN7" s="1139"/>
      <c r="AO7" s="1237"/>
      <c r="AP7" s="1221"/>
      <c r="AQ7" s="1221"/>
      <c r="AR7" s="1221"/>
      <c r="AS7" s="1221"/>
      <c r="AT7" s="1221"/>
      <c r="AU7" s="1221"/>
      <c r="AV7" s="1221"/>
      <c r="AW7" s="1221"/>
      <c r="AX7" s="1221"/>
      <c r="AY7" s="1221"/>
      <c r="AZ7" s="1221"/>
      <c r="BA7" s="1222"/>
      <c r="BB7" s="1189"/>
      <c r="BC7" s="1189"/>
      <c r="BD7" s="1139"/>
      <c r="BE7" s="1235" t="str">
        <f aca="false">Revenue!A78</f>
        <v>SS-4</v>
      </c>
      <c r="BF7" s="1227" t="n">
        <f aca="false">Revenue!BJ77</f>
        <v>7430.35714285714</v>
      </c>
      <c r="BG7" s="1228" t="n">
        <f aca="false">Revenue!BK77</f>
        <v>35421.4285714286</v>
      </c>
      <c r="BH7" s="1228" t="n">
        <f aca="false">Revenue!BL77</f>
        <v>85500</v>
      </c>
      <c r="BI7" s="1228" t="n">
        <f aca="false">Revenue!BM77</f>
        <v>85500</v>
      </c>
      <c r="BJ7" s="1229" t="n">
        <f aca="false">Revenue!BN77</f>
        <v>85500</v>
      </c>
      <c r="BK7" s="1198"/>
      <c r="BL7" s="1139"/>
      <c r="BM7" s="1242" t="str">
        <f aca="false">Revenue!A78</f>
        <v>SS-4</v>
      </c>
      <c r="BN7" s="1232" t="n">
        <f aca="false">Revenue!G77</f>
        <v>407.142857142857</v>
      </c>
      <c r="BO7" s="1233" t="n">
        <f aca="false">Revenue!H77</f>
        <v>610.714285714286</v>
      </c>
      <c r="BP7" s="1233" t="n">
        <f aca="false">Revenue!I77</f>
        <v>814.285714285714</v>
      </c>
      <c r="BQ7" s="1233" t="n">
        <f aca="false">Revenue!J77</f>
        <v>1017.85714285714</v>
      </c>
      <c r="BR7" s="1233" t="n">
        <f aca="false">Revenue!K77</f>
        <v>1221.42857142857</v>
      </c>
      <c r="BS7" s="1233" t="n">
        <f aca="false">Revenue!L77</f>
        <v>1425</v>
      </c>
      <c r="BT7" s="1233" t="n">
        <f aca="false">Revenue!M77</f>
        <v>1628.57142857143</v>
      </c>
      <c r="BU7" s="1233" t="n">
        <f aca="false">Revenue!N77</f>
        <v>1832.14285714286</v>
      </c>
      <c r="BV7" s="1233" t="n">
        <f aca="false">Revenue!O77</f>
        <v>2035.71428571429</v>
      </c>
      <c r="BW7" s="1233"/>
      <c r="BX7" s="1233"/>
      <c r="BY7" s="1234"/>
      <c r="BZ7" s="1189"/>
      <c r="CA7" s="1189"/>
      <c r="CB7" s="1139"/>
      <c r="CC7" s="1207" t="str">
        <f aca="false">'P&amp;L'!A27</f>
        <v>Expenses</v>
      </c>
      <c r="CD7" s="1187"/>
      <c r="CE7" s="1187"/>
      <c r="CF7" s="1187"/>
      <c r="CG7" s="1187"/>
      <c r="CH7" s="1188"/>
      <c r="CI7" s="1167"/>
      <c r="CJ7" s="1139"/>
      <c r="CK7" s="1290" t="s">
        <v>1718</v>
      </c>
      <c r="CL7" s="1209"/>
      <c r="CM7" s="1210"/>
      <c r="CN7" s="1210"/>
      <c r="CO7" s="1210"/>
      <c r="CP7" s="1210"/>
      <c r="CQ7" s="1210"/>
      <c r="CR7" s="1210"/>
      <c r="CS7" s="1210"/>
      <c r="CT7" s="1210"/>
      <c r="CU7" s="1210"/>
      <c r="CV7" s="1210"/>
      <c r="CW7" s="1193"/>
      <c r="CX7" s="1167"/>
      <c r="CY7" s="1157"/>
      <c r="CZ7" s="1226" t="str">
        <f aca="false">'Cash Flow'!A29</f>
        <v>Inventory </v>
      </c>
      <c r="DA7" s="1249" t="n">
        <f aca="false">'Cash Flow'!BJ29</f>
        <v>0</v>
      </c>
      <c r="DB7" s="1250" t="n">
        <f aca="false">'Cash Flow'!BK29</f>
        <v>0</v>
      </c>
      <c r="DC7" s="1250" t="n">
        <f aca="false">'Cash Flow'!BL29</f>
        <v>0</v>
      </c>
      <c r="DD7" s="1250" t="n">
        <f aca="false">'Cash Flow'!BM29</f>
        <v>0</v>
      </c>
      <c r="DE7" s="1251" t="n">
        <f aca="false">'Cash Flow'!BN29</f>
        <v>0</v>
      </c>
      <c r="DF7" s="1167"/>
      <c r="DG7" s="1139"/>
      <c r="DH7" s="1235" t="str">
        <f aca="false">CZ7</f>
        <v>Inventory </v>
      </c>
      <c r="DI7" s="1245" t="n">
        <f aca="false">'Cash Flow'!B29</f>
        <v>-0</v>
      </c>
      <c r="DJ7" s="1246" t="n">
        <f aca="false">'Cash Flow'!C29</f>
        <v>-0</v>
      </c>
      <c r="DK7" s="1246" t="n">
        <f aca="false">'Cash Flow'!D29</f>
        <v>-0</v>
      </c>
      <c r="DL7" s="1246" t="n">
        <f aca="false">'Cash Flow'!E29</f>
        <v>-0</v>
      </c>
      <c r="DM7" s="1246" t="n">
        <f aca="false">'Cash Flow'!F29</f>
        <v>-0</v>
      </c>
      <c r="DN7" s="1246" t="n">
        <f aca="false">'Cash Flow'!G29</f>
        <v>-0</v>
      </c>
      <c r="DO7" s="1246" t="n">
        <f aca="false">'Cash Flow'!H29</f>
        <v>-0</v>
      </c>
      <c r="DP7" s="1246" t="n">
        <f aca="false">'Cash Flow'!I29</f>
        <v>-0</v>
      </c>
      <c r="DQ7" s="1246" t="n">
        <f aca="false">'Cash Flow'!J29</f>
        <v>-0</v>
      </c>
      <c r="DR7" s="1246" t="n">
        <f aca="false">'Cash Flow'!K29</f>
        <v>-0</v>
      </c>
      <c r="DS7" s="1246" t="n">
        <f aca="false">'Cash Flow'!L29</f>
        <v>-0</v>
      </c>
      <c r="DT7" s="1247" t="n">
        <f aca="false">'Cash Flow'!M29</f>
        <v>-0</v>
      </c>
      <c r="DU7" s="1167"/>
      <c r="DV7" s="1157"/>
      <c r="DW7" s="1291" t="str">
        <f aca="false">'Balance Sheet'!A6</f>
        <v>Other Current Assets</v>
      </c>
      <c r="DX7" s="1292" t="n">
        <f aca="false">'Balance Sheet'!BJ6</f>
        <v>0</v>
      </c>
      <c r="DY7" s="1293" t="n">
        <f aca="false">'Balance Sheet'!BK6</f>
        <v>0</v>
      </c>
      <c r="DZ7" s="1293" t="n">
        <f aca="false">'Balance Sheet'!BL6</f>
        <v>0</v>
      </c>
      <c r="EA7" s="1293" t="n">
        <f aca="false">'Balance Sheet'!BM6</f>
        <v>0</v>
      </c>
      <c r="EB7" s="1294" t="n">
        <f aca="false">'Balance Sheet'!BN6</f>
        <v>0</v>
      </c>
      <c r="EC7" s="1167"/>
      <c r="ED7" s="1157"/>
      <c r="EE7" s="1295" t="str">
        <f aca="false">DW7</f>
        <v>Other Current Assets</v>
      </c>
      <c r="EF7" s="1296" t="n">
        <f aca="false">'Balance Sheet'!B6</f>
        <v>0</v>
      </c>
      <c r="EG7" s="1297" t="n">
        <f aca="false">'Balance Sheet'!C6</f>
        <v>0</v>
      </c>
      <c r="EH7" s="1297" t="n">
        <f aca="false">'Balance Sheet'!D6</f>
        <v>0</v>
      </c>
      <c r="EI7" s="1297" t="n">
        <f aca="false">'Balance Sheet'!E6</f>
        <v>0</v>
      </c>
      <c r="EJ7" s="1297" t="n">
        <f aca="false">'Balance Sheet'!F6</f>
        <v>0</v>
      </c>
      <c r="EK7" s="1297" t="n">
        <f aca="false">'Balance Sheet'!G6</f>
        <v>0</v>
      </c>
      <c r="EL7" s="1297" t="n">
        <f aca="false">'Balance Sheet'!H6</f>
        <v>0</v>
      </c>
      <c r="EM7" s="1297" t="n">
        <f aca="false">'Balance Sheet'!I6</f>
        <v>0</v>
      </c>
      <c r="EN7" s="1297" t="n">
        <f aca="false">'Balance Sheet'!J6</f>
        <v>0</v>
      </c>
      <c r="EO7" s="1297" t="n">
        <f aca="false">'Balance Sheet'!K6</f>
        <v>0</v>
      </c>
      <c r="EP7" s="1297" t="n">
        <f aca="false">'Balance Sheet'!L6</f>
        <v>0</v>
      </c>
      <c r="EQ7" s="1298" t="n">
        <f aca="false">'Balance Sheet'!M6</f>
        <v>0</v>
      </c>
      <c r="ER7" s="1167"/>
      <c r="ES7" s="1163"/>
      <c r="ET7" s="1299" t="s">
        <v>1911</v>
      </c>
      <c r="EU7" s="1219"/>
      <c r="EV7" s="1219"/>
      <c r="EW7" s="1219"/>
      <c r="EX7" s="1219"/>
      <c r="EY7" s="1220"/>
      <c r="EZ7" s="1167"/>
      <c r="FA7" s="1165"/>
      <c r="FB7" s="1216" t="s">
        <v>1490</v>
      </c>
      <c r="FC7" s="1217" t="n">
        <f aca="false">'Sensitivity Analysis'!BK23</f>
        <v>7158057.74494405</v>
      </c>
      <c r="FD7" s="1217" t="n">
        <f aca="false">'Sensitivity Analysis'!BL23</f>
        <v>20895282.5696614</v>
      </c>
      <c r="FE7" s="1217" t="n">
        <f aca="false">'Sensitivity Analysis'!BM23</f>
        <v>35027776.063542</v>
      </c>
      <c r="FF7" s="1217" t="n">
        <f aca="false">'Sensitivity Analysis'!BN23</f>
        <v>37218991.7694791</v>
      </c>
      <c r="FG7" s="1218" t="n">
        <f aca="false">'Sensitivity Analysis'!BO23</f>
        <v>39450126.2413681</v>
      </c>
      <c r="FH7" s="1167"/>
      <c r="FI7" s="1189"/>
      <c r="FJ7" s="1139"/>
      <c r="FK7" s="1216"/>
      <c r="FL7" s="1217"/>
      <c r="FM7" s="1217"/>
      <c r="FN7" s="1218"/>
      <c r="FO7" s="1189"/>
      <c r="FP7" s="1163"/>
      <c r="FQ7" s="1216" t="s">
        <v>1912</v>
      </c>
      <c r="FR7" s="1217"/>
      <c r="FS7" s="1217" t="n">
        <f aca="false">Personnel!BR28</f>
        <v>0</v>
      </c>
      <c r="FT7" s="1217" t="n">
        <f aca="false">Personnel!BS28</f>
        <v>0</v>
      </c>
      <c r="FU7" s="1217" t="n">
        <f aca="false">Personnel!BT28</f>
        <v>0</v>
      </c>
      <c r="FV7" s="1218" t="n">
        <f aca="false">Personnel!BU28</f>
        <v>0</v>
      </c>
      <c r="FW7" s="1167"/>
      <c r="FX7" s="1173"/>
      <c r="FY7" s="1174"/>
      <c r="FZ7" s="1175"/>
      <c r="GA7" s="1258"/>
      <c r="GB7" s="1217"/>
      <c r="GC7" s="1217"/>
      <c r="GD7" s="1217"/>
      <c r="GE7" s="1217"/>
      <c r="GF7" s="1218"/>
      <c r="GG7" s="1189"/>
      <c r="GH7" s="1189"/>
      <c r="GI7" s="1178"/>
      <c r="GJ7" s="1258"/>
      <c r="GK7" s="1217"/>
      <c r="GL7" s="1217"/>
      <c r="GM7" s="1217"/>
      <c r="GN7" s="1217"/>
      <c r="GO7" s="1218"/>
      <c r="GP7" s="1167"/>
      <c r="GQ7" s="1167"/>
      <c r="GR7" s="1167"/>
      <c r="GS7" s="1163"/>
      <c r="GT7" s="1216"/>
      <c r="GU7" s="1221"/>
      <c r="GV7" s="1221"/>
      <c r="GW7" s="1221"/>
      <c r="GX7" s="1221"/>
      <c r="GY7" s="1221"/>
      <c r="GZ7" s="1221"/>
      <c r="HA7" s="1221"/>
      <c r="HB7" s="1221"/>
      <c r="HC7" s="1221"/>
      <c r="HD7" s="1221"/>
      <c r="HE7" s="1221"/>
      <c r="HF7" s="1222"/>
      <c r="HG7" s="1167"/>
      <c r="HH7" s="1167"/>
      <c r="HI7" s="1167"/>
      <c r="HJ7" s="1178"/>
      <c r="HK7" s="1264"/>
      <c r="HL7" s="1217"/>
      <c r="HM7" s="1217"/>
      <c r="HN7" s="1217"/>
      <c r="HO7" s="1217"/>
      <c r="HP7" s="1217"/>
      <c r="HQ7" s="1218"/>
    </row>
    <row r="8" customFormat="false" ht="12.75" hidden="false" customHeight="true" outlineLevel="0" collapsed="false">
      <c r="A8" s="1139"/>
      <c r="B8" s="1300" t="n">
        <f aca="false">'Sources &amp; Uses'!A14</f>
        <v>0</v>
      </c>
      <c r="C8" s="1184" t="n">
        <f aca="false">'Sources &amp; Uses'!B14</f>
        <v>0</v>
      </c>
      <c r="D8" s="1167"/>
      <c r="E8" s="1139"/>
      <c r="F8" s="1183" t="n">
        <f aca="false">'Sources &amp; Uses'!E11</f>
        <v>0</v>
      </c>
      <c r="G8" s="1184" t="n">
        <f aca="false">'Sources &amp; Uses'!F11</f>
        <v>0</v>
      </c>
      <c r="H8" s="1167"/>
      <c r="I8" s="1139"/>
      <c r="J8" s="1226" t="str">
        <f aca="false">Personnel!A8</f>
        <v>Admin-3</v>
      </c>
      <c r="K8" s="1227" t="n">
        <f aca="false">Personnel!BL8</f>
        <v>0</v>
      </c>
      <c r="L8" s="1228" t="n">
        <f aca="false">Personnel!BM8</f>
        <v>0</v>
      </c>
      <c r="M8" s="1228" t="n">
        <f aca="false">Personnel!BN8</f>
        <v>1</v>
      </c>
      <c r="N8" s="1228" t="n">
        <f aca="false">Personnel!BO8</f>
        <v>1</v>
      </c>
      <c r="O8" s="1229" t="n">
        <f aca="false">Personnel!BP8</f>
        <v>1</v>
      </c>
      <c r="P8" s="1230"/>
      <c r="Q8" s="1146"/>
      <c r="R8" s="1231" t="str">
        <f aca="false">Personnel!A8</f>
        <v>Admin-3</v>
      </c>
      <c r="S8" s="1232" t="n">
        <f aca="false">Personnel!D8</f>
        <v>0</v>
      </c>
      <c r="T8" s="1233" t="n">
        <f aca="false">Personnel!E8</f>
        <v>0</v>
      </c>
      <c r="U8" s="1233" t="n">
        <f aca="false">Personnel!F8</f>
        <v>0</v>
      </c>
      <c r="V8" s="1233" t="n">
        <f aca="false">Personnel!G8</f>
        <v>0</v>
      </c>
      <c r="W8" s="1233" t="n">
        <f aca="false">Personnel!H8</f>
        <v>0</v>
      </c>
      <c r="X8" s="1233" t="n">
        <f aca="false">Personnel!I8</f>
        <v>0</v>
      </c>
      <c r="Y8" s="1233" t="n">
        <f aca="false">Personnel!J8</f>
        <v>0</v>
      </c>
      <c r="Z8" s="1233" t="n">
        <f aca="false">Personnel!K8</f>
        <v>0</v>
      </c>
      <c r="AA8" s="1233" t="n">
        <f aca="false">Personnel!L8</f>
        <v>0</v>
      </c>
      <c r="AB8" s="1233" t="n">
        <f aca="false">Personnel!M8</f>
        <v>0</v>
      </c>
      <c r="AC8" s="1233" t="n">
        <f aca="false">Personnel!N8</f>
        <v>0</v>
      </c>
      <c r="AD8" s="1234" t="n">
        <f aca="false">Personnel!O8</f>
        <v>0</v>
      </c>
      <c r="AE8" s="1167"/>
      <c r="AF8" s="1139"/>
      <c r="AG8" s="1235"/>
      <c r="AH8" s="1236"/>
      <c r="AI8" s="1217"/>
      <c r="AJ8" s="1217"/>
      <c r="AK8" s="1217"/>
      <c r="AL8" s="1218"/>
      <c r="AM8" s="1189"/>
      <c r="AN8" s="1139"/>
      <c r="AO8" s="1237"/>
      <c r="AP8" s="1221"/>
      <c r="AQ8" s="1221"/>
      <c r="AR8" s="1221"/>
      <c r="AS8" s="1221"/>
      <c r="AT8" s="1221"/>
      <c r="AU8" s="1221"/>
      <c r="AV8" s="1221"/>
      <c r="AW8" s="1221"/>
      <c r="AX8" s="1221"/>
      <c r="AY8" s="1221"/>
      <c r="AZ8" s="1221"/>
      <c r="BA8" s="1222"/>
      <c r="BB8" s="1189"/>
      <c r="BC8" s="1189"/>
      <c r="BD8" s="1139"/>
      <c r="BE8" s="1235" t="str">
        <f aca="false">Revenue!A79</f>
        <v>SS-6</v>
      </c>
      <c r="BF8" s="1227" t="n">
        <f aca="false">Revenue!BJ78</f>
        <v>7430.35714285714</v>
      </c>
      <c r="BG8" s="1228" t="n">
        <f aca="false">Revenue!BK78</f>
        <v>35421.4285714286</v>
      </c>
      <c r="BH8" s="1228" t="n">
        <f aca="false">Revenue!BL78</f>
        <v>85500</v>
      </c>
      <c r="BI8" s="1228" t="n">
        <f aca="false">Revenue!BM78</f>
        <v>85500</v>
      </c>
      <c r="BJ8" s="1229" t="n">
        <f aca="false">Revenue!BN78</f>
        <v>85500</v>
      </c>
      <c r="BK8" s="1198"/>
      <c r="BL8" s="1139"/>
      <c r="BM8" s="1242" t="str">
        <f aca="false">Revenue!A79</f>
        <v>SS-6</v>
      </c>
      <c r="BN8" s="1232" t="n">
        <f aca="false">Revenue!G78</f>
        <v>407.142857142857</v>
      </c>
      <c r="BO8" s="1233" t="n">
        <f aca="false">Revenue!H78</f>
        <v>610.714285714286</v>
      </c>
      <c r="BP8" s="1233" t="n">
        <f aca="false">Revenue!I78</f>
        <v>814.285714285714</v>
      </c>
      <c r="BQ8" s="1233" t="n">
        <f aca="false">Revenue!J78</f>
        <v>1017.85714285714</v>
      </c>
      <c r="BR8" s="1233" t="n">
        <f aca="false">Revenue!K78</f>
        <v>1221.42857142857</v>
      </c>
      <c r="BS8" s="1233" t="n">
        <f aca="false">Revenue!L78</f>
        <v>1425</v>
      </c>
      <c r="BT8" s="1233" t="n">
        <f aca="false">Revenue!M78</f>
        <v>1628.57142857143</v>
      </c>
      <c r="BU8" s="1233" t="n">
        <f aca="false">Revenue!N78</f>
        <v>1832.14285714286</v>
      </c>
      <c r="BV8" s="1233" t="n">
        <f aca="false">Revenue!O78</f>
        <v>2035.71428571429</v>
      </c>
      <c r="BW8" s="1233"/>
      <c r="BX8" s="1233"/>
      <c r="BY8" s="1234"/>
      <c r="BZ8" s="1189"/>
      <c r="CA8" s="1189"/>
      <c r="CB8" s="1139"/>
      <c r="CC8" s="1253" t="str">
        <f aca="false">'P&amp;L'!A28</f>
        <v>Business Expense </v>
      </c>
      <c r="CD8" s="1217" t="n">
        <f aca="false">'P&amp;L'!BJ28</f>
        <v>240000</v>
      </c>
      <c r="CE8" s="1217" t="n">
        <f aca="false">'P&amp;L'!BK28</f>
        <v>252000</v>
      </c>
      <c r="CF8" s="1217" t="n">
        <f aca="false">'P&amp;L'!BL28</f>
        <v>264600</v>
      </c>
      <c r="CG8" s="1217" t="n">
        <f aca="false">'P&amp;L'!BM28</f>
        <v>277830</v>
      </c>
      <c r="CH8" s="1218" t="n">
        <f aca="false">'P&amp;L'!BN28</f>
        <v>291721.5</v>
      </c>
      <c r="CI8" s="1167"/>
      <c r="CJ8" s="1139"/>
      <c r="CK8" s="1301" t="str">
        <f aca="false">'P&amp;L'!A28</f>
        <v>Business Expense </v>
      </c>
      <c r="CL8" s="1302" t="n">
        <f aca="false">'P&amp;L'!B28</f>
        <v>20000</v>
      </c>
      <c r="CM8" s="1283" t="n">
        <f aca="false">'P&amp;L'!C28</f>
        <v>20000</v>
      </c>
      <c r="CN8" s="1283" t="n">
        <f aca="false">'P&amp;L'!D28</f>
        <v>20000</v>
      </c>
      <c r="CO8" s="1283" t="n">
        <f aca="false">'P&amp;L'!E28</f>
        <v>20000</v>
      </c>
      <c r="CP8" s="1283" t="n">
        <f aca="false">'P&amp;L'!F28</f>
        <v>20000</v>
      </c>
      <c r="CQ8" s="1283" t="n">
        <f aca="false">'P&amp;L'!G28</f>
        <v>20000</v>
      </c>
      <c r="CR8" s="1283" t="n">
        <f aca="false">'P&amp;L'!H28</f>
        <v>20000</v>
      </c>
      <c r="CS8" s="1283" t="n">
        <f aca="false">'P&amp;L'!I28</f>
        <v>20000</v>
      </c>
      <c r="CT8" s="1283" t="n">
        <f aca="false">'P&amp;L'!J28</f>
        <v>20000</v>
      </c>
      <c r="CU8" s="1283" t="n">
        <f aca="false">'P&amp;L'!K28</f>
        <v>20000</v>
      </c>
      <c r="CV8" s="1283" t="n">
        <f aca="false">'P&amp;L'!L28</f>
        <v>20000</v>
      </c>
      <c r="CW8" s="1247" t="n">
        <f aca="false">'P&amp;L'!M28</f>
        <v>20000</v>
      </c>
      <c r="CX8" s="1167"/>
      <c r="CY8" s="1157"/>
      <c r="CZ8" s="1226" t="str">
        <f aca="false">'Cash Flow'!A30</f>
        <v>Accounts Payable</v>
      </c>
      <c r="DA8" s="1249" t="n">
        <f aca="false">'Cash Flow'!BJ30</f>
        <v>2125220.08438693</v>
      </c>
      <c r="DB8" s="1250" t="n">
        <f aca="false">'Cash Flow'!BK30</f>
        <v>3712555.37436933</v>
      </c>
      <c r="DC8" s="1250" t="n">
        <f aca="false">'Cash Flow'!BL30</f>
        <v>4243411.30101387</v>
      </c>
      <c r="DD8" s="1250" t="n">
        <f aca="false">'Cash Flow'!BM30</f>
        <v>618992.151907554</v>
      </c>
      <c r="DE8" s="1251" t="n">
        <f aca="false">'Cash Flow'!BN30</f>
        <v>621260.549142731</v>
      </c>
      <c r="DF8" s="1167"/>
      <c r="DG8" s="1139"/>
      <c r="DH8" s="1235" t="str">
        <f aca="false">CZ8</f>
        <v>Accounts Payable</v>
      </c>
      <c r="DI8" s="1245" t="n">
        <f aca="false">'Cash Flow'!B30</f>
        <v>390383.972186301</v>
      </c>
      <c r="DJ8" s="1246" t="n">
        <f aca="false">'Cash Flow'!C30</f>
        <v>16822.3561643835</v>
      </c>
      <c r="DK8" s="1246" t="n">
        <f aca="false">'Cash Flow'!D30</f>
        <v>9188.08553236793</v>
      </c>
      <c r="DL8" s="1246" t="n">
        <f aca="false">'Cash Flow'!E30</f>
        <v>94709.0659023427</v>
      </c>
      <c r="DM8" s="1246" t="n">
        <f aca="false">'Cash Flow'!F30</f>
        <v>95485.973352519</v>
      </c>
      <c r="DN8" s="1246" t="n">
        <f aca="false">'Cash Flow'!G30</f>
        <v>211999.891910517</v>
      </c>
      <c r="DO8" s="1246" t="n">
        <f aca="false">'Cash Flow'!H30</f>
        <v>258349.250814627</v>
      </c>
      <c r="DP8" s="1246" t="n">
        <f aca="false">'Cash Flow'!I30</f>
        <v>229409.407537524</v>
      </c>
      <c r="DQ8" s="1246" t="n">
        <f aca="false">'Cash Flow'!J30</f>
        <v>204850.694338573</v>
      </c>
      <c r="DR8" s="1246" t="n">
        <f aca="false">'Cash Flow'!K30</f>
        <v>205822.04793509</v>
      </c>
      <c r="DS8" s="1246" t="n">
        <f aca="false">'Cash Flow'!L30</f>
        <v>202547.362645392</v>
      </c>
      <c r="DT8" s="1247" t="n">
        <f aca="false">'Cash Flow'!M30</f>
        <v>205651.976067296</v>
      </c>
      <c r="DU8" s="1167"/>
      <c r="DV8" s="1157"/>
      <c r="DW8" s="1285" t="s">
        <v>1799</v>
      </c>
      <c r="DX8" s="1261" t="n">
        <f aca="false">'Balance Sheet'!BJ7</f>
        <v>8462126.30069137</v>
      </c>
      <c r="DY8" s="1262" t="n">
        <f aca="false">'Balance Sheet'!BK7</f>
        <v>21131548.2218189</v>
      </c>
      <c r="DZ8" s="1262" t="n">
        <f aca="false">'Balance Sheet'!BL7</f>
        <v>67911004.7456542</v>
      </c>
      <c r="EA8" s="1262" t="n">
        <f aca="false">'Balance Sheet'!BM7</f>
        <v>117343080.729165</v>
      </c>
      <c r="EB8" s="1263" t="n">
        <f aca="false">'Balance Sheet'!BN7</f>
        <v>173019445.410111</v>
      </c>
      <c r="EC8" s="1167"/>
      <c r="ED8" s="1157"/>
      <c r="EE8" s="1285" t="str">
        <f aca="false">'Balance Sheet'!A7</f>
        <v>Total Current Assets</v>
      </c>
      <c r="EF8" s="1303" t="n">
        <f aca="false">'Balance Sheet'!B7</f>
        <v>9994578.0003863</v>
      </c>
      <c r="EG8" s="1304" t="n">
        <f aca="false">'Balance Sheet'!C7</f>
        <v>9598538.38475069</v>
      </c>
      <c r="EH8" s="1304" t="n">
        <f aca="false">'Balance Sheet'!D7</f>
        <v>9186465.94065162</v>
      </c>
      <c r="EI8" s="1304" t="n">
        <f aca="false">'Balance Sheet'!E7</f>
        <v>8897169.92819616</v>
      </c>
      <c r="EJ8" s="1304" t="n">
        <f aca="false">'Balance Sheet'!F7</f>
        <v>8646035.71663305</v>
      </c>
      <c r="EK8" s="1304" t="n">
        <f aca="false">'Balance Sheet'!G7</f>
        <v>8564865.21051232</v>
      </c>
      <c r="EL8" s="1304" t="n">
        <f aca="false">'Balance Sheet'!H7</f>
        <v>8505169.04121211</v>
      </c>
      <c r="EM8" s="1304" t="n">
        <f aca="false">'Balance Sheet'!I7</f>
        <v>8430441.81349871</v>
      </c>
      <c r="EN8" s="1304" t="n">
        <f aca="false">'Balance Sheet'!J7</f>
        <v>8374090.27519182</v>
      </c>
      <c r="EO8" s="1304" t="n">
        <f aca="false">'Balance Sheet'!K7</f>
        <v>8359260.51876296</v>
      </c>
      <c r="EP8" s="1304" t="n">
        <f aca="false">'Balance Sheet'!L7</f>
        <v>8388865.88887545</v>
      </c>
      <c r="EQ8" s="1305" t="n">
        <f aca="false">'Balance Sheet'!M7</f>
        <v>8462126.30069137</v>
      </c>
      <c r="ER8" s="1167"/>
      <c r="ES8" s="1163"/>
      <c r="ET8" s="1299"/>
      <c r="EU8" s="1217"/>
      <c r="EV8" s="1217"/>
      <c r="EW8" s="1217"/>
      <c r="EX8" s="1217"/>
      <c r="EY8" s="1218"/>
      <c r="EZ8" s="1167"/>
      <c r="FA8" s="1165"/>
      <c r="FB8" s="1216" t="s">
        <v>111</v>
      </c>
      <c r="FC8" s="1217" t="n">
        <f aca="false">'Sensitivity Analysis'!BK24</f>
        <v>-2892757.28488284</v>
      </c>
      <c r="FD8" s="1217" t="n">
        <f aca="false">'Sensitivity Analysis'!BL24</f>
        <v>15396772.5655743</v>
      </c>
      <c r="FE8" s="1217" t="n">
        <f aca="false">'Sensitivity Analysis'!BM24</f>
        <v>63609950.2575471</v>
      </c>
      <c r="FF8" s="1217" t="n">
        <f aca="false">'Sensitivity Analysis'!BN24</f>
        <v>72454948.4773028</v>
      </c>
      <c r="FG8" s="1218" t="n">
        <f aca="false">'Sensitivity Analysis'!BO24</f>
        <v>81260027.9311065</v>
      </c>
      <c r="FH8" s="1167"/>
      <c r="FI8" s="1189"/>
      <c r="FJ8" s="1139"/>
      <c r="FK8" s="1216" t="s">
        <v>1896</v>
      </c>
      <c r="FL8" s="1306" t="n">
        <f aca="false">Existing!B1</f>
        <v>2028</v>
      </c>
      <c r="FM8" s="1306" t="n">
        <f aca="false">Existing!C1</f>
        <v>2027</v>
      </c>
      <c r="FN8" s="1307" t="n">
        <f aca="false">Existing!D1</f>
        <v>2026</v>
      </c>
      <c r="FO8" s="1189"/>
      <c r="FP8" s="1163"/>
      <c r="FQ8" s="1216" t="s">
        <v>1913</v>
      </c>
      <c r="FR8" s="1217"/>
      <c r="FS8" s="1217" t="n">
        <f aca="false">'P&amp;L'!BK40/'P&amp;L'!BJ40-1</f>
        <v>1.1</v>
      </c>
      <c r="FT8" s="1217" t="n">
        <f aca="false">'P&amp;L'!BL40/'P&amp;L'!BK40-1</f>
        <v>0.575</v>
      </c>
      <c r="FU8" s="1217" t="n">
        <f aca="false">'P&amp;L'!BM40/'P&amp;L'!BL40-1</f>
        <v>0.05</v>
      </c>
      <c r="FV8" s="1218" t="n">
        <f aca="false">'P&amp;L'!BN40/'P&amp;L'!BM40-1</f>
        <v>0.0500000000000003</v>
      </c>
      <c r="FW8" s="1167"/>
      <c r="FX8" s="1173"/>
      <c r="FY8" s="1174"/>
      <c r="FZ8" s="1175"/>
      <c r="GA8" s="1258"/>
      <c r="GB8" s="1217"/>
      <c r="GC8" s="1217"/>
      <c r="GD8" s="1217"/>
      <c r="GE8" s="1217"/>
      <c r="GF8" s="1218"/>
      <c r="GG8" s="1189"/>
      <c r="GH8" s="1189"/>
      <c r="GI8" s="1178"/>
      <c r="GJ8" s="1216"/>
      <c r="GK8" s="1217"/>
      <c r="GL8" s="1217"/>
      <c r="GM8" s="1217"/>
      <c r="GN8" s="1217"/>
      <c r="GO8" s="1218"/>
      <c r="GP8" s="1167"/>
      <c r="GQ8" s="1167"/>
      <c r="GR8" s="1167"/>
      <c r="GS8" s="1163"/>
      <c r="GT8" s="1216"/>
      <c r="GU8" s="1221"/>
      <c r="GV8" s="1221"/>
      <c r="GW8" s="1221"/>
      <c r="GX8" s="1221"/>
      <c r="GY8" s="1221"/>
      <c r="GZ8" s="1221"/>
      <c r="HA8" s="1221"/>
      <c r="HB8" s="1221"/>
      <c r="HC8" s="1221"/>
      <c r="HD8" s="1221"/>
      <c r="HE8" s="1221"/>
      <c r="HF8" s="1222"/>
      <c r="HG8" s="1167"/>
      <c r="HH8" s="1167"/>
      <c r="HI8" s="1167"/>
      <c r="HJ8" s="1178"/>
      <c r="HK8" s="1223"/>
      <c r="HL8" s="1217"/>
      <c r="HM8" s="1217"/>
      <c r="HN8" s="1217"/>
      <c r="HO8" s="1217"/>
      <c r="HP8" s="1217"/>
      <c r="HQ8" s="1218"/>
    </row>
    <row r="9" customFormat="false" ht="12.75" hidden="false" customHeight="true" outlineLevel="0" collapsed="false">
      <c r="A9" s="1139"/>
      <c r="B9" s="1300" t="n">
        <f aca="false">'Sources &amp; Uses'!A15</f>
        <v>0</v>
      </c>
      <c r="C9" s="1184" t="n">
        <f aca="false">'Sources &amp; Uses'!B15</f>
        <v>0</v>
      </c>
      <c r="D9" s="1167"/>
      <c r="E9" s="1139"/>
      <c r="F9" s="1183" t="n">
        <f aca="false">'Sources &amp; Uses'!E12</f>
        <v>0</v>
      </c>
      <c r="G9" s="1184" t="n">
        <f aca="false">'Sources &amp; Uses'!F12</f>
        <v>0</v>
      </c>
      <c r="H9" s="1167"/>
      <c r="I9" s="1139"/>
      <c r="J9" s="1226" t="n">
        <f aca="false">Personnel!A9</f>
        <v>0</v>
      </c>
      <c r="K9" s="1227" t="n">
        <f aca="false">Personnel!BL9</f>
        <v>0</v>
      </c>
      <c r="L9" s="1228" t="n">
        <f aca="false">Personnel!BM9</f>
        <v>0</v>
      </c>
      <c r="M9" s="1228" t="n">
        <f aca="false">Personnel!BN9</f>
        <v>0</v>
      </c>
      <c r="N9" s="1228" t="n">
        <f aca="false">Personnel!BO9</f>
        <v>0</v>
      </c>
      <c r="O9" s="1229" t="n">
        <f aca="false">Personnel!BP9</f>
        <v>0</v>
      </c>
      <c r="P9" s="1230"/>
      <c r="Q9" s="1146"/>
      <c r="R9" s="1231" t="n">
        <f aca="false">Personnel!A9</f>
        <v>0</v>
      </c>
      <c r="S9" s="1232" t="n">
        <f aca="false">Personnel!D9</f>
        <v>0</v>
      </c>
      <c r="T9" s="1233" t="n">
        <f aca="false">Personnel!E9</f>
        <v>0</v>
      </c>
      <c r="U9" s="1233" t="n">
        <f aca="false">Personnel!F9</f>
        <v>0</v>
      </c>
      <c r="V9" s="1233" t="n">
        <f aca="false">Personnel!G9</f>
        <v>0</v>
      </c>
      <c r="W9" s="1233" t="n">
        <f aca="false">Personnel!H9</f>
        <v>0</v>
      </c>
      <c r="X9" s="1233" t="n">
        <f aca="false">Personnel!I9</f>
        <v>0</v>
      </c>
      <c r="Y9" s="1233" t="n">
        <f aca="false">Personnel!J9</f>
        <v>0</v>
      </c>
      <c r="Z9" s="1233" t="n">
        <f aca="false">Personnel!K9</f>
        <v>0</v>
      </c>
      <c r="AA9" s="1233" t="n">
        <f aca="false">Personnel!L9</f>
        <v>0</v>
      </c>
      <c r="AB9" s="1233" t="n">
        <f aca="false">Personnel!M9</f>
        <v>0</v>
      </c>
      <c r="AC9" s="1233" t="n">
        <f aca="false">Personnel!N9</f>
        <v>0</v>
      </c>
      <c r="AD9" s="1234" t="n">
        <f aca="false">Personnel!O9</f>
        <v>0</v>
      </c>
      <c r="AE9" s="1167"/>
      <c r="AF9" s="1139"/>
      <c r="AG9" s="1235"/>
      <c r="AH9" s="1236"/>
      <c r="AI9" s="1217"/>
      <c r="AJ9" s="1217"/>
      <c r="AK9" s="1217"/>
      <c r="AL9" s="1218"/>
      <c r="AM9" s="1189"/>
      <c r="AN9" s="1139"/>
      <c r="AO9" s="1237"/>
      <c r="AP9" s="1221"/>
      <c r="AQ9" s="1221"/>
      <c r="AR9" s="1221"/>
      <c r="AS9" s="1221"/>
      <c r="AT9" s="1221"/>
      <c r="AU9" s="1221"/>
      <c r="AV9" s="1221"/>
      <c r="AW9" s="1221"/>
      <c r="AX9" s="1221"/>
      <c r="AY9" s="1221"/>
      <c r="AZ9" s="1221"/>
      <c r="BA9" s="1222"/>
      <c r="BB9" s="1189"/>
      <c r="BC9" s="1189"/>
      <c r="BD9" s="1139"/>
      <c r="BE9" s="1235" t="str">
        <f aca="false">Revenue!A80</f>
        <v>SS-8</v>
      </c>
      <c r="BF9" s="1227" t="n">
        <f aca="false">Revenue!BJ79</f>
        <v>6604.76190476192</v>
      </c>
      <c r="BG9" s="1228" t="n">
        <f aca="false">Revenue!BK79</f>
        <v>31485.7142857143</v>
      </c>
      <c r="BH9" s="1228" t="n">
        <f aca="false">Revenue!BL79</f>
        <v>76000</v>
      </c>
      <c r="BI9" s="1228" t="n">
        <f aca="false">Revenue!BM79</f>
        <v>76000</v>
      </c>
      <c r="BJ9" s="1229" t="n">
        <f aca="false">Revenue!BN79</f>
        <v>76000</v>
      </c>
      <c r="BK9" s="1198"/>
      <c r="BL9" s="1139"/>
      <c r="BM9" s="1242" t="str">
        <f aca="false">Revenue!A80</f>
        <v>SS-8</v>
      </c>
      <c r="BN9" s="1232" t="n">
        <f aca="false">Revenue!G79</f>
        <v>361.904761904762</v>
      </c>
      <c r="BO9" s="1233" t="n">
        <f aca="false">Revenue!H79</f>
        <v>542.857142857143</v>
      </c>
      <c r="BP9" s="1233" t="n">
        <f aca="false">Revenue!I79</f>
        <v>723.809523809524</v>
      </c>
      <c r="BQ9" s="1233" t="n">
        <f aca="false">Revenue!J79</f>
        <v>904.761904761905</v>
      </c>
      <c r="BR9" s="1233" t="n">
        <f aca="false">Revenue!K79</f>
        <v>1085.71428571429</v>
      </c>
      <c r="BS9" s="1233" t="n">
        <f aca="false">Revenue!L79</f>
        <v>1266.66666666667</v>
      </c>
      <c r="BT9" s="1233" t="n">
        <f aca="false">Revenue!M79</f>
        <v>1447.61904761905</v>
      </c>
      <c r="BU9" s="1233" t="n">
        <f aca="false">Revenue!N79</f>
        <v>1628.57142857143</v>
      </c>
      <c r="BV9" s="1233" t="n">
        <f aca="false">Revenue!O79</f>
        <v>1809.52380952381</v>
      </c>
      <c r="BW9" s="1233"/>
      <c r="BX9" s="1233"/>
      <c r="BY9" s="1234"/>
      <c r="BZ9" s="1189"/>
      <c r="CA9" s="1189"/>
      <c r="CB9" s="1139"/>
      <c r="CC9" s="1253" t="str">
        <f aca="false">'P&amp;L'!A29</f>
        <v>Facility Lease</v>
      </c>
      <c r="CD9" s="1217" t="n">
        <f aca="false">'P&amp;L'!BJ29</f>
        <v>3600000</v>
      </c>
      <c r="CE9" s="1217" t="n">
        <f aca="false">'P&amp;L'!BK29</f>
        <v>3780000</v>
      </c>
      <c r="CF9" s="1217" t="n">
        <f aca="false">'P&amp;L'!BL29</f>
        <v>3969000</v>
      </c>
      <c r="CG9" s="1217" t="n">
        <f aca="false">'P&amp;L'!BM29</f>
        <v>4167450</v>
      </c>
      <c r="CH9" s="1218" t="n">
        <f aca="false">'P&amp;L'!BN29</f>
        <v>4375822.5</v>
      </c>
      <c r="CI9" s="1167"/>
      <c r="CJ9" s="1139"/>
      <c r="CK9" s="1301" t="str">
        <f aca="false">'P&amp;L'!A29</f>
        <v>Facility Lease</v>
      </c>
      <c r="CL9" s="1302" t="n">
        <f aca="false">'P&amp;L'!B29</f>
        <v>300000</v>
      </c>
      <c r="CM9" s="1283" t="n">
        <f aca="false">'P&amp;L'!C29</f>
        <v>300000</v>
      </c>
      <c r="CN9" s="1283" t="n">
        <f aca="false">'P&amp;L'!D29</f>
        <v>300000</v>
      </c>
      <c r="CO9" s="1283" t="n">
        <f aca="false">'P&amp;L'!E29</f>
        <v>300000</v>
      </c>
      <c r="CP9" s="1283" t="n">
        <f aca="false">'P&amp;L'!F29</f>
        <v>300000</v>
      </c>
      <c r="CQ9" s="1283" t="n">
        <f aca="false">'P&amp;L'!G29</f>
        <v>300000</v>
      </c>
      <c r="CR9" s="1283" t="n">
        <f aca="false">'P&amp;L'!H29</f>
        <v>300000</v>
      </c>
      <c r="CS9" s="1283" t="n">
        <f aca="false">'P&amp;L'!I29</f>
        <v>300000</v>
      </c>
      <c r="CT9" s="1283" t="n">
        <f aca="false">'P&amp;L'!J29</f>
        <v>300000</v>
      </c>
      <c r="CU9" s="1283" t="n">
        <f aca="false">'P&amp;L'!K29</f>
        <v>300000</v>
      </c>
      <c r="CV9" s="1283" t="n">
        <f aca="false">'P&amp;L'!L29</f>
        <v>300000</v>
      </c>
      <c r="CW9" s="1247" t="n">
        <f aca="false">'P&amp;L'!M29</f>
        <v>300000</v>
      </c>
      <c r="CX9" s="1167"/>
      <c r="CY9" s="1157"/>
      <c r="CZ9" s="1308" t="str">
        <f aca="false">'Cash Flow'!A31</f>
        <v>Net Cash From Operating Activities</v>
      </c>
      <c r="DA9" s="1309" t="n">
        <f aca="false">'Cash Flow'!BJ31</f>
        <v>-3179647.38535702</v>
      </c>
      <c r="DB9" s="1310" t="n">
        <f aca="false">'Cash Flow'!BK31</f>
        <v>9377659.15751961</v>
      </c>
      <c r="DC9" s="1310" t="n">
        <f aca="false">'Cash Flow'!BL31</f>
        <v>42143302.8796235</v>
      </c>
      <c r="DD9" s="1310" t="n">
        <f aca="false">'Cash Flow'!BM31</f>
        <v>50310369.0469762</v>
      </c>
      <c r="DE9" s="1311" t="n">
        <f aca="false">'Cash Flow'!BN31</f>
        <v>56679437.7173783</v>
      </c>
      <c r="DF9" s="1274"/>
      <c r="DG9" s="1139"/>
      <c r="DH9" s="1312" t="str">
        <f aca="false">CZ9</f>
        <v>Net Cash From Operating Activities</v>
      </c>
      <c r="DI9" s="1296" t="n">
        <f aca="false">'Cash Flow'!B31</f>
        <v>-5421.99961369863</v>
      </c>
      <c r="DJ9" s="1297" t="n">
        <f aca="false">'Cash Flow'!C31</f>
        <v>-396039.615635617</v>
      </c>
      <c r="DK9" s="1297" t="n">
        <f aca="false">'Cash Flow'!D31</f>
        <v>-412977.020537417</v>
      </c>
      <c r="DL9" s="1297" t="n">
        <f aca="false">'Cash Flow'!E31</f>
        <v>-420750.180983845</v>
      </c>
      <c r="DM9" s="1297" t="n">
        <f aca="false">'Cash Flow'!F31</f>
        <v>-383492.956529836</v>
      </c>
      <c r="DN9" s="1297" t="n">
        <f aca="false">'Cash Flow'!G31</f>
        <v>-345887.996054194</v>
      </c>
      <c r="DO9" s="1297" t="n">
        <f aca="false">'Cash Flow'!H31</f>
        <v>-293081.950265708</v>
      </c>
      <c r="DP9" s="1297" t="n">
        <f aca="false">'Cash Flow'!I31</f>
        <v>-286223.321113594</v>
      </c>
      <c r="DQ9" s="1297" t="n">
        <f aca="false">'Cash Flow'!J31</f>
        <v>-250083.755445504</v>
      </c>
      <c r="DR9" s="1297" t="n">
        <f aca="false">'Cash Flow'!K31</f>
        <v>-189398.967600634</v>
      </c>
      <c r="DS9" s="1297" t="n">
        <f aca="false">'Cash Flow'!L31</f>
        <v>-129640.051612149</v>
      </c>
      <c r="DT9" s="1298" t="n">
        <f aca="false">'Cash Flow'!M31</f>
        <v>-66649.5699648238</v>
      </c>
      <c r="DU9" s="1274"/>
      <c r="DV9" s="1157"/>
      <c r="DW9" s="1280"/>
      <c r="DX9" s="1313"/>
      <c r="DY9" s="1314"/>
      <c r="DZ9" s="1314"/>
      <c r="EA9" s="1314"/>
      <c r="EB9" s="1315"/>
      <c r="EC9" s="1167"/>
      <c r="ED9" s="1157"/>
      <c r="EE9" s="1316"/>
      <c r="EF9" s="1283"/>
      <c r="EG9" s="1283"/>
      <c r="EH9" s="1283"/>
      <c r="EI9" s="1283"/>
      <c r="EJ9" s="1283"/>
      <c r="EK9" s="1283"/>
      <c r="EL9" s="1283"/>
      <c r="EM9" s="1283"/>
      <c r="EN9" s="1283"/>
      <c r="EO9" s="1283"/>
      <c r="EP9" s="1283"/>
      <c r="EQ9" s="1284"/>
      <c r="ER9" s="1167"/>
      <c r="ES9" s="1163"/>
      <c r="ET9" s="1317"/>
      <c r="EU9" s="1318"/>
      <c r="EV9" s="1318"/>
      <c r="EW9" s="1318"/>
      <c r="EX9" s="1318"/>
      <c r="EY9" s="1319"/>
      <c r="EZ9" s="1167"/>
      <c r="FA9" s="1165"/>
      <c r="FB9" s="1216" t="s">
        <v>1914</v>
      </c>
      <c r="FC9" s="1217" t="n">
        <f aca="false">'Sensitivity Analysis'!BK26</f>
        <v>6772093.98621184</v>
      </c>
      <c r="FD9" s="1217" t="n">
        <f aca="false">'Sensitivity Analysis'!BL26</f>
        <v>22168866.5517861</v>
      </c>
      <c r="FE9" s="1217" t="n">
        <f aca="false">'Sensitivity Analysis'!BM26</f>
        <v>85778816.8093332</v>
      </c>
      <c r="FF9" s="1217" t="n">
        <f aca="false">'Sensitivity Analysis'!BN26</f>
        <v>158233765.286636</v>
      </c>
      <c r="FG9" s="1218" t="n">
        <f aca="false">'Sensitivity Analysis'!BO26</f>
        <v>239493793.217743</v>
      </c>
      <c r="FH9" s="1167"/>
      <c r="FI9" s="1189"/>
      <c r="FJ9" s="1139"/>
      <c r="FK9" s="1216" t="s">
        <v>1492</v>
      </c>
      <c r="FL9" s="1217"/>
      <c r="FM9" s="1217"/>
      <c r="FN9" s="1218"/>
      <c r="FO9" s="1189"/>
      <c r="FP9" s="1163"/>
      <c r="FQ9" s="1216"/>
      <c r="FR9" s="1217"/>
      <c r="FS9" s="1217"/>
      <c r="FT9" s="1217"/>
      <c r="FU9" s="1217"/>
      <c r="FV9" s="1218"/>
      <c r="FW9" s="1167"/>
      <c r="FX9" s="1173"/>
      <c r="FY9" s="1174"/>
      <c r="FZ9" s="1175"/>
      <c r="GA9" s="1258"/>
      <c r="GB9" s="1217"/>
      <c r="GC9" s="1217"/>
      <c r="GD9" s="1217"/>
      <c r="GE9" s="1217"/>
      <c r="GF9" s="1218"/>
      <c r="GG9" s="1189"/>
      <c r="GH9" s="1189"/>
      <c r="GI9" s="1178"/>
      <c r="GJ9" s="1258"/>
      <c r="GK9" s="1217"/>
      <c r="GL9" s="1217"/>
      <c r="GM9" s="1217"/>
      <c r="GN9" s="1217"/>
      <c r="GO9" s="1218"/>
      <c r="GP9" s="1167"/>
      <c r="GQ9" s="1167"/>
      <c r="GR9" s="1167"/>
      <c r="GS9" s="1163"/>
      <c r="GT9" s="1216"/>
      <c r="GU9" s="1221"/>
      <c r="GV9" s="1221"/>
      <c r="GW9" s="1221"/>
      <c r="GX9" s="1221"/>
      <c r="GY9" s="1221"/>
      <c r="GZ9" s="1221"/>
      <c r="HA9" s="1221"/>
      <c r="HB9" s="1221"/>
      <c r="HC9" s="1221"/>
      <c r="HD9" s="1221"/>
      <c r="HE9" s="1221"/>
      <c r="HF9" s="1222"/>
      <c r="HG9" s="1167"/>
      <c r="HH9" s="1167"/>
      <c r="HI9" s="1167"/>
      <c r="HJ9" s="1178"/>
      <c r="HK9" s="1264"/>
      <c r="HL9" s="1217"/>
      <c r="HM9" s="1217"/>
      <c r="HN9" s="1217"/>
      <c r="HO9" s="1217"/>
      <c r="HP9" s="1217"/>
      <c r="HQ9" s="1218"/>
    </row>
    <row r="10" customFormat="false" ht="12.75" hidden="false" customHeight="true" outlineLevel="0" collapsed="false">
      <c r="A10" s="1139"/>
      <c r="B10" s="1300" t="n">
        <f aca="false">'Sources &amp; Uses'!A16</f>
        <v>0</v>
      </c>
      <c r="C10" s="1184" t="n">
        <f aca="false">'Sources &amp; Uses'!B16</f>
        <v>0</v>
      </c>
      <c r="D10" s="1167"/>
      <c r="E10" s="1139"/>
      <c r="F10" s="1183" t="n">
        <f aca="false">'Sources &amp; Uses'!E13</f>
        <v>0</v>
      </c>
      <c r="G10" s="1184" t="n">
        <f aca="false">'Sources &amp; Uses'!F13</f>
        <v>0</v>
      </c>
      <c r="H10" s="1167"/>
      <c r="I10" s="1139"/>
      <c r="J10" s="1226" t="n">
        <f aca="false">Personnel!A10</f>
        <v>0</v>
      </c>
      <c r="K10" s="1227" t="n">
        <f aca="false">Personnel!BL10</f>
        <v>0</v>
      </c>
      <c r="L10" s="1228" t="n">
        <f aca="false">Personnel!BM10</f>
        <v>0</v>
      </c>
      <c r="M10" s="1228" t="n">
        <f aca="false">Personnel!BN10</f>
        <v>0</v>
      </c>
      <c r="N10" s="1228" t="n">
        <f aca="false">Personnel!BO10</f>
        <v>0</v>
      </c>
      <c r="O10" s="1229" t="n">
        <f aca="false">Personnel!BP10</f>
        <v>0</v>
      </c>
      <c r="P10" s="1230"/>
      <c r="Q10" s="1146"/>
      <c r="R10" s="1231" t="n">
        <f aca="false">Personnel!A10</f>
        <v>0</v>
      </c>
      <c r="S10" s="1232" t="n">
        <f aca="false">Personnel!D10</f>
        <v>0</v>
      </c>
      <c r="T10" s="1233" t="n">
        <f aca="false">Personnel!E10</f>
        <v>0</v>
      </c>
      <c r="U10" s="1233" t="n">
        <f aca="false">Personnel!F10</f>
        <v>0</v>
      </c>
      <c r="V10" s="1233" t="n">
        <f aca="false">Personnel!G10</f>
        <v>0</v>
      </c>
      <c r="W10" s="1233" t="n">
        <f aca="false">Personnel!H10</f>
        <v>0</v>
      </c>
      <c r="X10" s="1233" t="n">
        <f aca="false">Personnel!I10</f>
        <v>0</v>
      </c>
      <c r="Y10" s="1233" t="n">
        <f aca="false">Personnel!J10</f>
        <v>0</v>
      </c>
      <c r="Z10" s="1233" t="n">
        <f aca="false">Personnel!K10</f>
        <v>0</v>
      </c>
      <c r="AA10" s="1233" t="n">
        <f aca="false">Personnel!L10</f>
        <v>0</v>
      </c>
      <c r="AB10" s="1233" t="n">
        <f aca="false">Personnel!M10</f>
        <v>0</v>
      </c>
      <c r="AC10" s="1233" t="n">
        <f aca="false">Personnel!N10</f>
        <v>0</v>
      </c>
      <c r="AD10" s="1234" t="n">
        <f aca="false">Personnel!O10</f>
        <v>0</v>
      </c>
      <c r="AE10" s="1167"/>
      <c r="AF10" s="1139"/>
      <c r="AG10" s="1235"/>
      <c r="AH10" s="1236"/>
      <c r="AI10" s="1217"/>
      <c r="AJ10" s="1217"/>
      <c r="AK10" s="1217"/>
      <c r="AL10" s="1218"/>
      <c r="AM10" s="1189"/>
      <c r="AN10" s="1139"/>
      <c r="AO10" s="1237"/>
      <c r="AP10" s="1221"/>
      <c r="AQ10" s="1221"/>
      <c r="AR10" s="1221"/>
      <c r="AS10" s="1221"/>
      <c r="AT10" s="1221"/>
      <c r="AU10" s="1221"/>
      <c r="AV10" s="1221"/>
      <c r="AW10" s="1221"/>
      <c r="AX10" s="1221"/>
      <c r="AY10" s="1221"/>
      <c r="AZ10" s="1221"/>
      <c r="BA10" s="1222"/>
      <c r="BB10" s="1189"/>
      <c r="BC10" s="1189"/>
      <c r="BD10" s="1139"/>
      <c r="BE10" s="1235" t="str">
        <f aca="false">Revenue!A81</f>
        <v>SS-10</v>
      </c>
      <c r="BF10" s="1227" t="n">
        <f aca="false">Revenue!BJ80</f>
        <v>4127.97619047619</v>
      </c>
      <c r="BG10" s="1228" t="n">
        <f aca="false">Revenue!BK80</f>
        <v>19678.5714285714</v>
      </c>
      <c r="BH10" s="1228" t="n">
        <f aca="false">Revenue!BL80</f>
        <v>47500</v>
      </c>
      <c r="BI10" s="1228" t="n">
        <f aca="false">Revenue!BM80</f>
        <v>47500</v>
      </c>
      <c r="BJ10" s="1229" t="n">
        <f aca="false">Revenue!BN80</f>
        <v>47500</v>
      </c>
      <c r="BK10" s="1198"/>
      <c r="BL10" s="1139"/>
      <c r="BM10" s="1242" t="str">
        <f aca="false">Revenue!A81</f>
        <v>SS-10</v>
      </c>
      <c r="BN10" s="1232" t="n">
        <f aca="false">Revenue!G80</f>
        <v>226.190476190476</v>
      </c>
      <c r="BO10" s="1233" t="n">
        <f aca="false">Revenue!H80</f>
        <v>339.285714285714</v>
      </c>
      <c r="BP10" s="1233" t="n">
        <f aca="false">Revenue!I80</f>
        <v>452.380952380952</v>
      </c>
      <c r="BQ10" s="1233" t="n">
        <f aca="false">Revenue!J80</f>
        <v>565.476190476191</v>
      </c>
      <c r="BR10" s="1233" t="n">
        <f aca="false">Revenue!K80</f>
        <v>678.571428571429</v>
      </c>
      <c r="BS10" s="1233" t="n">
        <f aca="false">Revenue!L80</f>
        <v>791.666666666667</v>
      </c>
      <c r="BT10" s="1233" t="n">
        <f aca="false">Revenue!M80</f>
        <v>904.761904761905</v>
      </c>
      <c r="BU10" s="1233" t="n">
        <f aca="false">Revenue!N80</f>
        <v>1017.85714285714</v>
      </c>
      <c r="BV10" s="1233" t="n">
        <f aca="false">Revenue!O80</f>
        <v>1130.95238095238</v>
      </c>
      <c r="BW10" s="1233"/>
      <c r="BX10" s="1233"/>
      <c r="BY10" s="1234"/>
      <c r="BZ10" s="1189"/>
      <c r="CA10" s="1189"/>
      <c r="CB10" s="1139"/>
      <c r="CC10" s="1253" t="str">
        <f aca="false">'P&amp;L'!A30</f>
        <v>OH % Cost</v>
      </c>
      <c r="CD10" s="1217" t="n">
        <f aca="false">'P&amp;L'!BJ30</f>
        <v>979730.258344048</v>
      </c>
      <c r="CE10" s="1217" t="n">
        <f aca="false">'P&amp;L'!BK30</f>
        <v>6347372.62030143</v>
      </c>
      <c r="CF10" s="1217" t="n">
        <f aca="false">'P&amp;L'!BL30</f>
        <v>16714084.6428</v>
      </c>
      <c r="CG10" s="1217" t="n">
        <f aca="false">'P&amp;L'!BM30</f>
        <v>18106925.0297</v>
      </c>
      <c r="CH10" s="1218" t="n">
        <f aca="false">'P&amp;L'!BN30</f>
        <v>19499765.4166</v>
      </c>
      <c r="CI10" s="1167"/>
      <c r="CJ10" s="1139"/>
      <c r="CK10" s="1301" t="str">
        <f aca="false">'P&amp;L'!A30</f>
        <v>OH % Cost</v>
      </c>
      <c r="CL10" s="1302" t="n">
        <f aca="false">'P&amp;L'!B30</f>
        <v>0</v>
      </c>
      <c r="CM10" s="1283" t="n">
        <f aca="false">'P&amp;L'!C30</f>
        <v>0</v>
      </c>
      <c r="CN10" s="1283" t="n">
        <f aca="false">'P&amp;L'!D30</f>
        <v>91.714</v>
      </c>
      <c r="CO10" s="1283" t="n">
        <f aca="false">'P&amp;L'!E30</f>
        <v>13419.7060869048</v>
      </c>
      <c r="CP10" s="1283" t="n">
        <f aca="false">'P&amp;L'!F30</f>
        <v>26839.4121738095</v>
      </c>
      <c r="CQ10" s="1283" t="n">
        <f aca="false">'P&amp;L'!G30</f>
        <v>53678.8243476191</v>
      </c>
      <c r="CR10" s="1283" t="n">
        <f aca="false">'P&amp;L'!H30</f>
        <v>80518.2365214286</v>
      </c>
      <c r="CS10" s="1283" t="n">
        <f aca="false">'P&amp;L'!I30</f>
        <v>107357.648695238</v>
      </c>
      <c r="CT10" s="1283" t="n">
        <f aca="false">'P&amp;L'!J30</f>
        <v>134197.060869048</v>
      </c>
      <c r="CU10" s="1283" t="n">
        <f aca="false">'P&amp;L'!K30</f>
        <v>161036.473042857</v>
      </c>
      <c r="CV10" s="1283" t="n">
        <f aca="false">'P&amp;L'!L30</f>
        <v>187875.885216667</v>
      </c>
      <c r="CW10" s="1247" t="n">
        <f aca="false">'P&amp;L'!M30</f>
        <v>214715.297390476</v>
      </c>
      <c r="CX10" s="1167"/>
      <c r="CY10" s="1157"/>
      <c r="CZ10" s="1320"/>
      <c r="DA10" s="1321"/>
      <c r="DB10" s="1262"/>
      <c r="DC10" s="1262"/>
      <c r="DD10" s="1262"/>
      <c r="DE10" s="1263"/>
      <c r="DF10" s="1167"/>
      <c r="DG10" s="1139"/>
      <c r="DH10" s="1322"/>
      <c r="DI10" s="1283"/>
      <c r="DJ10" s="1283"/>
      <c r="DK10" s="1283"/>
      <c r="DL10" s="1283"/>
      <c r="DM10" s="1283"/>
      <c r="DN10" s="1283"/>
      <c r="DO10" s="1283"/>
      <c r="DP10" s="1283"/>
      <c r="DQ10" s="1283"/>
      <c r="DR10" s="1283"/>
      <c r="DS10" s="1283"/>
      <c r="DT10" s="1284"/>
      <c r="DU10" s="1167"/>
      <c r="DV10" s="1157"/>
      <c r="DW10" s="1200" t="str">
        <f aca="false">EE10</f>
        <v>Fixed Assets</v>
      </c>
      <c r="DX10" s="1261"/>
      <c r="DY10" s="1262"/>
      <c r="DZ10" s="1262"/>
      <c r="EA10" s="1262"/>
      <c r="EB10" s="1263"/>
      <c r="EC10" s="1167"/>
      <c r="ED10" s="1157"/>
      <c r="EE10" s="1194" t="str">
        <f aca="false">'Balance Sheet'!A9</f>
        <v>Fixed Assets</v>
      </c>
      <c r="EF10" s="1191"/>
      <c r="EG10" s="1192"/>
      <c r="EH10" s="1192"/>
      <c r="EI10" s="1192"/>
      <c r="EJ10" s="1192"/>
      <c r="EK10" s="1192"/>
      <c r="EL10" s="1192"/>
      <c r="EM10" s="1192"/>
      <c r="EN10" s="1192"/>
      <c r="EO10" s="1192"/>
      <c r="EP10" s="1192"/>
      <c r="EQ10" s="1193"/>
      <c r="ER10" s="1167"/>
      <c r="ES10" s="1163"/>
      <c r="ET10" s="1323" t="s">
        <v>1915</v>
      </c>
      <c r="EU10" s="1186"/>
      <c r="EV10" s="1187"/>
      <c r="EW10" s="1187"/>
      <c r="EX10" s="1187"/>
      <c r="EY10" s="1188"/>
      <c r="EZ10" s="1167"/>
      <c r="FA10" s="1165"/>
      <c r="FB10" s="1216" t="s">
        <v>1916</v>
      </c>
      <c r="FC10" s="1217" t="n">
        <f aca="false">'Sensitivity Analysis'!BK28</f>
        <v>-2892757.28488284</v>
      </c>
      <c r="FD10" s="1217" t="n">
        <f aca="false">'Sensitivity Analysis'!BL28</f>
        <v>12504015.2806914</v>
      </c>
      <c r="FE10" s="1217" t="n">
        <f aca="false">'Sensitivity Analysis'!BM28</f>
        <v>76113965.5382385</v>
      </c>
      <c r="FF10" s="1217" t="n">
        <f aca="false">'Sensitivity Analysis'!BN28</f>
        <v>148568914.015541</v>
      </c>
      <c r="FG10" s="1218" t="n">
        <f aca="false">'Sensitivity Analysis'!BO28</f>
        <v>229828941.946648</v>
      </c>
      <c r="FH10" s="1167"/>
      <c r="FI10" s="1189"/>
      <c r="FJ10" s="1139"/>
      <c r="FK10" s="1258" t="str">
        <f aca="false">Existing!A8</f>
        <v>Cash</v>
      </c>
      <c r="FL10" s="1217" t="n">
        <f aca="false">Existing!B8</f>
        <v>0</v>
      </c>
      <c r="FM10" s="1217" t="n">
        <f aca="false">Existing!C8</f>
        <v>0</v>
      </c>
      <c r="FN10" s="1218" t="n">
        <f aca="false">Existing!D8</f>
        <v>0</v>
      </c>
      <c r="FO10" s="1189"/>
      <c r="FP10" s="1163"/>
      <c r="FQ10" s="1216" t="s">
        <v>1917</v>
      </c>
      <c r="FR10" s="1217"/>
      <c r="FS10" s="1217"/>
      <c r="FT10" s="1217"/>
      <c r="FU10" s="1217"/>
      <c r="FV10" s="1218"/>
      <c r="FW10" s="1167"/>
      <c r="FX10" s="1173"/>
      <c r="FY10" s="1174"/>
      <c r="FZ10" s="1175"/>
      <c r="GA10" s="1258"/>
      <c r="GB10" s="1217"/>
      <c r="GC10" s="1217"/>
      <c r="GD10" s="1217"/>
      <c r="GE10" s="1217"/>
      <c r="GF10" s="1218"/>
      <c r="GG10" s="1189"/>
      <c r="GH10" s="1189"/>
      <c r="GI10" s="1178"/>
      <c r="GJ10" s="1324"/>
      <c r="GK10" s="1217"/>
      <c r="GL10" s="1217"/>
      <c r="GM10" s="1217"/>
      <c r="GN10" s="1217"/>
      <c r="GO10" s="1218"/>
      <c r="GP10" s="1167"/>
      <c r="GQ10" s="1167"/>
      <c r="GR10" s="1167"/>
      <c r="GS10" s="1163"/>
      <c r="GT10" s="1216"/>
      <c r="GU10" s="1221"/>
      <c r="GV10" s="1221"/>
      <c r="GW10" s="1221"/>
      <c r="GX10" s="1221"/>
      <c r="GY10" s="1221"/>
      <c r="GZ10" s="1221"/>
      <c r="HA10" s="1221"/>
      <c r="HB10" s="1221"/>
      <c r="HC10" s="1221"/>
      <c r="HD10" s="1221"/>
      <c r="HE10" s="1221"/>
      <c r="HF10" s="1222"/>
      <c r="HG10" s="1167"/>
      <c r="HH10" s="1167"/>
      <c r="HI10" s="1167"/>
      <c r="HJ10" s="1178"/>
      <c r="HK10" s="1325"/>
      <c r="HL10" s="1217"/>
      <c r="HM10" s="1217"/>
      <c r="HN10" s="1217"/>
      <c r="HO10" s="1217"/>
      <c r="HP10" s="1217"/>
      <c r="HQ10" s="1218"/>
    </row>
    <row r="11" customFormat="false" ht="12.75" hidden="false" customHeight="true" outlineLevel="0" collapsed="false">
      <c r="A11" s="1139"/>
      <c r="B11" s="1300" t="n">
        <f aca="false">'Sources &amp; Uses'!A17</f>
        <v>0</v>
      </c>
      <c r="C11" s="1184" t="n">
        <f aca="false">'Sources &amp; Uses'!B17</f>
        <v>0</v>
      </c>
      <c r="D11" s="1167"/>
      <c r="E11" s="1139"/>
      <c r="F11" s="1183" t="n">
        <f aca="false">'Sources &amp; Uses'!E14</f>
        <v>0</v>
      </c>
      <c r="G11" s="1184" t="n">
        <f aca="false">'Sources &amp; Uses'!F14</f>
        <v>0</v>
      </c>
      <c r="H11" s="1167"/>
      <c r="I11" s="1139"/>
      <c r="J11" s="1226" t="n">
        <f aca="false">Personnel!A11</f>
        <v>0</v>
      </c>
      <c r="K11" s="1227" t="n">
        <f aca="false">Personnel!BL11</f>
        <v>0</v>
      </c>
      <c r="L11" s="1228" t="n">
        <f aca="false">Personnel!BM11</f>
        <v>0</v>
      </c>
      <c r="M11" s="1228" t="n">
        <f aca="false">Personnel!BN11</f>
        <v>0</v>
      </c>
      <c r="N11" s="1228" t="n">
        <f aca="false">Personnel!BO11</f>
        <v>0</v>
      </c>
      <c r="O11" s="1229" t="n">
        <f aca="false">Personnel!BP11</f>
        <v>0</v>
      </c>
      <c r="P11" s="1230"/>
      <c r="Q11" s="1146"/>
      <c r="R11" s="1231" t="n">
        <f aca="false">Personnel!A11</f>
        <v>0</v>
      </c>
      <c r="S11" s="1232" t="n">
        <f aca="false">Personnel!D11</f>
        <v>0</v>
      </c>
      <c r="T11" s="1233" t="n">
        <f aca="false">Personnel!E11</f>
        <v>0</v>
      </c>
      <c r="U11" s="1233" t="n">
        <f aca="false">Personnel!F11</f>
        <v>0</v>
      </c>
      <c r="V11" s="1233" t="n">
        <f aca="false">Personnel!G11</f>
        <v>0</v>
      </c>
      <c r="W11" s="1233" t="n">
        <f aca="false">Personnel!H11</f>
        <v>0</v>
      </c>
      <c r="X11" s="1233" t="n">
        <f aca="false">Personnel!I11</f>
        <v>0</v>
      </c>
      <c r="Y11" s="1233" t="n">
        <f aca="false">Personnel!J11</f>
        <v>0</v>
      </c>
      <c r="Z11" s="1233" t="n">
        <f aca="false">Personnel!K11</f>
        <v>0</v>
      </c>
      <c r="AA11" s="1233" t="n">
        <f aca="false">Personnel!L11</f>
        <v>0</v>
      </c>
      <c r="AB11" s="1233" t="n">
        <f aca="false">Personnel!M11</f>
        <v>0</v>
      </c>
      <c r="AC11" s="1233" t="n">
        <f aca="false">Personnel!N11</f>
        <v>0</v>
      </c>
      <c r="AD11" s="1234" t="n">
        <f aca="false">Personnel!O11</f>
        <v>0</v>
      </c>
      <c r="AE11" s="1167"/>
      <c r="AF11" s="1139"/>
      <c r="AG11" s="1235"/>
      <c r="AH11" s="1236"/>
      <c r="AI11" s="1217"/>
      <c r="AJ11" s="1217"/>
      <c r="AK11" s="1217"/>
      <c r="AL11" s="1218"/>
      <c r="AM11" s="1189"/>
      <c r="AN11" s="1139"/>
      <c r="AO11" s="1237"/>
      <c r="AP11" s="1221"/>
      <c r="AQ11" s="1221"/>
      <c r="AR11" s="1221"/>
      <c r="AS11" s="1221"/>
      <c r="AT11" s="1221"/>
      <c r="AU11" s="1221"/>
      <c r="AV11" s="1221"/>
      <c r="AW11" s="1221"/>
      <c r="AX11" s="1221"/>
      <c r="AY11" s="1221"/>
      <c r="AZ11" s="1221"/>
      <c r="BA11" s="1222"/>
      <c r="BB11" s="1189"/>
      <c r="BC11" s="1189"/>
      <c r="BD11" s="1139"/>
      <c r="BE11" s="1235" t="str">
        <f aca="false">Revenue!A82</f>
        <v>SS-12</v>
      </c>
      <c r="BF11" s="1227" t="n">
        <f aca="false">Revenue!BJ81</f>
        <v>2063.98809523809</v>
      </c>
      <c r="BG11" s="1228" t="n">
        <f aca="false">Revenue!BK81</f>
        <v>9839.28571428571</v>
      </c>
      <c r="BH11" s="1228" t="n">
        <f aca="false">Revenue!BL81</f>
        <v>23750</v>
      </c>
      <c r="BI11" s="1228" t="n">
        <f aca="false">Revenue!BM81</f>
        <v>23750</v>
      </c>
      <c r="BJ11" s="1229" t="n">
        <f aca="false">Revenue!BN81</f>
        <v>23750</v>
      </c>
      <c r="BK11" s="1198"/>
      <c r="BL11" s="1139"/>
      <c r="BM11" s="1242" t="str">
        <f aca="false">Revenue!A82</f>
        <v>SS-12</v>
      </c>
      <c r="BN11" s="1232" t="n">
        <f aca="false">Revenue!G81</f>
        <v>113.095238095238</v>
      </c>
      <c r="BO11" s="1233" t="n">
        <f aca="false">Revenue!H81</f>
        <v>169.642857142857</v>
      </c>
      <c r="BP11" s="1233" t="n">
        <f aca="false">Revenue!I81</f>
        <v>226.190476190476</v>
      </c>
      <c r="BQ11" s="1233" t="n">
        <f aca="false">Revenue!J81</f>
        <v>282.738095238095</v>
      </c>
      <c r="BR11" s="1233" t="n">
        <f aca="false">Revenue!K81</f>
        <v>339.285714285714</v>
      </c>
      <c r="BS11" s="1233" t="n">
        <f aca="false">Revenue!L81</f>
        <v>395.833333333333</v>
      </c>
      <c r="BT11" s="1233" t="n">
        <f aca="false">Revenue!M81</f>
        <v>452.380952380952</v>
      </c>
      <c r="BU11" s="1233" t="n">
        <f aca="false">Revenue!N81</f>
        <v>508.928571428571</v>
      </c>
      <c r="BV11" s="1233" t="n">
        <f aca="false">Revenue!O81</f>
        <v>565.476190476191</v>
      </c>
      <c r="BW11" s="1233"/>
      <c r="BX11" s="1233"/>
      <c r="BY11" s="1234"/>
      <c r="BZ11" s="1189"/>
      <c r="CA11" s="1189"/>
      <c r="CB11" s="1139"/>
      <c r="CC11" s="1253" t="str">
        <f aca="false">'P&amp;L'!A31</f>
        <v/>
      </c>
      <c r="CD11" s="1217" t="n">
        <f aca="false">'P&amp;L'!BJ31</f>
        <v>0</v>
      </c>
      <c r="CE11" s="1217" t="n">
        <f aca="false">'P&amp;L'!BK31</f>
        <v>0</v>
      </c>
      <c r="CF11" s="1217" t="n">
        <f aca="false">'P&amp;L'!BL31</f>
        <v>0</v>
      </c>
      <c r="CG11" s="1217" t="n">
        <f aca="false">'P&amp;L'!BM31</f>
        <v>0</v>
      </c>
      <c r="CH11" s="1218" t="n">
        <f aca="false">'P&amp;L'!BN31</f>
        <v>0</v>
      </c>
      <c r="CI11" s="1167"/>
      <c r="CJ11" s="1139"/>
      <c r="CK11" s="1301" t="str">
        <f aca="false">'P&amp;L'!A31</f>
        <v/>
      </c>
      <c r="CL11" s="1302" t="n">
        <f aca="false">'P&amp;L'!B31</f>
        <v>0</v>
      </c>
      <c r="CM11" s="1283" t="n">
        <f aca="false">'P&amp;L'!C31</f>
        <v>0</v>
      </c>
      <c r="CN11" s="1283" t="n">
        <f aca="false">'P&amp;L'!D31</f>
        <v>0</v>
      </c>
      <c r="CO11" s="1283" t="n">
        <f aca="false">'P&amp;L'!E31</f>
        <v>0</v>
      </c>
      <c r="CP11" s="1283" t="n">
        <f aca="false">'P&amp;L'!F31</f>
        <v>0</v>
      </c>
      <c r="CQ11" s="1283" t="n">
        <f aca="false">'P&amp;L'!G31</f>
        <v>0</v>
      </c>
      <c r="CR11" s="1283" t="n">
        <f aca="false">'P&amp;L'!H31</f>
        <v>0</v>
      </c>
      <c r="CS11" s="1283" t="n">
        <f aca="false">'P&amp;L'!I31</f>
        <v>0</v>
      </c>
      <c r="CT11" s="1283" t="n">
        <f aca="false">'P&amp;L'!J31</f>
        <v>0</v>
      </c>
      <c r="CU11" s="1283" t="n">
        <f aca="false">'P&amp;L'!K31</f>
        <v>0</v>
      </c>
      <c r="CV11" s="1283" t="n">
        <f aca="false">'P&amp;L'!L31</f>
        <v>0</v>
      </c>
      <c r="CW11" s="1247" t="n">
        <f aca="false">'P&amp;L'!M31</f>
        <v>0</v>
      </c>
      <c r="CX11" s="1167"/>
      <c r="CY11" s="1157"/>
      <c r="CZ11" s="1203" t="str">
        <f aca="false">'Cash Flow'!A33</f>
        <v>INVESTING</v>
      </c>
      <c r="DA11" s="1204"/>
      <c r="DB11" s="1205"/>
      <c r="DC11" s="1205"/>
      <c r="DD11" s="1205"/>
      <c r="DE11" s="1206"/>
      <c r="DF11" s="1167"/>
      <c r="DG11" s="1139"/>
      <c r="DH11" s="1203" t="str">
        <f aca="false">CZ11</f>
        <v>INVESTING</v>
      </c>
      <c r="DI11" s="1191"/>
      <c r="DJ11" s="1192"/>
      <c r="DK11" s="1192"/>
      <c r="DL11" s="1192"/>
      <c r="DM11" s="1192"/>
      <c r="DN11" s="1192"/>
      <c r="DO11" s="1192"/>
      <c r="DP11" s="1192"/>
      <c r="DQ11" s="1192"/>
      <c r="DR11" s="1192"/>
      <c r="DS11" s="1192"/>
      <c r="DT11" s="1193"/>
      <c r="DU11" s="1167"/>
      <c r="DV11" s="1157"/>
      <c r="DW11" s="1253" t="str">
        <f aca="false">EE11</f>
        <v>Long-term Assets</v>
      </c>
      <c r="DX11" s="1261" t="n">
        <f aca="false">'Balance Sheet'!BJ10</f>
        <v>20165634.6</v>
      </c>
      <c r="DY11" s="1262" t="n">
        <f aca="false">'Balance Sheet'!BK10</f>
        <v>23461850.4</v>
      </c>
      <c r="DZ11" s="1262" t="n">
        <f aca="false">'Balance Sheet'!BL10</f>
        <v>23461850.4</v>
      </c>
      <c r="EA11" s="1262" t="n">
        <f aca="false">'Balance Sheet'!BM10</f>
        <v>23461850.4</v>
      </c>
      <c r="EB11" s="1263" t="n">
        <f aca="false">'Balance Sheet'!BN10</f>
        <v>23461850.4</v>
      </c>
      <c r="EC11" s="1167"/>
      <c r="ED11" s="1157"/>
      <c r="EE11" s="1235" t="str">
        <f aca="false">'Balance Sheet'!A10</f>
        <v>Long-term Assets</v>
      </c>
      <c r="EF11" s="1245" t="n">
        <f aca="false">'Balance Sheet'!B10</f>
        <v>0</v>
      </c>
      <c r="EG11" s="1246" t="n">
        <f aca="false">'Balance Sheet'!C10</f>
        <v>0</v>
      </c>
      <c r="EH11" s="1246" t="n">
        <f aca="false">'Balance Sheet'!D10</f>
        <v>0</v>
      </c>
      <c r="EI11" s="1246" t="n">
        <f aca="false">'Balance Sheet'!E10</f>
        <v>0</v>
      </c>
      <c r="EJ11" s="1246" t="n">
        <f aca="false">'Balance Sheet'!F10</f>
        <v>0</v>
      </c>
      <c r="EK11" s="1246" t="n">
        <f aca="false">'Balance Sheet'!G10</f>
        <v>0</v>
      </c>
      <c r="EL11" s="1246" t="n">
        <f aca="false">'Balance Sheet'!H10</f>
        <v>5134620</v>
      </c>
      <c r="EM11" s="1246" t="n">
        <f aca="false">'Balance Sheet'!I10</f>
        <v>8696214.6</v>
      </c>
      <c r="EN11" s="1246" t="n">
        <f aca="false">'Balance Sheet'!J10</f>
        <v>11563737.6</v>
      </c>
      <c r="EO11" s="1246" t="n">
        <f aca="false">'Balance Sheet'!K10</f>
        <v>14645993.4</v>
      </c>
      <c r="EP11" s="1246" t="n">
        <f aca="false">'Balance Sheet'!L10</f>
        <v>17083378.8</v>
      </c>
      <c r="EQ11" s="1247" t="n">
        <f aca="false">'Balance Sheet'!M10</f>
        <v>20165634.6</v>
      </c>
      <c r="ER11" s="1167"/>
      <c r="ES11" s="1163"/>
      <c r="ET11" s="1257" t="str">
        <f aca="false">CK5</f>
        <v>Gross Margin/Revenue</v>
      </c>
      <c r="EU11" s="1326"/>
      <c r="EV11" s="1327"/>
      <c r="EW11" s="1327"/>
      <c r="EX11" s="1327"/>
      <c r="EY11" s="1328"/>
      <c r="EZ11" s="1167"/>
      <c r="FA11" s="1165"/>
      <c r="FB11" s="1216"/>
      <c r="FC11" s="1217"/>
      <c r="FD11" s="1217"/>
      <c r="FE11" s="1217"/>
      <c r="FF11" s="1217"/>
      <c r="FG11" s="1218"/>
      <c r="FH11" s="1167"/>
      <c r="FI11" s="1167"/>
      <c r="FJ11" s="1139"/>
      <c r="FK11" s="1258" t="str">
        <f aca="false">Existing!A9</f>
        <v>Accounts Receivable</v>
      </c>
      <c r="FL11" s="1217" t="n">
        <f aca="false">Existing!B9</f>
        <v>0</v>
      </c>
      <c r="FM11" s="1217" t="n">
        <f aca="false">Existing!C9</f>
        <v>0</v>
      </c>
      <c r="FN11" s="1218" t="n">
        <f aca="false">Existing!D9</f>
        <v>0</v>
      </c>
      <c r="FO11" s="1167"/>
      <c r="FP11" s="1163"/>
      <c r="FQ11" s="1216" t="s">
        <v>1918</v>
      </c>
      <c r="FR11" s="1217" t="n">
        <f aca="false">MIN('Cash Flow'!B53:M53)</f>
        <v>7.13307457125027</v>
      </c>
      <c r="FS11" s="1217" t="n">
        <f aca="false">'Cash Flow'!BI53</f>
        <v>47.754141012655</v>
      </c>
      <c r="FT11" s="1217" t="n">
        <f aca="false">'Cash Flow'!BJ53</f>
        <v>7.13307457125027</v>
      </c>
      <c r="FU11" s="1217" t="n">
        <v>0</v>
      </c>
      <c r="FV11" s="1218" t="n">
        <v>0</v>
      </c>
      <c r="FW11" s="1167"/>
      <c r="FX11" s="1173"/>
      <c r="FY11" s="1174"/>
      <c r="FZ11" s="1175"/>
      <c r="GA11" s="1216"/>
      <c r="GB11" s="1217"/>
      <c r="GC11" s="1217"/>
      <c r="GD11" s="1217"/>
      <c r="GE11" s="1217"/>
      <c r="GF11" s="1218"/>
      <c r="GG11" s="1189"/>
      <c r="GH11" s="1189"/>
      <c r="GI11" s="1178"/>
      <c r="GJ11" s="1216"/>
      <c r="GK11" s="1217"/>
      <c r="GL11" s="1217"/>
      <c r="GM11" s="1217"/>
      <c r="GN11" s="1217"/>
      <c r="GO11" s="1218"/>
      <c r="GP11" s="1167"/>
      <c r="GQ11" s="1167"/>
      <c r="GR11" s="1167"/>
      <c r="GS11" s="1163"/>
      <c r="GT11" s="1216"/>
      <c r="GU11" s="1221"/>
      <c r="GV11" s="1221"/>
      <c r="GW11" s="1221"/>
      <c r="GX11" s="1221"/>
      <c r="GY11" s="1221"/>
      <c r="GZ11" s="1221"/>
      <c r="HA11" s="1221"/>
      <c r="HB11" s="1221"/>
      <c r="HC11" s="1221"/>
      <c r="HD11" s="1221"/>
      <c r="HE11" s="1221"/>
      <c r="HF11" s="1222"/>
      <c r="HG11" s="1167"/>
      <c r="HH11" s="1167"/>
      <c r="HI11" s="1167"/>
      <c r="HJ11" s="1178"/>
      <c r="HK11" s="1223"/>
      <c r="HL11" s="1217"/>
      <c r="HM11" s="1217"/>
      <c r="HN11" s="1217"/>
      <c r="HO11" s="1217"/>
      <c r="HP11" s="1217"/>
      <c r="HQ11" s="1218"/>
    </row>
    <row r="12" customFormat="false" ht="12.75" hidden="false" customHeight="true" outlineLevel="0" collapsed="false">
      <c r="A12" s="1139"/>
      <c r="B12" s="1300" t="n">
        <f aca="false">'Sources &amp; Uses'!A18</f>
        <v>0</v>
      </c>
      <c r="C12" s="1184" t="n">
        <f aca="false">'Sources &amp; Uses'!B18</f>
        <v>0</v>
      </c>
      <c r="D12" s="1167"/>
      <c r="E12" s="1139"/>
      <c r="F12" s="1183" t="n">
        <f aca="false">'Sources &amp; Uses'!E15</f>
        <v>0</v>
      </c>
      <c r="G12" s="1184" t="n">
        <f aca="false">'Sources &amp; Uses'!F15</f>
        <v>0</v>
      </c>
      <c r="H12" s="1167"/>
      <c r="I12" s="1139"/>
      <c r="J12" s="1226" t="n">
        <f aca="false">Personnel!A12</f>
        <v>0</v>
      </c>
      <c r="K12" s="1227" t="n">
        <f aca="false">Personnel!BL12</f>
        <v>0</v>
      </c>
      <c r="L12" s="1228" t="n">
        <f aca="false">Personnel!BM12</f>
        <v>0</v>
      </c>
      <c r="M12" s="1228" t="n">
        <f aca="false">Personnel!BN12</f>
        <v>0</v>
      </c>
      <c r="N12" s="1228" t="n">
        <f aca="false">Personnel!BO12</f>
        <v>0</v>
      </c>
      <c r="O12" s="1229" t="n">
        <f aca="false">Personnel!BP12</f>
        <v>0</v>
      </c>
      <c r="P12" s="1230"/>
      <c r="Q12" s="1146"/>
      <c r="R12" s="1231" t="n">
        <f aca="false">Personnel!A12</f>
        <v>0</v>
      </c>
      <c r="S12" s="1232" t="n">
        <f aca="false">Personnel!D12</f>
        <v>0</v>
      </c>
      <c r="T12" s="1233" t="n">
        <f aca="false">Personnel!E12</f>
        <v>0</v>
      </c>
      <c r="U12" s="1233" t="n">
        <f aca="false">Personnel!F12</f>
        <v>0</v>
      </c>
      <c r="V12" s="1233" t="n">
        <f aca="false">Personnel!G12</f>
        <v>0</v>
      </c>
      <c r="W12" s="1233" t="n">
        <f aca="false">Personnel!H12</f>
        <v>0</v>
      </c>
      <c r="X12" s="1233" t="n">
        <f aca="false">Personnel!I12</f>
        <v>0</v>
      </c>
      <c r="Y12" s="1233" t="n">
        <f aca="false">Personnel!J12</f>
        <v>0</v>
      </c>
      <c r="Z12" s="1233" t="n">
        <f aca="false">Personnel!K12</f>
        <v>0</v>
      </c>
      <c r="AA12" s="1233" t="n">
        <f aca="false">Personnel!L12</f>
        <v>0</v>
      </c>
      <c r="AB12" s="1233" t="n">
        <f aca="false">Personnel!M12</f>
        <v>0</v>
      </c>
      <c r="AC12" s="1233" t="n">
        <f aca="false">Personnel!N12</f>
        <v>0</v>
      </c>
      <c r="AD12" s="1234" t="n">
        <f aca="false">Personnel!O12</f>
        <v>0</v>
      </c>
      <c r="AE12" s="1167"/>
      <c r="AF12" s="1139"/>
      <c r="AG12" s="1235"/>
      <c r="AH12" s="1236"/>
      <c r="AI12" s="1217"/>
      <c r="AJ12" s="1217"/>
      <c r="AK12" s="1217"/>
      <c r="AL12" s="1218"/>
      <c r="AM12" s="1189"/>
      <c r="AN12" s="1139"/>
      <c r="AO12" s="1237"/>
      <c r="AP12" s="1221"/>
      <c r="AQ12" s="1221"/>
      <c r="AR12" s="1221"/>
      <c r="AS12" s="1221"/>
      <c r="AT12" s="1221"/>
      <c r="AU12" s="1221"/>
      <c r="AV12" s="1221"/>
      <c r="AW12" s="1221"/>
      <c r="AX12" s="1221"/>
      <c r="AY12" s="1221"/>
      <c r="AZ12" s="1221"/>
      <c r="BA12" s="1222"/>
      <c r="BB12" s="1189"/>
      <c r="BC12" s="1189"/>
      <c r="BD12" s="1139"/>
      <c r="BE12" s="1235" t="str">
        <f aca="false">Revenue!A83</f>
        <v>SS-14</v>
      </c>
      <c r="BF12" s="1227" t="n">
        <f aca="false">Revenue!BJ82</f>
        <v>1238.39285714286</v>
      </c>
      <c r="BG12" s="1228" t="n">
        <f aca="false">Revenue!BK82</f>
        <v>5903.57142857143</v>
      </c>
      <c r="BH12" s="1228" t="n">
        <f aca="false">Revenue!BL82</f>
        <v>14250</v>
      </c>
      <c r="BI12" s="1228" t="n">
        <f aca="false">Revenue!BM82</f>
        <v>14250</v>
      </c>
      <c r="BJ12" s="1229" t="n">
        <f aca="false">Revenue!BN82</f>
        <v>14250</v>
      </c>
      <c r="BK12" s="1198"/>
      <c r="BL12" s="1139"/>
      <c r="BM12" s="1329" t="str">
        <f aca="false">Revenue!A83</f>
        <v>SS-14</v>
      </c>
      <c r="BN12" s="1330" t="n">
        <f aca="false">Revenue!G82</f>
        <v>67.8571428571429</v>
      </c>
      <c r="BO12" s="1331" t="n">
        <f aca="false">Revenue!H82</f>
        <v>101.785714285714</v>
      </c>
      <c r="BP12" s="1331" t="n">
        <f aca="false">Revenue!I82</f>
        <v>135.714285714286</v>
      </c>
      <c r="BQ12" s="1331" t="n">
        <f aca="false">Revenue!J82</f>
        <v>169.642857142857</v>
      </c>
      <c r="BR12" s="1331" t="n">
        <f aca="false">Revenue!K82</f>
        <v>203.571428571429</v>
      </c>
      <c r="BS12" s="1331" t="n">
        <f aca="false">Revenue!L82</f>
        <v>237.5</v>
      </c>
      <c r="BT12" s="1331" t="n">
        <f aca="false">Revenue!M82</f>
        <v>271.428571428571</v>
      </c>
      <c r="BU12" s="1331" t="n">
        <f aca="false">Revenue!N82</f>
        <v>305.357142857143</v>
      </c>
      <c r="BV12" s="1331" t="n">
        <f aca="false">Revenue!O82</f>
        <v>339.285714285714</v>
      </c>
      <c r="BW12" s="1331"/>
      <c r="BX12" s="1331"/>
      <c r="BY12" s="1332"/>
      <c r="BZ12" s="1189"/>
      <c r="CA12" s="1189"/>
      <c r="CB12" s="1139"/>
      <c r="CC12" s="1253" t="str">
        <f aca="false">'P&amp;L'!A32</f>
        <v/>
      </c>
      <c r="CD12" s="1217" t="n">
        <f aca="false">'P&amp;L'!BJ32</f>
        <v>0</v>
      </c>
      <c r="CE12" s="1217" t="n">
        <f aca="false">'P&amp;L'!BK32</f>
        <v>0</v>
      </c>
      <c r="CF12" s="1217" t="n">
        <f aca="false">'P&amp;L'!BL32</f>
        <v>0</v>
      </c>
      <c r="CG12" s="1217" t="n">
        <f aca="false">'P&amp;L'!BM32</f>
        <v>0</v>
      </c>
      <c r="CH12" s="1218" t="n">
        <f aca="false">'P&amp;L'!BN32</f>
        <v>0</v>
      </c>
      <c r="CI12" s="1167"/>
      <c r="CJ12" s="1139"/>
      <c r="CK12" s="1301" t="str">
        <f aca="false">'P&amp;L'!A32</f>
        <v/>
      </c>
      <c r="CL12" s="1302" t="n">
        <f aca="false">'P&amp;L'!B32</f>
        <v>0</v>
      </c>
      <c r="CM12" s="1283" t="n">
        <f aca="false">'P&amp;L'!C32</f>
        <v>0</v>
      </c>
      <c r="CN12" s="1283" t="n">
        <f aca="false">'P&amp;L'!D32</f>
        <v>0</v>
      </c>
      <c r="CO12" s="1283" t="n">
        <f aca="false">'P&amp;L'!E32</f>
        <v>0</v>
      </c>
      <c r="CP12" s="1283" t="n">
        <f aca="false">'P&amp;L'!F32</f>
        <v>0</v>
      </c>
      <c r="CQ12" s="1283" t="n">
        <f aca="false">'P&amp;L'!G32</f>
        <v>0</v>
      </c>
      <c r="CR12" s="1283" t="n">
        <f aca="false">'P&amp;L'!H32</f>
        <v>0</v>
      </c>
      <c r="CS12" s="1283" t="n">
        <f aca="false">'P&amp;L'!I32</f>
        <v>0</v>
      </c>
      <c r="CT12" s="1283" t="n">
        <f aca="false">'P&amp;L'!J32</f>
        <v>0</v>
      </c>
      <c r="CU12" s="1283" t="n">
        <f aca="false">'P&amp;L'!K32</f>
        <v>0</v>
      </c>
      <c r="CV12" s="1283" t="n">
        <f aca="false">'P&amp;L'!L32</f>
        <v>0</v>
      </c>
      <c r="CW12" s="1247" t="n">
        <f aca="false">'P&amp;L'!M32</f>
        <v>0</v>
      </c>
      <c r="CX12" s="1167"/>
      <c r="CY12" s="1157"/>
      <c r="CZ12" s="1248" t="str">
        <f aca="false">'Cash Flow'!A34</f>
        <v>Purchase of Other Current Assets</v>
      </c>
      <c r="DA12" s="1249" t="n">
        <f aca="false">'Cash Flow'!BJ34</f>
        <v>0</v>
      </c>
      <c r="DB12" s="1250" t="n">
        <f aca="false">'Cash Flow'!BK34</f>
        <v>0</v>
      </c>
      <c r="DC12" s="1250" t="n">
        <f aca="false">'Cash Flow'!BL34</f>
        <v>0</v>
      </c>
      <c r="DD12" s="1250" t="n">
        <f aca="false">'Cash Flow'!BM34</f>
        <v>0</v>
      </c>
      <c r="DE12" s="1251" t="n">
        <f aca="false">'Cash Flow'!BN34</f>
        <v>0</v>
      </c>
      <c r="DF12" s="1274"/>
      <c r="DG12" s="1139"/>
      <c r="DH12" s="1252" t="str">
        <f aca="false">CZ12</f>
        <v>Purchase of Other Current Assets</v>
      </c>
      <c r="DI12" s="1245" t="n">
        <f aca="false">'Cash Flow'!B34</f>
        <v>-0</v>
      </c>
      <c r="DJ12" s="1246" t="n">
        <f aca="false">'Cash Flow'!C34</f>
        <v>-0</v>
      </c>
      <c r="DK12" s="1246" t="n">
        <f aca="false">'Cash Flow'!D34</f>
        <v>-0</v>
      </c>
      <c r="DL12" s="1246" t="n">
        <f aca="false">'Cash Flow'!E34</f>
        <v>-0</v>
      </c>
      <c r="DM12" s="1246" t="n">
        <f aca="false">'Cash Flow'!F34</f>
        <v>-0</v>
      </c>
      <c r="DN12" s="1246" t="n">
        <f aca="false">'Cash Flow'!G34</f>
        <v>-0</v>
      </c>
      <c r="DO12" s="1246" t="n">
        <f aca="false">'Cash Flow'!H34</f>
        <v>-0</v>
      </c>
      <c r="DP12" s="1246" t="n">
        <f aca="false">'Cash Flow'!I34</f>
        <v>-0</v>
      </c>
      <c r="DQ12" s="1246" t="n">
        <f aca="false">'Cash Flow'!J34</f>
        <v>-0</v>
      </c>
      <c r="DR12" s="1246" t="n">
        <f aca="false">'Cash Flow'!K34</f>
        <v>-0</v>
      </c>
      <c r="DS12" s="1246" t="n">
        <f aca="false">'Cash Flow'!L34</f>
        <v>-0</v>
      </c>
      <c r="DT12" s="1247" t="n">
        <f aca="false">'Cash Flow'!M34</f>
        <v>-0</v>
      </c>
      <c r="DU12" s="1274"/>
      <c r="DV12" s="1157"/>
      <c r="DW12" s="1253" t="str">
        <f aca="false">EE12</f>
        <v>Accum. Depreciation</v>
      </c>
      <c r="DX12" s="1261" t="n">
        <f aca="false">'Balance Sheet'!BJ11</f>
        <v>644079.825</v>
      </c>
      <c r="DY12" s="1262" t="n">
        <f aca="false">'Balance Sheet'!BK11</f>
        <v>2978614.485</v>
      </c>
      <c r="DZ12" s="1262" t="n">
        <f aca="false">'Balance Sheet'!BL11</f>
        <v>5324799.525</v>
      </c>
      <c r="EA12" s="1262" t="n">
        <f aca="false">'Balance Sheet'!BM11</f>
        <v>7670984.565</v>
      </c>
      <c r="EB12" s="1263" t="n">
        <f aca="false">'Balance Sheet'!BN11</f>
        <v>10017169.605</v>
      </c>
      <c r="EC12" s="1167"/>
      <c r="ED12" s="1157"/>
      <c r="EE12" s="1235" t="str">
        <f aca="false">'Balance Sheet'!A11</f>
        <v>Accum. Depreciation</v>
      </c>
      <c r="EF12" s="1245" t="n">
        <f aca="false">'Balance Sheet'!B11</f>
        <v>0</v>
      </c>
      <c r="EG12" s="1246" t="n">
        <f aca="false">'Balance Sheet'!C11</f>
        <v>0</v>
      </c>
      <c r="EH12" s="1246" t="n">
        <f aca="false">'Balance Sheet'!D11</f>
        <v>0</v>
      </c>
      <c r="EI12" s="1246" t="n">
        <f aca="false">'Balance Sheet'!E11</f>
        <v>0</v>
      </c>
      <c r="EJ12" s="1246" t="n">
        <f aca="false">'Balance Sheet'!F11</f>
        <v>0</v>
      </c>
      <c r="EK12" s="1246" t="n">
        <f aca="false">'Balance Sheet'!G11</f>
        <v>0</v>
      </c>
      <c r="EL12" s="1246" t="n">
        <f aca="false">'Balance Sheet'!H11</f>
        <v>42788.5</v>
      </c>
      <c r="EM12" s="1246" t="n">
        <f aca="false">'Balance Sheet'!I11</f>
        <v>115256.955</v>
      </c>
      <c r="EN12" s="1246" t="n">
        <f aca="false">'Balance Sheet'!J11</f>
        <v>211621.435</v>
      </c>
      <c r="EO12" s="1246" t="n">
        <f aca="false">'Balance Sheet'!K11</f>
        <v>333671.38</v>
      </c>
      <c r="EP12" s="1246" t="n">
        <f aca="false">'Balance Sheet'!L11</f>
        <v>476032.87</v>
      </c>
      <c r="EQ12" s="1247" t="n">
        <f aca="false">'Balance Sheet'!M11</f>
        <v>644079.825</v>
      </c>
      <c r="ER12" s="1167"/>
      <c r="ES12" s="1163"/>
      <c r="ET12" s="1333" t="str">
        <f aca="false">IF('P&amp;L'!E14="y","EBITDA/Funding","EBITDA/Revenue")</f>
        <v>EBITDA/Revenue</v>
      </c>
      <c r="EU12" s="1334"/>
      <c r="EV12" s="1335"/>
      <c r="EW12" s="1335"/>
      <c r="EX12" s="1335"/>
      <c r="EY12" s="1336"/>
      <c r="EZ12" s="1167"/>
      <c r="FA12" s="1165"/>
      <c r="FB12" s="1216"/>
      <c r="FC12" s="1217"/>
      <c r="FD12" s="1217"/>
      <c r="FE12" s="1217"/>
      <c r="FF12" s="1217"/>
      <c r="FG12" s="1218"/>
      <c r="FH12" s="1167"/>
      <c r="FI12" s="1167"/>
      <c r="FJ12" s="1139"/>
      <c r="FK12" s="1258" t="str">
        <f aca="false">Existing!A10</f>
        <v>Inventory</v>
      </c>
      <c r="FL12" s="1217" t="n">
        <f aca="false">Existing!B10</f>
        <v>0</v>
      </c>
      <c r="FM12" s="1217" t="n">
        <f aca="false">Existing!C10</f>
        <v>0</v>
      </c>
      <c r="FN12" s="1218" t="n">
        <f aca="false">Existing!D10</f>
        <v>0</v>
      </c>
      <c r="FO12" s="1167"/>
      <c r="FP12" s="1163"/>
      <c r="FQ12" s="1216" t="s">
        <v>1919</v>
      </c>
      <c r="FR12" s="1217" t="n">
        <f aca="false">EU23</f>
        <v>30</v>
      </c>
      <c r="FS12" s="1217" t="n">
        <f aca="false">FR12</f>
        <v>30</v>
      </c>
      <c r="FT12" s="1217" t="n">
        <f aca="false">FS12</f>
        <v>30</v>
      </c>
      <c r="FU12" s="1217" t="n">
        <f aca="false">FT12</f>
        <v>30</v>
      </c>
      <c r="FV12" s="1218" t="n">
        <f aca="false">FU12</f>
        <v>30</v>
      </c>
      <c r="FW12" s="1167"/>
      <c r="FX12" s="1173"/>
      <c r="FY12" s="1174"/>
      <c r="FZ12" s="1175"/>
      <c r="GA12" s="1258"/>
      <c r="GB12" s="1217"/>
      <c r="GC12" s="1217"/>
      <c r="GD12" s="1217"/>
      <c r="GE12" s="1217"/>
      <c r="GF12" s="1218"/>
      <c r="GG12" s="1189"/>
      <c r="GH12" s="1189"/>
      <c r="GI12" s="1178"/>
      <c r="GJ12" s="1337"/>
      <c r="GK12" s="1277"/>
      <c r="GL12" s="1277"/>
      <c r="GM12" s="1277"/>
      <c r="GN12" s="1277"/>
      <c r="GO12" s="1278"/>
      <c r="GP12" s="1167"/>
      <c r="GQ12" s="1167"/>
      <c r="GR12" s="1167"/>
      <c r="GS12" s="1163"/>
      <c r="GT12" s="1337"/>
      <c r="GU12" s="1338"/>
      <c r="GV12" s="1338"/>
      <c r="GW12" s="1338"/>
      <c r="GX12" s="1338"/>
      <c r="GY12" s="1338"/>
      <c r="GZ12" s="1338"/>
      <c r="HA12" s="1338"/>
      <c r="HB12" s="1338"/>
      <c r="HC12" s="1338"/>
      <c r="HD12" s="1338"/>
      <c r="HE12" s="1338"/>
      <c r="HF12" s="1339"/>
      <c r="HG12" s="1167"/>
      <c r="HH12" s="1167"/>
      <c r="HI12" s="1167"/>
      <c r="HJ12" s="1178"/>
      <c r="HK12" s="1223"/>
      <c r="HL12" s="1217"/>
      <c r="HM12" s="1217"/>
      <c r="HN12" s="1217"/>
      <c r="HO12" s="1217"/>
      <c r="HP12" s="1217"/>
      <c r="HQ12" s="1218"/>
    </row>
    <row r="13" customFormat="false" ht="12.75" hidden="false" customHeight="true" outlineLevel="0" collapsed="false">
      <c r="A13" s="1139"/>
      <c r="B13" s="1300" t="n">
        <f aca="false">'Sources &amp; Uses'!A19</f>
        <v>0</v>
      </c>
      <c r="C13" s="1184" t="n">
        <f aca="false">'Sources &amp; Uses'!B19</f>
        <v>0</v>
      </c>
      <c r="D13" s="1167"/>
      <c r="E13" s="1139"/>
      <c r="F13" s="1183" t="n">
        <f aca="false">'Sources &amp; Uses'!E16</f>
        <v>0</v>
      </c>
      <c r="G13" s="1184" t="n">
        <f aca="false">'Sources &amp; Uses'!F16</f>
        <v>0</v>
      </c>
      <c r="H13" s="1167"/>
      <c r="I13" s="1139"/>
      <c r="J13" s="1226" t="n">
        <f aca="false">Personnel!A13</f>
        <v>0</v>
      </c>
      <c r="K13" s="1227" t="n">
        <f aca="false">Personnel!BL13</f>
        <v>0</v>
      </c>
      <c r="L13" s="1228" t="n">
        <f aca="false">Personnel!BM13</f>
        <v>0</v>
      </c>
      <c r="M13" s="1228" t="n">
        <f aca="false">Personnel!BN13</f>
        <v>0</v>
      </c>
      <c r="N13" s="1228" t="n">
        <f aca="false">Personnel!BO13</f>
        <v>0</v>
      </c>
      <c r="O13" s="1229" t="n">
        <f aca="false">Personnel!BP13</f>
        <v>0</v>
      </c>
      <c r="P13" s="1230"/>
      <c r="Q13" s="1146"/>
      <c r="R13" s="1231" t="n">
        <f aca="false">Personnel!A13</f>
        <v>0</v>
      </c>
      <c r="S13" s="1232" t="n">
        <f aca="false">Personnel!D13</f>
        <v>0</v>
      </c>
      <c r="T13" s="1233" t="n">
        <f aca="false">Personnel!E13</f>
        <v>0</v>
      </c>
      <c r="U13" s="1233" t="n">
        <f aca="false">Personnel!F13</f>
        <v>0</v>
      </c>
      <c r="V13" s="1233" t="n">
        <f aca="false">Personnel!G13</f>
        <v>0</v>
      </c>
      <c r="W13" s="1233" t="n">
        <f aca="false">Personnel!H13</f>
        <v>0</v>
      </c>
      <c r="X13" s="1233" t="n">
        <f aca="false">Personnel!I13</f>
        <v>0</v>
      </c>
      <c r="Y13" s="1233" t="n">
        <f aca="false">Personnel!J13</f>
        <v>0</v>
      </c>
      <c r="Z13" s="1233" t="n">
        <f aca="false">Personnel!K13</f>
        <v>0</v>
      </c>
      <c r="AA13" s="1233" t="n">
        <f aca="false">Personnel!L13</f>
        <v>0</v>
      </c>
      <c r="AB13" s="1233" t="n">
        <f aca="false">Personnel!M13</f>
        <v>0</v>
      </c>
      <c r="AC13" s="1233" t="n">
        <f aca="false">Personnel!N13</f>
        <v>0</v>
      </c>
      <c r="AD13" s="1234" t="n">
        <f aca="false">Personnel!O13</f>
        <v>0</v>
      </c>
      <c r="AE13" s="1167"/>
      <c r="AF13" s="1139"/>
      <c r="AG13" s="1312"/>
      <c r="AH13" s="1340"/>
      <c r="AI13" s="1341"/>
      <c r="AJ13" s="1341"/>
      <c r="AK13" s="1341"/>
      <c r="AL13" s="1342"/>
      <c r="AM13" s="1150"/>
      <c r="AN13" s="1139"/>
      <c r="AO13" s="1343"/>
      <c r="AP13" s="1221"/>
      <c r="AQ13" s="1221"/>
      <c r="AR13" s="1221"/>
      <c r="AS13" s="1221"/>
      <c r="AT13" s="1221"/>
      <c r="AU13" s="1221"/>
      <c r="AV13" s="1221"/>
      <c r="AW13" s="1221"/>
      <c r="AX13" s="1221"/>
      <c r="AY13" s="1221"/>
      <c r="AZ13" s="1221"/>
      <c r="BA13" s="1222"/>
      <c r="BB13" s="1189"/>
      <c r="BC13" s="1189"/>
      <c r="BD13" s="1139"/>
      <c r="BE13" s="1344" t="str">
        <f aca="false">Revenue!A86</f>
        <v>Total DI</v>
      </c>
      <c r="BF13" s="1345" t="n">
        <f aca="false">Revenue!BJ86</f>
        <v>312857.229761905</v>
      </c>
      <c r="BG13" s="1346" t="n">
        <f aca="false">Revenue!BK86</f>
        <v>1491428.98571429</v>
      </c>
      <c r="BH13" s="1346" t="n">
        <f aca="false">Revenue!BL86</f>
        <v>3600001</v>
      </c>
      <c r="BI13" s="1346" t="n">
        <f aca="false">Revenue!BM86</f>
        <v>3600001</v>
      </c>
      <c r="BJ13" s="1347" t="n">
        <f aca="false">Revenue!BN86</f>
        <v>3600001</v>
      </c>
      <c r="BK13" s="1198"/>
      <c r="BL13" s="1139"/>
      <c r="BM13" s="1348" t="str">
        <f aca="false">BE13</f>
        <v>Total DI</v>
      </c>
      <c r="BN13" s="1349" t="n">
        <f aca="false">Revenue!B86</f>
        <v>0</v>
      </c>
      <c r="BO13" s="1350" t="n">
        <f aca="false">Revenue!C86</f>
        <v>0</v>
      </c>
      <c r="BP13" s="1350" t="n">
        <f aca="false">Revenue!D86</f>
        <v>0</v>
      </c>
      <c r="BQ13" s="1350" t="n">
        <f aca="false">Revenue!E86</f>
        <v>4285.71547619048</v>
      </c>
      <c r="BR13" s="1350" t="n">
        <f aca="false">Revenue!F86</f>
        <v>8571.43095238095</v>
      </c>
      <c r="BS13" s="1350" t="n">
        <f aca="false">Revenue!G86</f>
        <v>17142.8619047619</v>
      </c>
      <c r="BT13" s="1350" t="n">
        <f aca="false">Revenue!H86</f>
        <v>25714.2928571429</v>
      </c>
      <c r="BU13" s="1350" t="n">
        <f aca="false">Revenue!I86</f>
        <v>34285.7238095238</v>
      </c>
      <c r="BV13" s="1350" t="n">
        <f aca="false">Revenue!J86</f>
        <v>42857.1547619048</v>
      </c>
      <c r="BW13" s="1350" t="n">
        <f aca="false">Revenue!K86</f>
        <v>51428.5857142857</v>
      </c>
      <c r="BX13" s="1350" t="n">
        <f aca="false">Revenue!L86</f>
        <v>60000.0166666667</v>
      </c>
      <c r="BY13" s="1351" t="n">
        <f aca="false">Revenue!M86</f>
        <v>68571.4476190476</v>
      </c>
      <c r="BZ13" s="1189"/>
      <c r="CA13" s="1189"/>
      <c r="CB13" s="1139"/>
      <c r="CC13" s="1253" t="str">
        <f aca="false">'P&amp;L'!A33</f>
        <v/>
      </c>
      <c r="CD13" s="1217" t="n">
        <f aca="false">'P&amp;L'!BJ33</f>
        <v>0</v>
      </c>
      <c r="CE13" s="1217" t="n">
        <f aca="false">'P&amp;L'!BK33</f>
        <v>0</v>
      </c>
      <c r="CF13" s="1217" t="n">
        <f aca="false">'P&amp;L'!BL33</f>
        <v>0</v>
      </c>
      <c r="CG13" s="1217" t="n">
        <f aca="false">'P&amp;L'!BM33</f>
        <v>0</v>
      </c>
      <c r="CH13" s="1218" t="n">
        <f aca="false">'P&amp;L'!BN33</f>
        <v>0</v>
      </c>
      <c r="CI13" s="1167"/>
      <c r="CJ13" s="1139"/>
      <c r="CK13" s="1301" t="str">
        <f aca="false">'P&amp;L'!A33</f>
        <v/>
      </c>
      <c r="CL13" s="1302" t="n">
        <f aca="false">'P&amp;L'!B33</f>
        <v>0</v>
      </c>
      <c r="CM13" s="1283" t="n">
        <f aca="false">'P&amp;L'!C33</f>
        <v>0</v>
      </c>
      <c r="CN13" s="1283" t="n">
        <f aca="false">'P&amp;L'!D33</f>
        <v>0</v>
      </c>
      <c r="CO13" s="1283" t="n">
        <f aca="false">'P&amp;L'!E33</f>
        <v>0</v>
      </c>
      <c r="CP13" s="1283" t="n">
        <f aca="false">'P&amp;L'!F33</f>
        <v>0</v>
      </c>
      <c r="CQ13" s="1283" t="n">
        <f aca="false">'P&amp;L'!G33</f>
        <v>0</v>
      </c>
      <c r="CR13" s="1283" t="n">
        <f aca="false">'P&amp;L'!H33</f>
        <v>0</v>
      </c>
      <c r="CS13" s="1283" t="n">
        <f aca="false">'P&amp;L'!I33</f>
        <v>0</v>
      </c>
      <c r="CT13" s="1283" t="n">
        <f aca="false">'P&amp;L'!J33</f>
        <v>0</v>
      </c>
      <c r="CU13" s="1283" t="n">
        <f aca="false">'P&amp;L'!K33</f>
        <v>0</v>
      </c>
      <c r="CV13" s="1283" t="n">
        <f aca="false">'P&amp;L'!L33</f>
        <v>0</v>
      </c>
      <c r="CW13" s="1247" t="n">
        <f aca="false">'P&amp;L'!M33</f>
        <v>0</v>
      </c>
      <c r="CX13" s="1167"/>
      <c r="CY13" s="1157"/>
      <c r="CZ13" s="1248" t="str">
        <f aca="false">'Cash Flow'!A35</f>
        <v>Sale of Other Current Assets</v>
      </c>
      <c r="DA13" s="1249" t="n">
        <f aca="false">'Cash Flow'!BJ35</f>
        <v>0</v>
      </c>
      <c r="DB13" s="1250" t="n">
        <f aca="false">'Cash Flow'!BK35</f>
        <v>0</v>
      </c>
      <c r="DC13" s="1250" t="n">
        <f aca="false">'Cash Flow'!BL35</f>
        <v>0</v>
      </c>
      <c r="DD13" s="1250" t="n">
        <f aca="false">'Cash Flow'!BM35</f>
        <v>0</v>
      </c>
      <c r="DE13" s="1251" t="n">
        <f aca="false">'Cash Flow'!BN35</f>
        <v>0</v>
      </c>
      <c r="DF13" s="1274"/>
      <c r="DG13" s="1139"/>
      <c r="DH13" s="1252" t="str">
        <f aca="false">CZ13</f>
        <v>Sale of Other Current Assets</v>
      </c>
      <c r="DI13" s="1245" t="n">
        <f aca="false">'Cash Flow'!B35</f>
        <v>0</v>
      </c>
      <c r="DJ13" s="1246" t="n">
        <f aca="false">'Cash Flow'!C35</f>
        <v>0</v>
      </c>
      <c r="DK13" s="1246" t="n">
        <f aca="false">'Cash Flow'!D35</f>
        <v>0</v>
      </c>
      <c r="DL13" s="1246" t="n">
        <f aca="false">'Cash Flow'!E35</f>
        <v>0</v>
      </c>
      <c r="DM13" s="1246" t="n">
        <f aca="false">'Cash Flow'!F35</f>
        <v>0</v>
      </c>
      <c r="DN13" s="1246" t="n">
        <f aca="false">'Cash Flow'!G35</f>
        <v>0</v>
      </c>
      <c r="DO13" s="1246" t="n">
        <f aca="false">'Cash Flow'!H35</f>
        <v>0</v>
      </c>
      <c r="DP13" s="1246" t="n">
        <f aca="false">'Cash Flow'!I35</f>
        <v>0</v>
      </c>
      <c r="DQ13" s="1246" t="n">
        <f aca="false">'Cash Flow'!J35</f>
        <v>0</v>
      </c>
      <c r="DR13" s="1246" t="n">
        <f aca="false">'Cash Flow'!K35</f>
        <v>0</v>
      </c>
      <c r="DS13" s="1246" t="n">
        <f aca="false">'Cash Flow'!L35</f>
        <v>0</v>
      </c>
      <c r="DT13" s="1247" t="n">
        <f aca="false">'Cash Flow'!M35</f>
        <v>0</v>
      </c>
      <c r="DU13" s="1274"/>
      <c r="DV13" s="1157"/>
      <c r="DW13" s="1253" t="str">
        <f aca="false">EE13</f>
        <v>Land</v>
      </c>
      <c r="DX13" s="1261" t="n">
        <f aca="false">'Balance Sheet'!BJ12</f>
        <v>0</v>
      </c>
      <c r="DY13" s="1262" t="n">
        <f aca="false">'Balance Sheet'!BK12</f>
        <v>0</v>
      </c>
      <c r="DZ13" s="1262" t="n">
        <f aca="false">'Balance Sheet'!BL12</f>
        <v>0</v>
      </c>
      <c r="EA13" s="1262" t="n">
        <f aca="false">'Balance Sheet'!BM12</f>
        <v>0</v>
      </c>
      <c r="EB13" s="1263" t="n">
        <f aca="false">'Balance Sheet'!BN12</f>
        <v>0</v>
      </c>
      <c r="EC13" s="1167"/>
      <c r="ED13" s="1157"/>
      <c r="EE13" s="1235" t="str">
        <f aca="false">'Balance Sheet'!A12</f>
        <v>Land</v>
      </c>
      <c r="EF13" s="1245" t="n">
        <f aca="false">'Balance Sheet'!B12</f>
        <v>0</v>
      </c>
      <c r="EG13" s="1246" t="n">
        <f aca="false">'Balance Sheet'!C12</f>
        <v>0</v>
      </c>
      <c r="EH13" s="1246" t="n">
        <f aca="false">'Balance Sheet'!D12</f>
        <v>0</v>
      </c>
      <c r="EI13" s="1246" t="n">
        <f aca="false">'Balance Sheet'!E12</f>
        <v>0</v>
      </c>
      <c r="EJ13" s="1246" t="n">
        <f aca="false">'Balance Sheet'!F12</f>
        <v>0</v>
      </c>
      <c r="EK13" s="1246" t="n">
        <f aca="false">'Balance Sheet'!G12</f>
        <v>0</v>
      </c>
      <c r="EL13" s="1246" t="n">
        <f aca="false">'Balance Sheet'!H12</f>
        <v>0</v>
      </c>
      <c r="EM13" s="1246" t="n">
        <f aca="false">'Balance Sheet'!I12</f>
        <v>0</v>
      </c>
      <c r="EN13" s="1246" t="n">
        <f aca="false">'Balance Sheet'!J12</f>
        <v>0</v>
      </c>
      <c r="EO13" s="1246" t="n">
        <f aca="false">'Balance Sheet'!K12</f>
        <v>0</v>
      </c>
      <c r="EP13" s="1246" t="n">
        <f aca="false">'Balance Sheet'!L12</f>
        <v>0</v>
      </c>
      <c r="EQ13" s="1247" t="n">
        <f aca="false">'Balance Sheet'!M12</f>
        <v>0</v>
      </c>
      <c r="ER13" s="1167"/>
      <c r="ES13" s="1163"/>
      <c r="ET13" s="1285" t="str">
        <f aca="false">CK29</f>
        <v>Net Profit %</v>
      </c>
      <c r="EU13" s="1352"/>
      <c r="EV13" s="1353"/>
      <c r="EW13" s="1353"/>
      <c r="EX13" s="1353"/>
      <c r="EY13" s="1354"/>
      <c r="EZ13" s="1167"/>
      <c r="FA13" s="1165"/>
      <c r="FB13" s="1216"/>
      <c r="FC13" s="1217"/>
      <c r="FD13" s="1217"/>
      <c r="FE13" s="1217"/>
      <c r="FF13" s="1217"/>
      <c r="FG13" s="1218"/>
      <c r="FH13" s="1167"/>
      <c r="FI13" s="1167"/>
      <c r="FJ13" s="1139"/>
      <c r="FK13" s="1258" t="str">
        <f aca="false">Existing!A11</f>
        <v>Other Current Assets</v>
      </c>
      <c r="FL13" s="1217" t="n">
        <f aca="false">Existing!B11</f>
        <v>0</v>
      </c>
      <c r="FM13" s="1217" t="n">
        <f aca="false">Existing!C11</f>
        <v>0</v>
      </c>
      <c r="FN13" s="1218" t="n">
        <f aca="false">Existing!D11</f>
        <v>0</v>
      </c>
      <c r="FO13" s="1167"/>
      <c r="FP13" s="1163"/>
      <c r="FQ13" s="1216"/>
      <c r="FR13" s="1217"/>
      <c r="FS13" s="1217"/>
      <c r="FT13" s="1217"/>
      <c r="FU13" s="1217"/>
      <c r="FV13" s="1218"/>
      <c r="FW13" s="1167"/>
      <c r="FX13" s="1173"/>
      <c r="FY13" s="1174"/>
      <c r="FZ13" s="1175"/>
      <c r="GA13" s="1258"/>
      <c r="GB13" s="1217"/>
      <c r="GC13" s="1217"/>
      <c r="GD13" s="1217"/>
      <c r="GE13" s="1217"/>
      <c r="GF13" s="1218"/>
      <c r="GG13" s="1189"/>
      <c r="GH13" s="1189"/>
      <c r="GI13" s="1174"/>
      <c r="GJ13" s="1355"/>
      <c r="GK13" s="1167"/>
      <c r="GL13" s="1167"/>
      <c r="GM13" s="1167"/>
      <c r="GN13" s="1167"/>
      <c r="GO13" s="1167"/>
      <c r="GP13" s="1167"/>
      <c r="GQ13" s="1167"/>
      <c r="GR13" s="1167"/>
      <c r="GS13" s="1356"/>
      <c r="GT13" s="1355"/>
      <c r="GU13" s="1167"/>
      <c r="GV13" s="1167"/>
      <c r="GW13" s="1167"/>
      <c r="GX13" s="1167"/>
      <c r="GY13" s="1167"/>
      <c r="GZ13" s="1167"/>
      <c r="HA13" s="1167"/>
      <c r="HB13" s="1167"/>
      <c r="HC13" s="1167"/>
      <c r="HD13" s="1167"/>
      <c r="HE13" s="1167"/>
      <c r="HF13" s="1167"/>
      <c r="HG13" s="1167"/>
      <c r="HH13" s="1167"/>
      <c r="HI13" s="1167"/>
      <c r="HJ13" s="1178"/>
      <c r="HK13" s="1357"/>
      <c r="HL13" s="1277"/>
      <c r="HM13" s="1277"/>
      <c r="HN13" s="1277"/>
      <c r="HO13" s="1277"/>
      <c r="HP13" s="1277"/>
      <c r="HQ13" s="1278"/>
    </row>
    <row r="14" customFormat="false" ht="12.75" hidden="false" customHeight="true" outlineLevel="0" collapsed="false">
      <c r="A14" s="1139"/>
      <c r="B14" s="1300" t="n">
        <f aca="false">'Sources &amp; Uses'!A20</f>
        <v>0</v>
      </c>
      <c r="C14" s="1184" t="n">
        <f aca="false">'Sources &amp; Uses'!B20</f>
        <v>0</v>
      </c>
      <c r="D14" s="1167"/>
      <c r="E14" s="1139"/>
      <c r="F14" s="1183" t="n">
        <f aca="false">'Sources &amp; Uses'!E17</f>
        <v>0</v>
      </c>
      <c r="G14" s="1184" t="n">
        <f aca="false">'Sources &amp; Uses'!F17</f>
        <v>0</v>
      </c>
      <c r="H14" s="1167"/>
      <c r="I14" s="1139"/>
      <c r="J14" s="1358" t="str">
        <f aca="false">R14</f>
        <v>Total Personnel</v>
      </c>
      <c r="K14" s="1359" t="n">
        <f aca="false">Personnel!BL14</f>
        <v>31</v>
      </c>
      <c r="L14" s="1360" t="n">
        <f aca="false">Personnel!BM14</f>
        <v>162</v>
      </c>
      <c r="M14" s="1360" t="n">
        <f aca="false">Personnel!BN14</f>
        <v>164</v>
      </c>
      <c r="N14" s="1360" t="n">
        <f aca="false">Personnel!BO14</f>
        <v>164</v>
      </c>
      <c r="O14" s="1361" t="n">
        <f aca="false">Personnel!BP14</f>
        <v>164</v>
      </c>
      <c r="P14" s="1362"/>
      <c r="Q14" s="1146"/>
      <c r="R14" s="1363" t="str">
        <f aca="false">Personnel!A14</f>
        <v>Total Personnel</v>
      </c>
      <c r="S14" s="1364" t="n">
        <f aca="false">Personnel!D14</f>
        <v>5</v>
      </c>
      <c r="T14" s="1365" t="n">
        <f aca="false">Personnel!E14</f>
        <v>9</v>
      </c>
      <c r="U14" s="1365" t="n">
        <f aca="false">Personnel!F14</f>
        <v>11</v>
      </c>
      <c r="V14" s="1365" t="n">
        <f aca="false">Personnel!G14</f>
        <v>11</v>
      </c>
      <c r="W14" s="1365" t="n">
        <f aca="false">Personnel!H14</f>
        <v>11</v>
      </c>
      <c r="X14" s="1365" t="n">
        <f aca="false">Personnel!I14</f>
        <v>16</v>
      </c>
      <c r="Y14" s="1365" t="n">
        <f aca="false">Personnel!J14</f>
        <v>26</v>
      </c>
      <c r="Z14" s="1365" t="n">
        <f aca="false">Personnel!K14</f>
        <v>31</v>
      </c>
      <c r="AA14" s="1365" t="n">
        <f aca="false">Personnel!L14</f>
        <v>31</v>
      </c>
      <c r="AB14" s="1365" t="n">
        <f aca="false">Personnel!M14</f>
        <v>31</v>
      </c>
      <c r="AC14" s="1365" t="n">
        <f aca="false">Personnel!N14</f>
        <v>31</v>
      </c>
      <c r="AD14" s="1366" t="n">
        <f aca="false">Personnel!O14</f>
        <v>31</v>
      </c>
      <c r="AE14" s="1167"/>
      <c r="AF14" s="1139"/>
      <c r="AG14" s="1316"/>
      <c r="AH14" s="1150"/>
      <c r="AI14" s="1150"/>
      <c r="AJ14" s="1150"/>
      <c r="AK14" s="1150"/>
      <c r="AL14" s="1367"/>
      <c r="AM14" s="1150"/>
      <c r="AN14" s="1139"/>
      <c r="AO14" s="1368"/>
      <c r="AP14" s="1369"/>
      <c r="AQ14" s="1369"/>
      <c r="AR14" s="1369"/>
      <c r="AS14" s="1369"/>
      <c r="AT14" s="1369"/>
      <c r="AU14" s="1369"/>
      <c r="AV14" s="1369"/>
      <c r="AW14" s="1369"/>
      <c r="AX14" s="1369"/>
      <c r="AY14" s="1369"/>
      <c r="AZ14" s="1369"/>
      <c r="BA14" s="1370"/>
      <c r="BB14" s="1189"/>
      <c r="BC14" s="1189"/>
      <c r="BD14" s="1139"/>
      <c r="BE14" s="1355"/>
      <c r="BF14" s="1189"/>
      <c r="BG14" s="1189"/>
      <c r="BH14" s="1189"/>
      <c r="BI14" s="1189"/>
      <c r="BJ14" s="1281"/>
      <c r="BK14" s="1198"/>
      <c r="BL14" s="1139"/>
      <c r="BM14" s="1371"/>
      <c r="BN14" s="1283"/>
      <c r="BO14" s="1283"/>
      <c r="BP14" s="1283"/>
      <c r="BQ14" s="1283"/>
      <c r="BR14" s="1283"/>
      <c r="BS14" s="1283"/>
      <c r="BT14" s="1283"/>
      <c r="BU14" s="1283"/>
      <c r="BV14" s="1283"/>
      <c r="BW14" s="1283"/>
      <c r="BX14" s="1283"/>
      <c r="BY14" s="1284"/>
      <c r="BZ14" s="1189"/>
      <c r="CA14" s="1189"/>
      <c r="CB14" s="1139"/>
      <c r="CC14" s="1253" t="str">
        <f aca="false">'P&amp;L'!A34</f>
        <v/>
      </c>
      <c r="CD14" s="1217" t="n">
        <f aca="false">'P&amp;L'!BJ34</f>
        <v>0</v>
      </c>
      <c r="CE14" s="1217" t="n">
        <f aca="false">'P&amp;L'!BK34</f>
        <v>0</v>
      </c>
      <c r="CF14" s="1217" t="n">
        <f aca="false">'P&amp;L'!BL34</f>
        <v>0</v>
      </c>
      <c r="CG14" s="1217" t="n">
        <f aca="false">'P&amp;L'!BM34</f>
        <v>0</v>
      </c>
      <c r="CH14" s="1218" t="n">
        <f aca="false">'P&amp;L'!BN34</f>
        <v>0</v>
      </c>
      <c r="CI14" s="1167"/>
      <c r="CJ14" s="1139"/>
      <c r="CK14" s="1301" t="str">
        <f aca="false">'P&amp;L'!A34</f>
        <v/>
      </c>
      <c r="CL14" s="1302" t="n">
        <f aca="false">'P&amp;L'!B34</f>
        <v>0</v>
      </c>
      <c r="CM14" s="1283" t="n">
        <f aca="false">'P&amp;L'!C34</f>
        <v>0</v>
      </c>
      <c r="CN14" s="1283" t="n">
        <f aca="false">'P&amp;L'!D34</f>
        <v>0</v>
      </c>
      <c r="CO14" s="1283" t="n">
        <f aca="false">'P&amp;L'!E34</f>
        <v>0</v>
      </c>
      <c r="CP14" s="1283" t="n">
        <f aca="false">'P&amp;L'!F34</f>
        <v>0</v>
      </c>
      <c r="CQ14" s="1283" t="n">
        <f aca="false">'P&amp;L'!G34</f>
        <v>0</v>
      </c>
      <c r="CR14" s="1283" t="n">
        <f aca="false">'P&amp;L'!H34</f>
        <v>0</v>
      </c>
      <c r="CS14" s="1283" t="n">
        <f aca="false">'P&amp;L'!I34</f>
        <v>0</v>
      </c>
      <c r="CT14" s="1283" t="n">
        <f aca="false">'P&amp;L'!J34</f>
        <v>0</v>
      </c>
      <c r="CU14" s="1283" t="n">
        <f aca="false">'P&amp;L'!K34</f>
        <v>0</v>
      </c>
      <c r="CV14" s="1283" t="n">
        <f aca="false">'P&amp;L'!L34</f>
        <v>0</v>
      </c>
      <c r="CW14" s="1247" t="n">
        <f aca="false">'P&amp;L'!M34</f>
        <v>0</v>
      </c>
      <c r="CX14" s="1167"/>
      <c r="CY14" s="1157"/>
      <c r="CZ14" s="1248" t="str">
        <f aca="false">'Cash Flow'!A36</f>
        <v>Purchase of Land</v>
      </c>
      <c r="DA14" s="1249" t="n">
        <f aca="false">'Cash Flow'!BJ36</f>
        <v>0</v>
      </c>
      <c r="DB14" s="1250" t="n">
        <f aca="false">'Cash Flow'!BK36</f>
        <v>0</v>
      </c>
      <c r="DC14" s="1250" t="n">
        <f aca="false">'Cash Flow'!BL36</f>
        <v>0</v>
      </c>
      <c r="DD14" s="1250" t="n">
        <f aca="false">'Cash Flow'!BM36</f>
        <v>0</v>
      </c>
      <c r="DE14" s="1251" t="n">
        <f aca="false">'Cash Flow'!BN36</f>
        <v>0</v>
      </c>
      <c r="DF14" s="1274"/>
      <c r="DG14" s="1139"/>
      <c r="DH14" s="1252" t="str">
        <f aca="false">CZ14</f>
        <v>Purchase of Land</v>
      </c>
      <c r="DI14" s="1245" t="n">
        <f aca="false">'Cash Flow'!B36</f>
        <v>-0</v>
      </c>
      <c r="DJ14" s="1246" t="n">
        <f aca="false">'Cash Flow'!C36</f>
        <v>-0</v>
      </c>
      <c r="DK14" s="1246" t="n">
        <f aca="false">'Cash Flow'!D36</f>
        <v>-0</v>
      </c>
      <c r="DL14" s="1246" t="n">
        <f aca="false">'Cash Flow'!E36</f>
        <v>-0</v>
      </c>
      <c r="DM14" s="1246" t="n">
        <f aca="false">'Cash Flow'!F36</f>
        <v>-0</v>
      </c>
      <c r="DN14" s="1246" t="n">
        <f aca="false">'Cash Flow'!G36</f>
        <v>-0</v>
      </c>
      <c r="DO14" s="1246" t="n">
        <f aca="false">'Cash Flow'!H36</f>
        <v>-0</v>
      </c>
      <c r="DP14" s="1246" t="n">
        <f aca="false">'Cash Flow'!I36</f>
        <v>-0</v>
      </c>
      <c r="DQ14" s="1246" t="n">
        <f aca="false">'Cash Flow'!J36</f>
        <v>-0</v>
      </c>
      <c r="DR14" s="1246" t="n">
        <f aca="false">'Cash Flow'!K36</f>
        <v>-0</v>
      </c>
      <c r="DS14" s="1246" t="n">
        <f aca="false">'Cash Flow'!L36</f>
        <v>-0</v>
      </c>
      <c r="DT14" s="1247" t="n">
        <f aca="false">'Cash Flow'!M36</f>
        <v>-0</v>
      </c>
      <c r="DU14" s="1274"/>
      <c r="DV14" s="1157"/>
      <c r="DW14" s="1372" t="str">
        <f aca="false">EE14</f>
        <v>Total Fixed Assets</v>
      </c>
      <c r="DX14" s="1292" t="n">
        <f aca="false">'Balance Sheet'!BJ13</f>
        <v>19521554.775</v>
      </c>
      <c r="DY14" s="1293" t="n">
        <f aca="false">'Balance Sheet'!BK13</f>
        <v>20483235.915</v>
      </c>
      <c r="DZ14" s="1293" t="n">
        <f aca="false">'Balance Sheet'!BL13</f>
        <v>18137050.875</v>
      </c>
      <c r="EA14" s="1293" t="n">
        <f aca="false">'Balance Sheet'!BM13</f>
        <v>15790865.835</v>
      </c>
      <c r="EB14" s="1294" t="n">
        <f aca="false">'Balance Sheet'!BN13</f>
        <v>13444680.795</v>
      </c>
      <c r="EC14" s="1167"/>
      <c r="ED14" s="1157"/>
      <c r="EE14" s="1358" t="str">
        <f aca="false">'Balance Sheet'!A13</f>
        <v>Total Fixed Assets</v>
      </c>
      <c r="EF14" s="1296" t="n">
        <f aca="false">'Balance Sheet'!B13</f>
        <v>0</v>
      </c>
      <c r="EG14" s="1297" t="n">
        <f aca="false">'Balance Sheet'!C13</f>
        <v>0</v>
      </c>
      <c r="EH14" s="1297" t="n">
        <f aca="false">'Balance Sheet'!D13</f>
        <v>0</v>
      </c>
      <c r="EI14" s="1297" t="n">
        <f aca="false">'Balance Sheet'!E13</f>
        <v>0</v>
      </c>
      <c r="EJ14" s="1297" t="n">
        <f aca="false">'Balance Sheet'!F13</f>
        <v>0</v>
      </c>
      <c r="EK14" s="1297" t="n">
        <f aca="false">'Balance Sheet'!G13</f>
        <v>0</v>
      </c>
      <c r="EL14" s="1297" t="n">
        <f aca="false">'Balance Sheet'!H13</f>
        <v>5091831.5</v>
      </c>
      <c r="EM14" s="1297" t="n">
        <f aca="false">'Balance Sheet'!I13</f>
        <v>8580957.645</v>
      </c>
      <c r="EN14" s="1297" t="n">
        <f aca="false">'Balance Sheet'!J13</f>
        <v>11352116.165</v>
      </c>
      <c r="EO14" s="1297" t="n">
        <f aca="false">'Balance Sheet'!K13</f>
        <v>14312322.02</v>
      </c>
      <c r="EP14" s="1297" t="n">
        <f aca="false">'Balance Sheet'!L13</f>
        <v>16607345.93</v>
      </c>
      <c r="EQ14" s="1298" t="n">
        <f aca="false">'Balance Sheet'!M13</f>
        <v>19521554.775</v>
      </c>
      <c r="ER14" s="1167"/>
      <c r="ES14" s="1163"/>
      <c r="ET14" s="1316"/>
      <c r="EU14" s="1189"/>
      <c r="EV14" s="1189"/>
      <c r="EW14" s="1189"/>
      <c r="EX14" s="1189"/>
      <c r="EY14" s="1281"/>
      <c r="EZ14" s="1167"/>
      <c r="FA14" s="1165"/>
      <c r="FB14" s="1337"/>
      <c r="FC14" s="1277"/>
      <c r="FD14" s="1277"/>
      <c r="FE14" s="1277"/>
      <c r="FF14" s="1277"/>
      <c r="FG14" s="1278"/>
      <c r="FH14" s="1167"/>
      <c r="FI14" s="1167"/>
      <c r="FJ14" s="1139"/>
      <c r="FK14" s="1216" t="s">
        <v>1799</v>
      </c>
      <c r="FL14" s="1217" t="n">
        <f aca="false">SUM(FL10:FL13)</f>
        <v>0</v>
      </c>
      <c r="FM14" s="1217" t="n">
        <f aca="false">SUM(FM10:FM13)</f>
        <v>0</v>
      </c>
      <c r="FN14" s="1218" t="n">
        <f aca="false">SUM(FN10:FN13)</f>
        <v>0</v>
      </c>
      <c r="FO14" s="1167"/>
      <c r="FP14" s="1163"/>
      <c r="FQ14" s="1216" t="s">
        <v>1920</v>
      </c>
      <c r="FR14" s="1373"/>
      <c r="FS14" s="1373"/>
      <c r="FT14" s="1373"/>
      <c r="FU14" s="1373"/>
      <c r="FV14" s="1374"/>
      <c r="FW14" s="1167"/>
      <c r="FX14" s="1173"/>
      <c r="FY14" s="1174"/>
      <c r="FZ14" s="1175"/>
      <c r="GA14" s="1258"/>
      <c r="GB14" s="1217"/>
      <c r="GC14" s="1217"/>
      <c r="GD14" s="1217"/>
      <c r="GE14" s="1217"/>
      <c r="GF14" s="1218"/>
      <c r="GG14" s="1189"/>
      <c r="GH14" s="1189"/>
      <c r="GI14" s="1174"/>
      <c r="GJ14" s="1355"/>
      <c r="GK14" s="1167"/>
      <c r="GL14" s="1167"/>
      <c r="GM14" s="1167"/>
      <c r="GN14" s="1167"/>
      <c r="GO14" s="1167"/>
      <c r="GP14" s="1167"/>
      <c r="GQ14" s="1167"/>
      <c r="GR14" s="1167"/>
      <c r="GS14" s="1356"/>
      <c r="GT14" s="1355"/>
      <c r="GU14" s="1167"/>
      <c r="GV14" s="1167"/>
      <c r="GW14" s="1167"/>
      <c r="GX14" s="1167"/>
      <c r="GY14" s="1167"/>
      <c r="GZ14" s="1167"/>
      <c r="HA14" s="1167"/>
      <c r="HB14" s="1167"/>
      <c r="HC14" s="1167"/>
      <c r="HD14" s="1167"/>
      <c r="HE14" s="1167"/>
      <c r="HF14" s="1167"/>
      <c r="HG14" s="1167"/>
      <c r="HH14" s="1167"/>
      <c r="HI14" s="1167"/>
      <c r="HJ14" s="1174"/>
      <c r="HK14" s="1174"/>
      <c r="HL14" s="1167"/>
      <c r="HM14" s="1167"/>
      <c r="HN14" s="1167"/>
      <c r="HO14" s="1167"/>
      <c r="HP14" s="1167"/>
      <c r="HQ14" s="1167"/>
    </row>
    <row r="15" customFormat="false" ht="12.75" hidden="false" customHeight="true" outlineLevel="0" collapsed="false">
      <c r="A15" s="1139"/>
      <c r="B15" s="1300" t="n">
        <f aca="false">'Sources &amp; Uses'!A21</f>
        <v>0</v>
      </c>
      <c r="C15" s="1184" t="n">
        <f aca="false">'Sources &amp; Uses'!B21</f>
        <v>0</v>
      </c>
      <c r="D15" s="1167"/>
      <c r="E15" s="1139"/>
      <c r="F15" s="1183" t="n">
        <f aca="false">'Sources &amp; Uses'!E18</f>
        <v>0</v>
      </c>
      <c r="G15" s="1184" t="n">
        <f aca="false">'Sources &amp; Uses'!F18</f>
        <v>0</v>
      </c>
      <c r="H15" s="1167"/>
      <c r="I15" s="1139"/>
      <c r="J15" s="1375"/>
      <c r="K15" s="1376"/>
      <c r="L15" s="1376"/>
      <c r="M15" s="1376"/>
      <c r="N15" s="1376"/>
      <c r="O15" s="1377"/>
      <c r="P15" s="1189"/>
      <c r="Q15" s="1146"/>
      <c r="R15" s="1378"/>
      <c r="S15" s="1283"/>
      <c r="T15" s="1283"/>
      <c r="U15" s="1283"/>
      <c r="V15" s="1283"/>
      <c r="W15" s="1283"/>
      <c r="X15" s="1283"/>
      <c r="Y15" s="1283"/>
      <c r="Z15" s="1283"/>
      <c r="AA15" s="1283"/>
      <c r="AB15" s="1283"/>
      <c r="AC15" s="1283"/>
      <c r="AD15" s="1284"/>
      <c r="AE15" s="1167"/>
      <c r="AF15" s="1139"/>
      <c r="AG15" s="1194" t="str">
        <f aca="false">Revenue!A120</f>
        <v>Direct Cost of Revenue</v>
      </c>
      <c r="AH15" s="1186"/>
      <c r="AI15" s="1187"/>
      <c r="AJ15" s="1187"/>
      <c r="AK15" s="1187"/>
      <c r="AL15" s="1188"/>
      <c r="AM15" s="1189"/>
      <c r="AN15" s="1139"/>
      <c r="AO15" s="1368" t="str">
        <f aca="false">Revenue!A120</f>
        <v>Direct Cost of Revenue</v>
      </c>
      <c r="AP15" s="1221"/>
      <c r="AQ15" s="1221"/>
      <c r="AR15" s="1221"/>
      <c r="AS15" s="1221"/>
      <c r="AT15" s="1221"/>
      <c r="AU15" s="1221"/>
      <c r="AV15" s="1221"/>
      <c r="AW15" s="1221"/>
      <c r="AX15" s="1221"/>
      <c r="AY15" s="1221"/>
      <c r="AZ15" s="1221"/>
      <c r="BA15" s="1222"/>
      <c r="BB15" s="1189"/>
      <c r="BC15" s="1189"/>
      <c r="BD15" s="1139"/>
      <c r="BE15" s="1379" t="str">
        <f aca="false">Revenue!A88</f>
        <v>Revenue DI Sell Price </v>
      </c>
      <c r="BF15" s="1187"/>
      <c r="BG15" s="1187"/>
      <c r="BH15" s="1187"/>
      <c r="BI15" s="1187"/>
      <c r="BJ15" s="1188"/>
      <c r="BK15" s="1198"/>
      <c r="BL15" s="1139"/>
      <c r="BM15" s="1199" t="str">
        <f aca="false">BE15</f>
        <v>Revenue DI Sell Price </v>
      </c>
      <c r="BN15" s="1191"/>
      <c r="BO15" s="1192"/>
      <c r="BP15" s="1192"/>
      <c r="BQ15" s="1192"/>
      <c r="BR15" s="1192"/>
      <c r="BS15" s="1192"/>
      <c r="BT15" s="1192"/>
      <c r="BU15" s="1192"/>
      <c r="BV15" s="1192"/>
      <c r="BW15" s="1192"/>
      <c r="BX15" s="1192"/>
      <c r="BY15" s="1193"/>
      <c r="BZ15" s="1189"/>
      <c r="CA15" s="1189"/>
      <c r="CB15" s="1139"/>
      <c r="CC15" s="1253" t="str">
        <f aca="false">'P&amp;L'!A35</f>
        <v/>
      </c>
      <c r="CD15" s="1217" t="n">
        <f aca="false">'P&amp;L'!BJ35</f>
        <v>0</v>
      </c>
      <c r="CE15" s="1217" t="n">
        <f aca="false">'P&amp;L'!BK35</f>
        <v>0</v>
      </c>
      <c r="CF15" s="1217" t="n">
        <f aca="false">'P&amp;L'!BL35</f>
        <v>0</v>
      </c>
      <c r="CG15" s="1217" t="n">
        <f aca="false">'P&amp;L'!BM35</f>
        <v>0</v>
      </c>
      <c r="CH15" s="1218" t="n">
        <f aca="false">'P&amp;L'!BN35</f>
        <v>0</v>
      </c>
      <c r="CI15" s="1167"/>
      <c r="CJ15" s="1139"/>
      <c r="CK15" s="1301" t="str">
        <f aca="false">'P&amp;L'!A35</f>
        <v/>
      </c>
      <c r="CL15" s="1302" t="n">
        <f aca="false">'P&amp;L'!B35</f>
        <v>0</v>
      </c>
      <c r="CM15" s="1283" t="n">
        <f aca="false">'P&amp;L'!C35</f>
        <v>0</v>
      </c>
      <c r="CN15" s="1283" t="n">
        <f aca="false">'P&amp;L'!D35</f>
        <v>0</v>
      </c>
      <c r="CO15" s="1283" t="n">
        <f aca="false">'P&amp;L'!E35</f>
        <v>0</v>
      </c>
      <c r="CP15" s="1283" t="n">
        <f aca="false">'P&amp;L'!F35</f>
        <v>0</v>
      </c>
      <c r="CQ15" s="1283" t="n">
        <f aca="false">'P&amp;L'!G35</f>
        <v>0</v>
      </c>
      <c r="CR15" s="1283" t="n">
        <f aca="false">'P&amp;L'!H35</f>
        <v>0</v>
      </c>
      <c r="CS15" s="1283" t="n">
        <f aca="false">'P&amp;L'!I35</f>
        <v>0</v>
      </c>
      <c r="CT15" s="1283" t="n">
        <f aca="false">'P&amp;L'!J35</f>
        <v>0</v>
      </c>
      <c r="CU15" s="1283" t="n">
        <f aca="false">'P&amp;L'!K35</f>
        <v>0</v>
      </c>
      <c r="CV15" s="1283" t="n">
        <f aca="false">'P&amp;L'!L35</f>
        <v>0</v>
      </c>
      <c r="CW15" s="1247" t="n">
        <f aca="false">'P&amp;L'!M35</f>
        <v>0</v>
      </c>
      <c r="CX15" s="1167"/>
      <c r="CY15" s="1157"/>
      <c r="CZ15" s="1248" t="str">
        <f aca="false">'Cash Flow'!A37</f>
        <v>Sale of Land</v>
      </c>
      <c r="DA15" s="1249" t="n">
        <f aca="false">'Cash Flow'!BJ37</f>
        <v>0</v>
      </c>
      <c r="DB15" s="1250" t="n">
        <f aca="false">'Cash Flow'!BK37</f>
        <v>0</v>
      </c>
      <c r="DC15" s="1250" t="n">
        <f aca="false">'Cash Flow'!BL37</f>
        <v>0</v>
      </c>
      <c r="DD15" s="1250" t="n">
        <f aca="false">'Cash Flow'!BM37</f>
        <v>0</v>
      </c>
      <c r="DE15" s="1251" t="n">
        <f aca="false">'Cash Flow'!BN37</f>
        <v>0</v>
      </c>
      <c r="DF15" s="1274"/>
      <c r="DG15" s="1139"/>
      <c r="DH15" s="1252" t="str">
        <f aca="false">CZ15</f>
        <v>Sale of Land</v>
      </c>
      <c r="DI15" s="1245" t="n">
        <f aca="false">'Cash Flow'!B37</f>
        <v>0</v>
      </c>
      <c r="DJ15" s="1246" t="n">
        <f aca="false">'Cash Flow'!C37</f>
        <v>0</v>
      </c>
      <c r="DK15" s="1246" t="n">
        <f aca="false">'Cash Flow'!D37</f>
        <v>0</v>
      </c>
      <c r="DL15" s="1246" t="n">
        <f aca="false">'Cash Flow'!E37</f>
        <v>0</v>
      </c>
      <c r="DM15" s="1246" t="n">
        <f aca="false">'Cash Flow'!F37</f>
        <v>0</v>
      </c>
      <c r="DN15" s="1246" t="n">
        <f aca="false">'Cash Flow'!G37</f>
        <v>0</v>
      </c>
      <c r="DO15" s="1246" t="n">
        <f aca="false">'Cash Flow'!H37</f>
        <v>0</v>
      </c>
      <c r="DP15" s="1246" t="n">
        <f aca="false">'Cash Flow'!I37</f>
        <v>0</v>
      </c>
      <c r="DQ15" s="1246" t="n">
        <f aca="false">'Cash Flow'!J37</f>
        <v>0</v>
      </c>
      <c r="DR15" s="1246" t="n">
        <f aca="false">'Cash Flow'!K37</f>
        <v>0</v>
      </c>
      <c r="DS15" s="1246" t="n">
        <f aca="false">'Cash Flow'!L37</f>
        <v>0</v>
      </c>
      <c r="DT15" s="1247" t="n">
        <f aca="false">'Cash Flow'!M37</f>
        <v>0</v>
      </c>
      <c r="DU15" s="1167"/>
      <c r="DV15" s="1157"/>
      <c r="DW15" s="1380" t="str">
        <f aca="false">EE15</f>
        <v>Total Assets</v>
      </c>
      <c r="DX15" s="1381" t="n">
        <f aca="false">'Balance Sheet'!BJ14</f>
        <v>27983681.0756914</v>
      </c>
      <c r="DY15" s="1382" t="n">
        <f aca="false">'Balance Sheet'!BK14</f>
        <v>41614784.1368189</v>
      </c>
      <c r="DZ15" s="1382" t="n">
        <f aca="false">'Balance Sheet'!BL14</f>
        <v>86048055.6206542</v>
      </c>
      <c r="EA15" s="1382" t="n">
        <f aca="false">'Balance Sheet'!BM14</f>
        <v>133133946.564165</v>
      </c>
      <c r="EB15" s="1383" t="n">
        <f aca="false">'Balance Sheet'!BN14</f>
        <v>186464126.205111</v>
      </c>
      <c r="EC15" s="1167"/>
      <c r="ED15" s="1157"/>
      <c r="EE15" s="1285" t="str">
        <f aca="false">'Balance Sheet'!A14</f>
        <v>Total Assets</v>
      </c>
      <c r="EF15" s="1303" t="n">
        <f aca="false">'Balance Sheet'!B14</f>
        <v>9994578.0003863</v>
      </c>
      <c r="EG15" s="1304" t="n">
        <f aca="false">'Balance Sheet'!C14</f>
        <v>9598538.38475069</v>
      </c>
      <c r="EH15" s="1304" t="n">
        <f aca="false">'Balance Sheet'!D14</f>
        <v>9186465.94065162</v>
      </c>
      <c r="EI15" s="1304" t="n">
        <f aca="false">'Balance Sheet'!E14</f>
        <v>8897169.92819616</v>
      </c>
      <c r="EJ15" s="1304" t="n">
        <f aca="false">'Balance Sheet'!F14</f>
        <v>8646035.71663305</v>
      </c>
      <c r="EK15" s="1304" t="n">
        <f aca="false">'Balance Sheet'!G14</f>
        <v>8564865.21051232</v>
      </c>
      <c r="EL15" s="1304" t="n">
        <f aca="false">'Balance Sheet'!H14</f>
        <v>13597000.5412121</v>
      </c>
      <c r="EM15" s="1304" t="n">
        <f aca="false">'Balance Sheet'!I14</f>
        <v>17011399.4584987</v>
      </c>
      <c r="EN15" s="1304" t="n">
        <f aca="false">'Balance Sheet'!J14</f>
        <v>19726206.4401918</v>
      </c>
      <c r="EO15" s="1304" t="n">
        <f aca="false">'Balance Sheet'!K14</f>
        <v>22671582.538763</v>
      </c>
      <c r="EP15" s="1304" t="n">
        <f aca="false">'Balance Sheet'!L14</f>
        <v>24996211.8188754</v>
      </c>
      <c r="EQ15" s="1305" t="n">
        <f aca="false">'Balance Sheet'!M14</f>
        <v>27983681.0756914</v>
      </c>
      <c r="ER15" s="1167"/>
      <c r="ES15" s="1163"/>
      <c r="ET15" s="1384" t="s">
        <v>1921</v>
      </c>
      <c r="EU15" s="1186"/>
      <c r="EV15" s="1187"/>
      <c r="EW15" s="1187"/>
      <c r="EX15" s="1187"/>
      <c r="EY15" s="1188"/>
      <c r="EZ15" s="1167"/>
      <c r="FA15" s="1165"/>
      <c r="FB15" s="1355"/>
      <c r="FC15" s="1167"/>
      <c r="FD15" s="1167"/>
      <c r="FE15" s="1167"/>
      <c r="FF15" s="1167"/>
      <c r="FG15" s="1167"/>
      <c r="FH15" s="1167"/>
      <c r="FI15" s="1167"/>
      <c r="FJ15" s="1139"/>
      <c r="FK15" s="1216"/>
      <c r="FL15" s="1217"/>
      <c r="FM15" s="1217"/>
      <c r="FN15" s="1218"/>
      <c r="FO15" s="1167"/>
      <c r="FP15" s="1163"/>
      <c r="FQ15" s="1216" t="s">
        <v>1922</v>
      </c>
      <c r="FR15" s="1217" t="n">
        <v>0</v>
      </c>
      <c r="FS15" s="1217"/>
      <c r="FT15" s="1217"/>
      <c r="FU15" s="1217"/>
      <c r="FV15" s="1218"/>
      <c r="FW15" s="1167"/>
      <c r="FX15" s="1173"/>
      <c r="FY15" s="1174"/>
      <c r="FZ15" s="1175"/>
      <c r="GA15" s="1258"/>
      <c r="GB15" s="1217"/>
      <c r="GC15" s="1217"/>
      <c r="GD15" s="1217"/>
      <c r="GE15" s="1217"/>
      <c r="GF15" s="1218"/>
      <c r="GG15" s="1189"/>
      <c r="GH15" s="1189"/>
      <c r="GI15" s="1174"/>
      <c r="GJ15" s="1355"/>
      <c r="GK15" s="1167"/>
      <c r="GL15" s="1167"/>
      <c r="GM15" s="1167"/>
      <c r="GN15" s="1167"/>
      <c r="GO15" s="1167"/>
      <c r="GP15" s="1167"/>
      <c r="GQ15" s="1167"/>
      <c r="GR15" s="1167"/>
      <c r="GS15" s="1356"/>
      <c r="GT15" s="1355"/>
      <c r="GU15" s="1167"/>
      <c r="GV15" s="1167"/>
      <c r="GW15" s="1167"/>
      <c r="GX15" s="1167"/>
      <c r="GY15" s="1167"/>
      <c r="GZ15" s="1167"/>
      <c r="HA15" s="1167"/>
      <c r="HB15" s="1167"/>
      <c r="HC15" s="1167"/>
      <c r="HD15" s="1167"/>
      <c r="HE15" s="1167"/>
      <c r="HF15" s="1167"/>
      <c r="HG15" s="1167"/>
      <c r="HH15" s="1167"/>
      <c r="HI15" s="1167"/>
      <c r="HJ15" s="1174"/>
      <c r="HK15" s="1174"/>
      <c r="HL15" s="1167"/>
      <c r="HM15" s="1167"/>
      <c r="HN15" s="1167"/>
      <c r="HO15" s="1167"/>
      <c r="HP15" s="1167"/>
      <c r="HQ15" s="1167"/>
    </row>
    <row r="16" customFormat="false" ht="12.75" hidden="false" customHeight="true" outlineLevel="0" collapsed="false">
      <c r="A16" s="1139"/>
      <c r="B16" s="1300" t="n">
        <f aca="false">'Sources &amp; Uses'!A22</f>
        <v>0</v>
      </c>
      <c r="C16" s="1184" t="n">
        <f aca="false">'Sources &amp; Uses'!B22</f>
        <v>0</v>
      </c>
      <c r="D16" s="1167"/>
      <c r="E16" s="1139"/>
      <c r="F16" s="1183" t="n">
        <f aca="false">'Sources &amp; Uses'!E19</f>
        <v>0</v>
      </c>
      <c r="G16" s="1184" t="n">
        <f aca="false">'Sources &amp; Uses'!F19</f>
        <v>0</v>
      </c>
      <c r="H16" s="1167"/>
      <c r="I16" s="1139"/>
      <c r="J16" s="1185" t="str">
        <f aca="false">R16</f>
        <v>Personnel Wage</v>
      </c>
      <c r="K16" s="1186"/>
      <c r="L16" s="1187"/>
      <c r="M16" s="1187"/>
      <c r="N16" s="1187"/>
      <c r="O16" s="1188"/>
      <c r="P16" s="1189"/>
      <c r="Q16" s="1146"/>
      <c r="R16" s="1190" t="str">
        <f aca="false">Personnel!A16</f>
        <v>Personnel Wage</v>
      </c>
      <c r="S16" s="1191"/>
      <c r="T16" s="1192"/>
      <c r="U16" s="1192"/>
      <c r="V16" s="1192"/>
      <c r="W16" s="1192"/>
      <c r="X16" s="1192"/>
      <c r="Y16" s="1192"/>
      <c r="Z16" s="1192"/>
      <c r="AA16" s="1192"/>
      <c r="AB16" s="1192"/>
      <c r="AC16" s="1192"/>
      <c r="AD16" s="1193"/>
      <c r="AE16" s="1167"/>
      <c r="AF16" s="1139"/>
      <c r="AG16" s="1235" t="str">
        <f aca="false">Revenue!A121</f>
        <v>CS-2.5</v>
      </c>
      <c r="AH16" s="1236" t="n">
        <f aca="false">Revenue!BJ121</f>
        <v>88955.7142857143</v>
      </c>
      <c r="AI16" s="1217" t="n">
        <f aca="false">Revenue!BK121</f>
        <v>445266</v>
      </c>
      <c r="AJ16" s="1217" t="n">
        <f aca="false">Revenue!BL121</f>
        <v>1125960</v>
      </c>
      <c r="AK16" s="1217" t="n">
        <f aca="false">Revenue!BM121</f>
        <v>1177140</v>
      </c>
      <c r="AL16" s="1218" t="n">
        <f aca="false">Revenue!BN121</f>
        <v>1228320</v>
      </c>
      <c r="AM16" s="1189"/>
      <c r="AN16" s="1139"/>
      <c r="AO16" s="1237" t="str">
        <f aca="false">Revenue!A121</f>
        <v>CS-2.5</v>
      </c>
      <c r="AP16" s="1221" t="n">
        <f aca="false">Revenue!B121</f>
        <v>0</v>
      </c>
      <c r="AQ16" s="1221" t="n">
        <f aca="false">Revenue!C121</f>
        <v>0</v>
      </c>
      <c r="AR16" s="1221" t="n">
        <f aca="false">Revenue!D121</f>
        <v>32.7552</v>
      </c>
      <c r="AS16" s="1221" t="n">
        <f aca="false">Revenue!E121</f>
        <v>1218.57142857143</v>
      </c>
      <c r="AT16" s="1221" t="n">
        <f aca="false">Revenue!F121</f>
        <v>2437.14285714286</v>
      </c>
      <c r="AU16" s="1221" t="n">
        <f aca="false">Revenue!G121</f>
        <v>4874.28571428572</v>
      </c>
      <c r="AV16" s="1221" t="n">
        <f aca="false">Revenue!H121</f>
        <v>7311.42857142858</v>
      </c>
      <c r="AW16" s="1221" t="n">
        <f aca="false">Revenue!I121</f>
        <v>9748.57142857144</v>
      </c>
      <c r="AX16" s="1221" t="n">
        <f aca="false">Revenue!J121</f>
        <v>12185.7142857143</v>
      </c>
      <c r="AY16" s="1221" t="n">
        <f aca="false">Revenue!K121</f>
        <v>14622.8571428571</v>
      </c>
      <c r="AZ16" s="1221" t="n">
        <f aca="false">Revenue!L121</f>
        <v>17060</v>
      </c>
      <c r="BA16" s="1222" t="n">
        <f aca="false">Revenue!M121</f>
        <v>19497.1428571428</v>
      </c>
      <c r="BB16" s="1150"/>
      <c r="BC16" s="1150"/>
      <c r="BD16" s="1139"/>
      <c r="BE16" s="1385"/>
      <c r="BF16" s="1217"/>
      <c r="BG16" s="1217"/>
      <c r="BH16" s="1217"/>
      <c r="BI16" s="1217"/>
      <c r="BJ16" s="1218"/>
      <c r="BK16" s="1198"/>
      <c r="BL16" s="1139"/>
      <c r="BM16" s="1386"/>
      <c r="BN16" s="1245"/>
      <c r="BO16" s="1246"/>
      <c r="BP16" s="1246"/>
      <c r="BQ16" s="1246"/>
      <c r="BR16" s="1246"/>
      <c r="BS16" s="1246"/>
      <c r="BT16" s="1246"/>
      <c r="BU16" s="1246"/>
      <c r="BV16" s="1246"/>
      <c r="BW16" s="1246"/>
      <c r="BX16" s="1246"/>
      <c r="BY16" s="1247"/>
      <c r="BZ16" s="1150"/>
      <c r="CA16" s="1150"/>
      <c r="CB16" s="1139"/>
      <c r="CC16" s="1253" t="str">
        <f aca="false">'P&amp;L'!A36</f>
        <v/>
      </c>
      <c r="CD16" s="1217" t="n">
        <f aca="false">'P&amp;L'!BJ36</f>
        <v>0</v>
      </c>
      <c r="CE16" s="1217" t="n">
        <f aca="false">'P&amp;L'!BK36</f>
        <v>0</v>
      </c>
      <c r="CF16" s="1217" t="n">
        <f aca="false">'P&amp;L'!BL36</f>
        <v>0</v>
      </c>
      <c r="CG16" s="1217" t="n">
        <f aca="false">'P&amp;L'!BM36</f>
        <v>0</v>
      </c>
      <c r="CH16" s="1218" t="n">
        <f aca="false">'P&amp;L'!BN36</f>
        <v>0</v>
      </c>
      <c r="CI16" s="1167"/>
      <c r="CJ16" s="1139"/>
      <c r="CK16" s="1301" t="str">
        <f aca="false">'P&amp;L'!A36</f>
        <v/>
      </c>
      <c r="CL16" s="1302" t="n">
        <f aca="false">'P&amp;L'!B36</f>
        <v>0</v>
      </c>
      <c r="CM16" s="1283" t="n">
        <f aca="false">'P&amp;L'!C36</f>
        <v>0</v>
      </c>
      <c r="CN16" s="1283" t="n">
        <f aca="false">'P&amp;L'!D36</f>
        <v>0</v>
      </c>
      <c r="CO16" s="1283" t="n">
        <f aca="false">'P&amp;L'!E36</f>
        <v>0</v>
      </c>
      <c r="CP16" s="1283" t="n">
        <f aca="false">'P&amp;L'!F36</f>
        <v>0</v>
      </c>
      <c r="CQ16" s="1283" t="n">
        <f aca="false">'P&amp;L'!G36</f>
        <v>0</v>
      </c>
      <c r="CR16" s="1283" t="n">
        <f aca="false">'P&amp;L'!H36</f>
        <v>0</v>
      </c>
      <c r="CS16" s="1283" t="n">
        <f aca="false">'P&amp;L'!I36</f>
        <v>0</v>
      </c>
      <c r="CT16" s="1283" t="n">
        <f aca="false">'P&amp;L'!J36</f>
        <v>0</v>
      </c>
      <c r="CU16" s="1283" t="n">
        <f aca="false">'P&amp;L'!K36</f>
        <v>0</v>
      </c>
      <c r="CV16" s="1283" t="n">
        <f aca="false">'P&amp;L'!L36</f>
        <v>0</v>
      </c>
      <c r="CW16" s="1247" t="n">
        <f aca="false">'P&amp;L'!M36</f>
        <v>0</v>
      </c>
      <c r="CX16" s="1167"/>
      <c r="CY16" s="1157"/>
      <c r="CZ16" s="1248" t="str">
        <f aca="false">'Cash Flow'!A38</f>
        <v>Purchase of Equipment</v>
      </c>
      <c r="DA16" s="1249" t="n">
        <f aca="false">'Cash Flow'!BJ38</f>
        <v>-20165634.6</v>
      </c>
      <c r="DB16" s="1250" t="n">
        <f aca="false">'Cash Flow'!BK38</f>
        <v>-3296215.8</v>
      </c>
      <c r="DC16" s="1250" t="n">
        <f aca="false">'Cash Flow'!BL38</f>
        <v>0</v>
      </c>
      <c r="DD16" s="1250" t="n">
        <f aca="false">'Cash Flow'!BM38</f>
        <v>0</v>
      </c>
      <c r="DE16" s="1251" t="n">
        <f aca="false">'Cash Flow'!BN38</f>
        <v>0</v>
      </c>
      <c r="DF16" s="1274"/>
      <c r="DG16" s="1139"/>
      <c r="DH16" s="1252" t="str">
        <f aca="false">CZ16</f>
        <v>Purchase of Equipment</v>
      </c>
      <c r="DI16" s="1245" t="n">
        <f aca="false">'Cash Flow'!B38</f>
        <v>-0</v>
      </c>
      <c r="DJ16" s="1246" t="n">
        <f aca="false">'Cash Flow'!C38</f>
        <v>-0</v>
      </c>
      <c r="DK16" s="1246" t="n">
        <f aca="false">'Cash Flow'!D38</f>
        <v>-0</v>
      </c>
      <c r="DL16" s="1246" t="n">
        <f aca="false">'Cash Flow'!E38</f>
        <v>-0</v>
      </c>
      <c r="DM16" s="1246" t="n">
        <f aca="false">'Cash Flow'!F38</f>
        <v>-0</v>
      </c>
      <c r="DN16" s="1246" t="n">
        <f aca="false">'Cash Flow'!G38</f>
        <v>-0</v>
      </c>
      <c r="DO16" s="1246" t="n">
        <f aca="false">'Cash Flow'!H38</f>
        <v>-5134620</v>
      </c>
      <c r="DP16" s="1246" t="n">
        <f aca="false">'Cash Flow'!I38</f>
        <v>-3561594.6</v>
      </c>
      <c r="DQ16" s="1246" t="n">
        <f aca="false">'Cash Flow'!J38</f>
        <v>-2867523</v>
      </c>
      <c r="DR16" s="1246" t="n">
        <f aca="false">'Cash Flow'!K38</f>
        <v>-3082255.8</v>
      </c>
      <c r="DS16" s="1246" t="n">
        <f aca="false">'Cash Flow'!L38</f>
        <v>-2437385.4</v>
      </c>
      <c r="DT16" s="1247" t="n">
        <f aca="false">'Cash Flow'!M38</f>
        <v>-3082255.8</v>
      </c>
      <c r="DU16" s="1274"/>
      <c r="DV16" s="1157"/>
      <c r="DW16" s="1280"/>
      <c r="DX16" s="1262"/>
      <c r="DY16" s="1262"/>
      <c r="DZ16" s="1262"/>
      <c r="EA16" s="1262"/>
      <c r="EB16" s="1263"/>
      <c r="EC16" s="1167"/>
      <c r="ED16" s="1157"/>
      <c r="EE16" s="1316"/>
      <c r="EF16" s="1283"/>
      <c r="EG16" s="1283"/>
      <c r="EH16" s="1283"/>
      <c r="EI16" s="1283"/>
      <c r="EJ16" s="1283"/>
      <c r="EK16" s="1283"/>
      <c r="EL16" s="1283"/>
      <c r="EM16" s="1283"/>
      <c r="EN16" s="1283"/>
      <c r="EO16" s="1283"/>
      <c r="EP16" s="1283"/>
      <c r="EQ16" s="1284"/>
      <c r="ER16" s="1167"/>
      <c r="ES16" s="1163"/>
      <c r="ET16" s="1387" t="s">
        <v>1923</v>
      </c>
      <c r="EU16" s="1326" t="n">
        <f aca="false">DX25/DX15</f>
        <v>0.779557499671392</v>
      </c>
      <c r="EV16" s="1327" t="n">
        <f aca="false">DY25/DY15</f>
        <v>0.649703588666422</v>
      </c>
      <c r="EW16" s="1327" t="n">
        <f aca="false">DZ25/DZ15</f>
        <v>0.34138044405256</v>
      </c>
      <c r="EX16" s="1327" t="n">
        <f aca="false">EA25/EA15</f>
        <v>0.210096845544944</v>
      </c>
      <c r="EY16" s="1328" t="n">
        <f aca="false">EB25/EB15</f>
        <v>0.141820359449206</v>
      </c>
      <c r="EZ16" s="1167"/>
      <c r="FA16" s="1165"/>
      <c r="FB16" s="1166"/>
      <c r="FC16" s="1166"/>
      <c r="FD16" s="1166"/>
      <c r="FE16" s="1166"/>
      <c r="FF16" s="1166"/>
      <c r="FG16" s="1166"/>
      <c r="FH16" s="1167"/>
      <c r="FI16" s="1167"/>
      <c r="FJ16" s="1139"/>
      <c r="FK16" s="1258" t="s">
        <v>1497</v>
      </c>
      <c r="FL16" s="1217"/>
      <c r="FM16" s="1217"/>
      <c r="FN16" s="1218"/>
      <c r="FO16" s="1167"/>
      <c r="FP16" s="1163"/>
      <c r="FQ16" s="1216" t="s">
        <v>1924</v>
      </c>
      <c r="FR16" s="1217" t="n">
        <v>0</v>
      </c>
      <c r="FS16" s="1217"/>
      <c r="FT16" s="1217"/>
      <c r="FU16" s="1217"/>
      <c r="FV16" s="1218"/>
      <c r="FW16" s="1167"/>
      <c r="FX16" s="1173"/>
      <c r="FY16" s="1174"/>
      <c r="FZ16" s="1175"/>
      <c r="GA16" s="1258"/>
      <c r="GB16" s="1217"/>
      <c r="GC16" s="1217"/>
      <c r="GD16" s="1217"/>
      <c r="GE16" s="1217"/>
      <c r="GF16" s="1218"/>
      <c r="GG16" s="1189"/>
      <c r="GH16" s="1189"/>
      <c r="GI16" s="1174"/>
      <c r="GJ16" s="1355"/>
      <c r="GK16" s="1167"/>
      <c r="GL16" s="1167"/>
      <c r="GM16" s="1167"/>
      <c r="GN16" s="1167"/>
      <c r="GO16" s="1167"/>
      <c r="GP16" s="1167"/>
      <c r="GQ16" s="1167"/>
      <c r="GR16" s="1167"/>
      <c r="GS16" s="1356"/>
      <c r="GT16" s="1355"/>
      <c r="GU16" s="1167"/>
      <c r="GV16" s="1167"/>
      <c r="GW16" s="1167"/>
      <c r="GX16" s="1167"/>
      <c r="GY16" s="1167"/>
      <c r="GZ16" s="1167"/>
      <c r="HA16" s="1167"/>
      <c r="HB16" s="1167"/>
      <c r="HC16" s="1167"/>
      <c r="HD16" s="1167"/>
      <c r="HE16" s="1167"/>
      <c r="HF16" s="1167"/>
      <c r="HG16" s="1167"/>
      <c r="HH16" s="1167"/>
      <c r="HI16" s="1167"/>
      <c r="HJ16" s="1174"/>
      <c r="HK16" s="1174"/>
      <c r="HL16" s="1167"/>
      <c r="HM16" s="1167"/>
      <c r="HN16" s="1167"/>
      <c r="HO16" s="1167"/>
      <c r="HP16" s="1167"/>
      <c r="HQ16" s="1167"/>
    </row>
    <row r="17" customFormat="false" ht="12.75" hidden="false" customHeight="true" outlineLevel="0" collapsed="false">
      <c r="A17" s="1139"/>
      <c r="B17" s="1300" t="n">
        <f aca="false">'Sources &amp; Uses'!A23</f>
        <v>0</v>
      </c>
      <c r="C17" s="1184" t="n">
        <f aca="false">'Sources &amp; Uses'!B23</f>
        <v>0</v>
      </c>
      <c r="D17" s="1167"/>
      <c r="E17" s="1139"/>
      <c r="F17" s="1183" t="n">
        <f aca="false">'Sources &amp; Uses'!E20</f>
        <v>0</v>
      </c>
      <c r="G17" s="1184" t="n">
        <f aca="false">'Sources &amp; Uses'!F20</f>
        <v>0</v>
      </c>
      <c r="H17" s="1167"/>
      <c r="I17" s="1139"/>
      <c r="J17" s="1226" t="str">
        <f aca="false">Personnel!A17</f>
        <v>Trades</v>
      </c>
      <c r="K17" s="1236" t="n">
        <f aca="false">Personnel!BL17</f>
        <v>2412800</v>
      </c>
      <c r="L17" s="1217" t="n">
        <f aca="false">Personnel!BM17</f>
        <v>2533440</v>
      </c>
      <c r="M17" s="1217" t="n">
        <f aca="false">Personnel!BN17</f>
        <v>2660112</v>
      </c>
      <c r="N17" s="1217" t="n">
        <f aca="false">Personnel!BO17</f>
        <v>2793117.6</v>
      </c>
      <c r="O17" s="1218" t="n">
        <f aca="false">Personnel!BP17</f>
        <v>2932773.48</v>
      </c>
      <c r="P17" s="1189"/>
      <c r="Q17" s="1146"/>
      <c r="R17" s="1231" t="str">
        <f aca="false">Personnel!A17</f>
        <v>Trades</v>
      </c>
      <c r="S17" s="1245" t="n">
        <f aca="false">Personnel!D17</f>
        <v>41600</v>
      </c>
      <c r="T17" s="1246" t="n">
        <f aca="false">Personnel!E17</f>
        <v>83200</v>
      </c>
      <c r="U17" s="1246" t="n">
        <f aca="false">Personnel!F17</f>
        <v>104000</v>
      </c>
      <c r="V17" s="1246" t="n">
        <f aca="false">Personnel!G17</f>
        <v>104000</v>
      </c>
      <c r="W17" s="1246" t="n">
        <f aca="false">Personnel!H17</f>
        <v>104000</v>
      </c>
      <c r="X17" s="1246" t="n">
        <f aca="false">Personnel!I17</f>
        <v>156000</v>
      </c>
      <c r="Y17" s="1246" t="n">
        <f aca="false">Personnel!J17</f>
        <v>260000</v>
      </c>
      <c r="Z17" s="1246" t="n">
        <f aca="false">Personnel!K17</f>
        <v>312000</v>
      </c>
      <c r="AA17" s="1246" t="n">
        <f aca="false">Personnel!L17</f>
        <v>312000</v>
      </c>
      <c r="AB17" s="1246" t="n">
        <f aca="false">Personnel!M17</f>
        <v>312000</v>
      </c>
      <c r="AC17" s="1246" t="n">
        <f aca="false">Personnel!N17</f>
        <v>312000</v>
      </c>
      <c r="AD17" s="1247" t="n">
        <f aca="false">Personnel!O17</f>
        <v>312000</v>
      </c>
      <c r="AE17" s="1167"/>
      <c r="AF17" s="1139"/>
      <c r="AG17" s="1235" t="str">
        <f aca="false">Revenue!A146</f>
        <v>SS-12</v>
      </c>
      <c r="AH17" s="1236" t="n">
        <f aca="false">Revenue!BJ146</f>
        <v>25178.0128571429</v>
      </c>
      <c r="AI17" s="1217" t="n">
        <f aca="false">Revenue!BK146</f>
        <v>126028.026</v>
      </c>
      <c r="AJ17" s="1217" t="n">
        <f aca="false">Revenue!BL146</f>
        <v>318691.56</v>
      </c>
      <c r="AK17" s="1217" t="n">
        <f aca="false">Revenue!BM146</f>
        <v>333177.54</v>
      </c>
      <c r="AL17" s="1218" t="n">
        <f aca="false">Revenue!BN146</f>
        <v>347663.52</v>
      </c>
      <c r="AM17" s="1189"/>
      <c r="AN17" s="1139"/>
      <c r="AO17" s="1237" t="str">
        <f aca="false">Revenue!A146</f>
        <v>SS-12</v>
      </c>
      <c r="AP17" s="1221" t="n">
        <f aca="false">Revenue!B146</f>
        <v>0</v>
      </c>
      <c r="AQ17" s="1221" t="n">
        <f aca="false">Revenue!C146</f>
        <v>0</v>
      </c>
      <c r="AR17" s="1221" t="n">
        <f aca="false">Revenue!D146</f>
        <v>20.3312</v>
      </c>
      <c r="AS17" s="1221" t="n">
        <f aca="false">Revenue!E146</f>
        <v>344.904285714285</v>
      </c>
      <c r="AT17" s="1221" t="n">
        <f aca="false">Revenue!F146</f>
        <v>689.808571428571</v>
      </c>
      <c r="AU17" s="1221" t="n">
        <f aca="false">Revenue!G146</f>
        <v>1379.61714285714</v>
      </c>
      <c r="AV17" s="1221" t="n">
        <f aca="false">Revenue!H146</f>
        <v>2069.42571428571</v>
      </c>
      <c r="AW17" s="1221" t="n">
        <f aca="false">Revenue!I146</f>
        <v>2759.23428571429</v>
      </c>
      <c r="AX17" s="1221" t="n">
        <f aca="false">Revenue!J146</f>
        <v>3449.04285714285</v>
      </c>
      <c r="AY17" s="1221" t="n">
        <f aca="false">Revenue!K146</f>
        <v>4138.85142857144</v>
      </c>
      <c r="AZ17" s="1221" t="n">
        <f aca="false">Revenue!L146</f>
        <v>4828.66</v>
      </c>
      <c r="BA17" s="1222" t="n">
        <f aca="false">Revenue!M146</f>
        <v>5518.46857142856</v>
      </c>
      <c r="BB17" s="1189"/>
      <c r="BC17" s="1189"/>
      <c r="BD17" s="1139"/>
      <c r="BE17" s="1385"/>
      <c r="BF17" s="1217"/>
      <c r="BG17" s="1217"/>
      <c r="BH17" s="1217"/>
      <c r="BI17" s="1217"/>
      <c r="BJ17" s="1218"/>
      <c r="BK17" s="1198"/>
      <c r="BL17" s="1139"/>
      <c r="BM17" s="1386"/>
      <c r="BN17" s="1245"/>
      <c r="BO17" s="1246"/>
      <c r="BP17" s="1246"/>
      <c r="BQ17" s="1246"/>
      <c r="BR17" s="1246"/>
      <c r="BS17" s="1246"/>
      <c r="BT17" s="1246"/>
      <c r="BU17" s="1246"/>
      <c r="BV17" s="1246"/>
      <c r="BW17" s="1246"/>
      <c r="BX17" s="1246"/>
      <c r="BY17" s="1247"/>
      <c r="BZ17" s="1189"/>
      <c r="CA17" s="1189"/>
      <c r="CB17" s="1139"/>
      <c r="CC17" s="1253" t="str">
        <f aca="false">'P&amp;L'!A37</f>
        <v/>
      </c>
      <c r="CD17" s="1217" t="n">
        <f aca="false">'P&amp;L'!BJ37</f>
        <v>0</v>
      </c>
      <c r="CE17" s="1217" t="n">
        <f aca="false">'P&amp;L'!BK37</f>
        <v>0</v>
      </c>
      <c r="CF17" s="1217" t="n">
        <f aca="false">'P&amp;L'!BL37</f>
        <v>0</v>
      </c>
      <c r="CG17" s="1217" t="n">
        <f aca="false">'P&amp;L'!BM37</f>
        <v>0</v>
      </c>
      <c r="CH17" s="1218" t="n">
        <f aca="false">'P&amp;L'!BN37</f>
        <v>0</v>
      </c>
      <c r="CI17" s="1167"/>
      <c r="CJ17" s="1139"/>
      <c r="CK17" s="1301" t="str">
        <f aca="false">'P&amp;L'!A37</f>
        <v/>
      </c>
      <c r="CL17" s="1302" t="n">
        <f aca="false">'P&amp;L'!B37</f>
        <v>0</v>
      </c>
      <c r="CM17" s="1283" t="n">
        <f aca="false">'P&amp;L'!C37</f>
        <v>0</v>
      </c>
      <c r="CN17" s="1283" t="n">
        <f aca="false">'P&amp;L'!D37</f>
        <v>0</v>
      </c>
      <c r="CO17" s="1283" t="n">
        <f aca="false">'P&amp;L'!E37</f>
        <v>0</v>
      </c>
      <c r="CP17" s="1283" t="n">
        <f aca="false">'P&amp;L'!F37</f>
        <v>0</v>
      </c>
      <c r="CQ17" s="1283" t="n">
        <f aca="false">'P&amp;L'!G37</f>
        <v>0</v>
      </c>
      <c r="CR17" s="1283" t="n">
        <f aca="false">'P&amp;L'!H37</f>
        <v>0</v>
      </c>
      <c r="CS17" s="1283" t="n">
        <f aca="false">'P&amp;L'!I37</f>
        <v>0</v>
      </c>
      <c r="CT17" s="1283" t="n">
        <f aca="false">'P&amp;L'!J37</f>
        <v>0</v>
      </c>
      <c r="CU17" s="1283" t="n">
        <f aca="false">'P&amp;L'!K37</f>
        <v>0</v>
      </c>
      <c r="CV17" s="1283" t="n">
        <f aca="false">'P&amp;L'!L37</f>
        <v>0</v>
      </c>
      <c r="CW17" s="1247" t="n">
        <f aca="false">'P&amp;L'!M37</f>
        <v>0</v>
      </c>
      <c r="CX17" s="1167"/>
      <c r="CY17" s="1157"/>
      <c r="CZ17" s="1248" t="str">
        <f aca="false">'Cash Flow'!A39</f>
        <v>Sale of Long-term Assets</v>
      </c>
      <c r="DA17" s="1249" t="n">
        <f aca="false">'Cash Flow'!BJ39</f>
        <v>0</v>
      </c>
      <c r="DB17" s="1250" t="n">
        <f aca="false">'Cash Flow'!BK39</f>
        <v>0</v>
      </c>
      <c r="DC17" s="1250" t="n">
        <f aca="false">'Cash Flow'!BL39</f>
        <v>0</v>
      </c>
      <c r="DD17" s="1250" t="n">
        <f aca="false">'Cash Flow'!BM39</f>
        <v>0</v>
      </c>
      <c r="DE17" s="1251" t="n">
        <f aca="false">'Cash Flow'!BN39</f>
        <v>0</v>
      </c>
      <c r="DF17" s="1167"/>
      <c r="DG17" s="1139"/>
      <c r="DH17" s="1252" t="str">
        <f aca="false">CZ17</f>
        <v>Sale of Long-term Assets</v>
      </c>
      <c r="DI17" s="1245" t="n">
        <f aca="false">'Cash Flow'!B39</f>
        <v>0</v>
      </c>
      <c r="DJ17" s="1246" t="n">
        <f aca="false">'Cash Flow'!C39</f>
        <v>0</v>
      </c>
      <c r="DK17" s="1246" t="n">
        <f aca="false">'Cash Flow'!D39</f>
        <v>0</v>
      </c>
      <c r="DL17" s="1246" t="n">
        <f aca="false">'Cash Flow'!E39</f>
        <v>0</v>
      </c>
      <c r="DM17" s="1246" t="n">
        <f aca="false">'Cash Flow'!F39</f>
        <v>0</v>
      </c>
      <c r="DN17" s="1246" t="n">
        <f aca="false">'Cash Flow'!G39</f>
        <v>0</v>
      </c>
      <c r="DO17" s="1246" t="n">
        <f aca="false">'Cash Flow'!H39</f>
        <v>0</v>
      </c>
      <c r="DP17" s="1246" t="n">
        <f aca="false">'Cash Flow'!I39</f>
        <v>0</v>
      </c>
      <c r="DQ17" s="1246" t="n">
        <f aca="false">'Cash Flow'!J39</f>
        <v>0</v>
      </c>
      <c r="DR17" s="1246" t="n">
        <f aca="false">'Cash Flow'!K39</f>
        <v>0</v>
      </c>
      <c r="DS17" s="1246" t="n">
        <f aca="false">'Cash Flow'!L39</f>
        <v>0</v>
      </c>
      <c r="DT17" s="1247" t="n">
        <f aca="false">'Cash Flow'!M39</f>
        <v>0</v>
      </c>
      <c r="DU17" s="1274"/>
      <c r="DV17" s="1157"/>
      <c r="DW17" s="1200" t="s">
        <v>1925</v>
      </c>
      <c r="DX17" s="1313"/>
      <c r="DY17" s="1314"/>
      <c r="DZ17" s="1314"/>
      <c r="EA17" s="1314"/>
      <c r="EB17" s="1315"/>
      <c r="EC17" s="1167"/>
      <c r="ED17" s="1157"/>
      <c r="EE17" s="1194" t="str">
        <f aca="false">DW17</f>
        <v>Liabilities and Capital</v>
      </c>
      <c r="EF17" s="1191"/>
      <c r="EG17" s="1192"/>
      <c r="EH17" s="1192"/>
      <c r="EI17" s="1192"/>
      <c r="EJ17" s="1192"/>
      <c r="EK17" s="1192"/>
      <c r="EL17" s="1192"/>
      <c r="EM17" s="1192"/>
      <c r="EN17" s="1192"/>
      <c r="EO17" s="1192"/>
      <c r="EP17" s="1192"/>
      <c r="EQ17" s="1193"/>
      <c r="ER17" s="1167"/>
      <c r="ES17" s="1163"/>
      <c r="ET17" s="1387" t="s">
        <v>1926</v>
      </c>
      <c r="EU17" s="1388" t="n">
        <f aca="false">IF(CD25=0,"N/A",CD24/CD25)</f>
        <v>-7.34151806275717</v>
      </c>
      <c r="EV17" s="1389" t="n">
        <f aca="false">IF(CE25=0,"N/A",CE24/CE25)</f>
        <v>9.81845001149234</v>
      </c>
      <c r="EW17" s="1389" t="n">
        <f aca="false">IF(CF25=0,"N/A",CF24/CF25)</f>
        <v>43.5119244085771</v>
      </c>
      <c r="EX17" s="1389" t="n">
        <f aca="false">IF(CG25=0,"N/A",CG24/CG25)</f>
        <v>54.8664160454366</v>
      </c>
      <c r="EY17" s="1390" t="n">
        <f aca="false">IF(CH25=0,"N/A",CH24/CH25)</f>
        <v>69.4005524537724</v>
      </c>
      <c r="EZ17" s="1167"/>
      <c r="FA17" s="1165"/>
      <c r="FB17" s="1213"/>
      <c r="FC17" s="1214" t="str">
        <f aca="false">K1</f>
        <v>Year 1</v>
      </c>
      <c r="FD17" s="1214" t="str">
        <f aca="false">L1</f>
        <v>Year 2</v>
      </c>
      <c r="FE17" s="1214" t="str">
        <f aca="false">M1</f>
        <v>Year 3</v>
      </c>
      <c r="FF17" s="1214" t="str">
        <f aca="false">N1</f>
        <v>Year 4</v>
      </c>
      <c r="FG17" s="1215" t="str">
        <f aca="false">O1</f>
        <v>Year 5</v>
      </c>
      <c r="FH17" s="1167"/>
      <c r="FI17" s="1167"/>
      <c r="FJ17" s="1139"/>
      <c r="FK17" s="1258" t="str">
        <f aca="false">Existing!A14</f>
        <v>Long-term Assets</v>
      </c>
      <c r="FL17" s="1217" t="n">
        <f aca="false">Existing!B14</f>
        <v>0</v>
      </c>
      <c r="FM17" s="1217" t="n">
        <f aca="false">Existing!C14</f>
        <v>0</v>
      </c>
      <c r="FN17" s="1218" t="n">
        <f aca="false">Existing!D14</f>
        <v>0</v>
      </c>
      <c r="FO17" s="1167"/>
      <c r="FP17" s="1163"/>
      <c r="FQ17" s="1216" t="s">
        <v>1927</v>
      </c>
      <c r="FR17" s="1217" t="n">
        <f aca="false">IFERROR(AVERAGE('Cash Flow'!D110:D120),0)</f>
        <v>0</v>
      </c>
      <c r="FS17" s="1217" t="n">
        <f aca="false">IFERROR(AVERAGE('Cash Flow'!D130:D133),0)</f>
        <v>0</v>
      </c>
      <c r="FT17" s="1217" t="n">
        <f aca="false">IFERROR(AVERAGE('Cash Flow'!D134:D145),0)</f>
        <v>0</v>
      </c>
      <c r="FU17" s="1217" t="n">
        <f aca="false">IFERROR(AVERAGE('Cash Flow'!D146:D157),0)</f>
        <v>0</v>
      </c>
      <c r="FV17" s="1218" t="n">
        <f aca="false">IFERROR(AVERAGE('Cash Flow'!D158:D169),0)</f>
        <v>0</v>
      </c>
      <c r="FW17" s="1167"/>
      <c r="FX17" s="1173"/>
      <c r="FY17" s="1174"/>
      <c r="FZ17" s="1175"/>
      <c r="GA17" s="1258"/>
      <c r="GB17" s="1217"/>
      <c r="GC17" s="1217"/>
      <c r="GD17" s="1217"/>
      <c r="GE17" s="1217"/>
      <c r="GF17" s="1218"/>
      <c r="GG17" s="1189"/>
      <c r="GH17" s="1189"/>
      <c r="GI17" s="1174"/>
      <c r="GJ17" s="1355"/>
      <c r="GK17" s="1167"/>
      <c r="GL17" s="1167"/>
      <c r="GM17" s="1167"/>
      <c r="GN17" s="1167"/>
      <c r="GO17" s="1167"/>
      <c r="GP17" s="1167"/>
      <c r="GQ17" s="1167"/>
      <c r="GR17" s="1167"/>
      <c r="GS17" s="1356"/>
      <c r="GT17" s="1355"/>
      <c r="GU17" s="1167"/>
      <c r="GV17" s="1167"/>
      <c r="GW17" s="1167"/>
      <c r="GX17" s="1167"/>
      <c r="GY17" s="1167"/>
      <c r="GZ17" s="1167"/>
      <c r="HA17" s="1167"/>
      <c r="HB17" s="1167"/>
      <c r="HC17" s="1167"/>
      <c r="HD17" s="1167"/>
      <c r="HE17" s="1167"/>
      <c r="HF17" s="1167"/>
      <c r="HG17" s="1167"/>
      <c r="HH17" s="1167"/>
      <c r="HI17" s="1167"/>
      <c r="HJ17" s="1174"/>
      <c r="HK17" s="1174"/>
      <c r="HL17" s="1167"/>
      <c r="HM17" s="1167"/>
      <c r="HN17" s="1167"/>
      <c r="HO17" s="1167"/>
      <c r="HP17" s="1167"/>
      <c r="HQ17" s="1167"/>
    </row>
    <row r="18" customFormat="false" ht="12.75" hidden="false" customHeight="true" outlineLevel="0" collapsed="false">
      <c r="A18" s="1139"/>
      <c r="B18" s="1391" t="str">
        <f aca="false">'Sources &amp; Uses'!A24</f>
        <v>Total Start-up Expenses</v>
      </c>
      <c r="C18" s="1392" t="n">
        <f aca="false">'Sources &amp; Uses'!B24</f>
        <v>0</v>
      </c>
      <c r="D18" s="1167"/>
      <c r="E18" s="1139"/>
      <c r="F18" s="1391"/>
      <c r="G18" s="1392"/>
      <c r="H18" s="1167"/>
      <c r="I18" s="1139"/>
      <c r="J18" s="1226" t="str">
        <f aca="false">Personnel!A18</f>
        <v>Admin</v>
      </c>
      <c r="K18" s="1236" t="n">
        <f aca="false">Personnel!BL18</f>
        <v>499999.76</v>
      </c>
      <c r="L18" s="1217" t="n">
        <f aca="false">Personnel!BM18</f>
        <v>524999.748</v>
      </c>
      <c r="M18" s="1217" t="n">
        <f aca="false">Personnel!BN18</f>
        <v>551249.7354</v>
      </c>
      <c r="N18" s="1217" t="n">
        <f aca="false">Personnel!BO18</f>
        <v>578812.22217</v>
      </c>
      <c r="O18" s="1218" t="n">
        <f aca="false">Personnel!BP18</f>
        <v>607752.8332785</v>
      </c>
      <c r="P18" s="1189"/>
      <c r="Q18" s="1146"/>
      <c r="R18" s="1231" t="str">
        <f aca="false">Personnel!A18</f>
        <v>Admin</v>
      </c>
      <c r="S18" s="1245" t="n">
        <f aca="false">Personnel!D18</f>
        <v>41666.6466666667</v>
      </c>
      <c r="T18" s="1246" t="n">
        <f aca="false">Personnel!E18</f>
        <v>41666.6466666667</v>
      </c>
      <c r="U18" s="1246" t="n">
        <f aca="false">Personnel!F18</f>
        <v>41666.6466666667</v>
      </c>
      <c r="V18" s="1246" t="n">
        <f aca="false">Personnel!G18</f>
        <v>41666.6466666667</v>
      </c>
      <c r="W18" s="1246" t="n">
        <f aca="false">Personnel!H18</f>
        <v>41666.6466666667</v>
      </c>
      <c r="X18" s="1246" t="n">
        <f aca="false">Personnel!I18</f>
        <v>41666.6466666667</v>
      </c>
      <c r="Y18" s="1246" t="n">
        <f aca="false">Personnel!J18</f>
        <v>41666.6466666667</v>
      </c>
      <c r="Z18" s="1246" t="n">
        <f aca="false">Personnel!K18</f>
        <v>41666.6466666667</v>
      </c>
      <c r="AA18" s="1246" t="n">
        <f aca="false">Personnel!L18</f>
        <v>41666.6466666667</v>
      </c>
      <c r="AB18" s="1246" t="n">
        <f aca="false">Personnel!M18</f>
        <v>41666.6466666667</v>
      </c>
      <c r="AC18" s="1246" t="n">
        <f aca="false">Personnel!N18</f>
        <v>41666.6466666667</v>
      </c>
      <c r="AD18" s="1247" t="n">
        <f aca="false">Personnel!O18</f>
        <v>41666.6466666667</v>
      </c>
      <c r="AE18" s="1167"/>
      <c r="AF18" s="1139"/>
      <c r="AG18" s="1235" t="str">
        <f aca="false">Revenue!A147</f>
        <v>SS-14</v>
      </c>
      <c r="AH18" s="1236" t="n">
        <f aca="false">Revenue!BJ147</f>
        <v>9431.24617346941</v>
      </c>
      <c r="AI18" s="1217" t="n">
        <f aca="false">Revenue!BK147</f>
        <v>47207.9089285715</v>
      </c>
      <c r="AJ18" s="1217" t="n">
        <f aca="false">Revenue!BL147</f>
        <v>119376.321428572</v>
      </c>
      <c r="AK18" s="1217" t="n">
        <f aca="false">Revenue!BM147</f>
        <v>124802.517857143</v>
      </c>
      <c r="AL18" s="1218" t="n">
        <f aca="false">Revenue!BN147</f>
        <v>130228.714285714</v>
      </c>
      <c r="AM18" s="1189"/>
      <c r="AN18" s="1139"/>
      <c r="AO18" s="1237" t="str">
        <f aca="false">Revenue!A147</f>
        <v>SS-14</v>
      </c>
      <c r="AP18" s="1221" t="n">
        <f aca="false">Revenue!B147</f>
        <v>0</v>
      </c>
      <c r="AQ18" s="1221" t="n">
        <f aca="false">Revenue!C147</f>
        <v>0</v>
      </c>
      <c r="AR18" s="1221" t="n">
        <f aca="false">Revenue!D147</f>
        <v>22.8471428571429</v>
      </c>
      <c r="AS18" s="1221" t="n">
        <f aca="false">Revenue!E147</f>
        <v>129.195153061225</v>
      </c>
      <c r="AT18" s="1221" t="n">
        <f aca="false">Revenue!F147</f>
        <v>258.390306122449</v>
      </c>
      <c r="AU18" s="1221" t="n">
        <f aca="false">Revenue!G147</f>
        <v>516.780612244898</v>
      </c>
      <c r="AV18" s="1221" t="n">
        <f aca="false">Revenue!H147</f>
        <v>775.170918367348</v>
      </c>
      <c r="AW18" s="1221" t="n">
        <f aca="false">Revenue!I147</f>
        <v>1033.5612244898</v>
      </c>
      <c r="AX18" s="1221" t="n">
        <f aca="false">Revenue!J147</f>
        <v>1291.95153061225</v>
      </c>
      <c r="AY18" s="1221" t="n">
        <f aca="false">Revenue!K147</f>
        <v>1550.3418367347</v>
      </c>
      <c r="AZ18" s="1221" t="n">
        <f aca="false">Revenue!L147</f>
        <v>1808.73214285715</v>
      </c>
      <c r="BA18" s="1222" t="n">
        <f aca="false">Revenue!M147</f>
        <v>2067.1224489796</v>
      </c>
      <c r="BB18" s="1189"/>
      <c r="BC18" s="1189"/>
      <c r="BD18" s="1139"/>
      <c r="BE18" s="1385"/>
      <c r="BF18" s="1217"/>
      <c r="BG18" s="1217"/>
      <c r="BH18" s="1217"/>
      <c r="BI18" s="1217"/>
      <c r="BJ18" s="1218"/>
      <c r="BK18" s="1198"/>
      <c r="BL18" s="1139"/>
      <c r="BM18" s="1386"/>
      <c r="BN18" s="1245"/>
      <c r="BO18" s="1246"/>
      <c r="BP18" s="1246"/>
      <c r="BQ18" s="1246"/>
      <c r="BR18" s="1246"/>
      <c r="BS18" s="1246"/>
      <c r="BT18" s="1246"/>
      <c r="BU18" s="1246"/>
      <c r="BV18" s="1246"/>
      <c r="BW18" s="1246"/>
      <c r="BX18" s="1246"/>
      <c r="BY18" s="1247"/>
      <c r="BZ18" s="1189"/>
      <c r="CA18" s="1189"/>
      <c r="CB18" s="1139"/>
      <c r="CC18" s="1253" t="str">
        <f aca="false">'P&amp;L'!A38</f>
        <v>Depreciation</v>
      </c>
      <c r="CD18" s="1217" t="n">
        <f aca="false">'P&amp;L'!BJ38</f>
        <v>644079.825</v>
      </c>
      <c r="CE18" s="1217" t="n">
        <f aca="false">'P&amp;L'!BK38</f>
        <v>2334534.66</v>
      </c>
      <c r="CF18" s="1217" t="n">
        <f aca="false">'P&amp;L'!BL38</f>
        <v>2346185.04</v>
      </c>
      <c r="CG18" s="1217" t="n">
        <f aca="false">'P&amp;L'!BM38</f>
        <v>2346185.04</v>
      </c>
      <c r="CH18" s="1218" t="n">
        <f aca="false">'P&amp;L'!BN38</f>
        <v>2346185.04</v>
      </c>
      <c r="CI18" s="1167"/>
      <c r="CJ18" s="1139"/>
      <c r="CK18" s="1301" t="str">
        <f aca="false">'P&amp;L'!A38</f>
        <v>Depreciation</v>
      </c>
      <c r="CL18" s="1302" t="n">
        <f aca="false">'P&amp;L'!B38</f>
        <v>0</v>
      </c>
      <c r="CM18" s="1283" t="n">
        <f aca="false">'P&amp;L'!C38</f>
        <v>0</v>
      </c>
      <c r="CN18" s="1283" t="n">
        <f aca="false">'P&amp;L'!D38</f>
        <v>0</v>
      </c>
      <c r="CO18" s="1283" t="n">
        <f aca="false">'P&amp;L'!E38</f>
        <v>0</v>
      </c>
      <c r="CP18" s="1283" t="n">
        <f aca="false">'P&amp;L'!F38</f>
        <v>0</v>
      </c>
      <c r="CQ18" s="1283" t="n">
        <f aca="false">'P&amp;L'!G38</f>
        <v>0</v>
      </c>
      <c r="CR18" s="1283" t="n">
        <f aca="false">'P&amp;L'!H38</f>
        <v>42788.5</v>
      </c>
      <c r="CS18" s="1283" t="n">
        <f aca="false">'P&amp;L'!I38</f>
        <v>72468.455</v>
      </c>
      <c r="CT18" s="1283" t="n">
        <f aca="false">'P&amp;L'!J38</f>
        <v>96364.48</v>
      </c>
      <c r="CU18" s="1283" t="n">
        <f aca="false">'P&amp;L'!K38</f>
        <v>122049.945</v>
      </c>
      <c r="CV18" s="1283" t="n">
        <f aca="false">'P&amp;L'!L38</f>
        <v>142361.49</v>
      </c>
      <c r="CW18" s="1247" t="n">
        <f aca="false">'P&amp;L'!M38</f>
        <v>168046.955</v>
      </c>
      <c r="CX18" s="1167"/>
      <c r="CY18" s="1157"/>
      <c r="CZ18" s="1308" t="str">
        <f aca="false">'Cash Flow'!A40</f>
        <v>Net Cash From Investing Activities</v>
      </c>
      <c r="DA18" s="1309" t="n">
        <f aca="false">'Cash Flow'!BJ40</f>
        <v>-20165634.6</v>
      </c>
      <c r="DB18" s="1310" t="n">
        <f aca="false">'Cash Flow'!BK40</f>
        <v>-3296215.8</v>
      </c>
      <c r="DC18" s="1310" t="n">
        <f aca="false">'Cash Flow'!BL40</f>
        <v>0</v>
      </c>
      <c r="DD18" s="1310" t="n">
        <f aca="false">'Cash Flow'!BM40</f>
        <v>0</v>
      </c>
      <c r="DE18" s="1311" t="n">
        <f aca="false">'Cash Flow'!BN40</f>
        <v>0</v>
      </c>
      <c r="DF18" s="1274"/>
      <c r="DG18" s="1139"/>
      <c r="DH18" s="1312" t="str">
        <f aca="false">CZ18</f>
        <v>Net Cash From Investing Activities</v>
      </c>
      <c r="DI18" s="1296" t="n">
        <f aca="false">'Cash Flow'!B40</f>
        <v>0</v>
      </c>
      <c r="DJ18" s="1297" t="n">
        <f aca="false">'Cash Flow'!C40</f>
        <v>0</v>
      </c>
      <c r="DK18" s="1297" t="n">
        <f aca="false">'Cash Flow'!D40</f>
        <v>0</v>
      </c>
      <c r="DL18" s="1297" t="n">
        <f aca="false">'Cash Flow'!E40</f>
        <v>0</v>
      </c>
      <c r="DM18" s="1297" t="n">
        <f aca="false">'Cash Flow'!F40</f>
        <v>0</v>
      </c>
      <c r="DN18" s="1297" t="n">
        <f aca="false">'Cash Flow'!G40</f>
        <v>0</v>
      </c>
      <c r="DO18" s="1297" t="n">
        <f aca="false">'Cash Flow'!H40</f>
        <v>-5134620</v>
      </c>
      <c r="DP18" s="1297" t="n">
        <f aca="false">'Cash Flow'!I40</f>
        <v>-3561594.6</v>
      </c>
      <c r="DQ18" s="1297" t="n">
        <f aca="false">'Cash Flow'!J40</f>
        <v>-2867523</v>
      </c>
      <c r="DR18" s="1297" t="n">
        <f aca="false">'Cash Flow'!K40</f>
        <v>-3082255.8</v>
      </c>
      <c r="DS18" s="1297" t="n">
        <f aca="false">'Cash Flow'!L40</f>
        <v>-2437385.4</v>
      </c>
      <c r="DT18" s="1298" t="n">
        <f aca="false">'Cash Flow'!M40</f>
        <v>-3082255.8</v>
      </c>
      <c r="DU18" s="1274"/>
      <c r="DV18" s="1157"/>
      <c r="DW18" s="1253" t="s">
        <v>1501</v>
      </c>
      <c r="DX18" s="1261"/>
      <c r="DY18" s="1262"/>
      <c r="DZ18" s="1262"/>
      <c r="EA18" s="1262"/>
      <c r="EB18" s="1263"/>
      <c r="EC18" s="1167"/>
      <c r="ED18" s="1157"/>
      <c r="EE18" s="1235" t="str">
        <f aca="false">'Balance Sheet'!A18</f>
        <v>Current Liabilities</v>
      </c>
      <c r="EF18" s="1245"/>
      <c r="EG18" s="1246"/>
      <c r="EH18" s="1246"/>
      <c r="EI18" s="1246"/>
      <c r="EJ18" s="1246"/>
      <c r="EK18" s="1246"/>
      <c r="EL18" s="1246"/>
      <c r="EM18" s="1246"/>
      <c r="EN18" s="1246"/>
      <c r="EO18" s="1246"/>
      <c r="EP18" s="1246"/>
      <c r="EQ18" s="1247"/>
      <c r="ER18" s="1167"/>
      <c r="ES18" s="1163"/>
      <c r="ET18" s="1393" t="s">
        <v>1928</v>
      </c>
      <c r="EU18" s="1394" t="n">
        <f aca="false">(IF(CD25=0,"N/A",CD24/(CD25-'Tables 5Y'!DA26)))</f>
        <v>-3.26923566576255</v>
      </c>
      <c r="EV18" s="1395" t="n">
        <f aca="false">(IF(CE25=0,"N/A",CE24/(CE25-'Tables 5Y'!DB26)))</f>
        <v>4.17904552698694</v>
      </c>
      <c r="EW18" s="1395" t="n">
        <f aca="false">(IF(CF25=0,"N/A",CF24/(CF25-'Tables 5Y'!DC26)))</f>
        <v>16.985129130379</v>
      </c>
      <c r="EX18" s="1395" t="n">
        <f aca="false">(IF(CG25=0,"N/A",CG24/(CG25-'Tables 5Y'!DD26)))</f>
        <v>19.3543591486733</v>
      </c>
      <c r="EY18" s="1396" t="n">
        <f aca="false">(IF(CH25=0,"N/A",CH24/(CH25-'Tables 5Y'!DE26)))</f>
        <v>21.7108180049872</v>
      </c>
      <c r="EZ18" s="1167"/>
      <c r="FA18" s="1165"/>
      <c r="FB18" s="1213"/>
      <c r="FC18" s="1214"/>
      <c r="FD18" s="1214"/>
      <c r="FE18" s="1214"/>
      <c r="FF18" s="1214"/>
      <c r="FG18" s="1215"/>
      <c r="FH18" s="1167"/>
      <c r="FI18" s="1167"/>
      <c r="FJ18" s="1139"/>
      <c r="FK18" s="1258" t="str">
        <f aca="false">Existing!A15</f>
        <v>Accumulated Depreciation</v>
      </c>
      <c r="FL18" s="1217" t="n">
        <f aca="false">Existing!B15</f>
        <v>0</v>
      </c>
      <c r="FM18" s="1217" t="n">
        <f aca="false">Existing!C15</f>
        <v>0</v>
      </c>
      <c r="FN18" s="1218" t="n">
        <f aca="false">Existing!D15</f>
        <v>2</v>
      </c>
      <c r="FO18" s="1167"/>
      <c r="FP18" s="1163"/>
      <c r="FQ18" s="1216" t="s">
        <v>1929</v>
      </c>
      <c r="FR18" s="1217" t="n">
        <f aca="false">IFERROR(AVERAGE('Cash Flow'!E110:E120),0)</f>
        <v>0</v>
      </c>
      <c r="FS18" s="1217" t="n">
        <f aca="false">IFERROR(AVERAGE('Cash Flow'!E130:E133),0)</f>
        <v>0</v>
      </c>
      <c r="FT18" s="1217" t="n">
        <f aca="false">IFERROR(AVERAGE('Cash Flow'!E134:E145),0)</f>
        <v>0</v>
      </c>
      <c r="FU18" s="1217" t="n">
        <f aca="false">IFERROR(AVERAGE('Cash Flow'!E146:E157),0)</f>
        <v>0</v>
      </c>
      <c r="FV18" s="1218" t="n">
        <f aca="false">IFERROR(AVERAGE('Cash Flow'!E158:E169),0)</f>
        <v>0</v>
      </c>
      <c r="FW18" s="1167"/>
      <c r="FX18" s="1173"/>
      <c r="FY18" s="1174"/>
      <c r="FZ18" s="1175"/>
      <c r="GA18" s="1258"/>
      <c r="GB18" s="1217"/>
      <c r="GC18" s="1217"/>
      <c r="GD18" s="1217"/>
      <c r="GE18" s="1217"/>
      <c r="GF18" s="1218"/>
      <c r="GG18" s="1189"/>
      <c r="GH18" s="1189"/>
      <c r="GI18" s="1174"/>
      <c r="GJ18" s="1355"/>
      <c r="GK18" s="1167"/>
      <c r="GL18" s="1167"/>
      <c r="GM18" s="1167"/>
      <c r="GN18" s="1167"/>
      <c r="GO18" s="1167"/>
      <c r="GP18" s="1167"/>
      <c r="GQ18" s="1167"/>
      <c r="GR18" s="1167"/>
      <c r="GS18" s="1356"/>
      <c r="GT18" s="1355"/>
      <c r="GU18" s="1167"/>
      <c r="GV18" s="1167"/>
      <c r="GW18" s="1167"/>
      <c r="GX18" s="1167"/>
      <c r="GY18" s="1167"/>
      <c r="GZ18" s="1167"/>
      <c r="HA18" s="1167"/>
      <c r="HB18" s="1167"/>
      <c r="HC18" s="1167"/>
      <c r="HD18" s="1167"/>
      <c r="HE18" s="1167"/>
      <c r="HF18" s="1167"/>
      <c r="HG18" s="1167"/>
      <c r="HH18" s="1167"/>
      <c r="HI18" s="1167"/>
      <c r="HJ18" s="1174"/>
      <c r="HK18" s="1174"/>
      <c r="HL18" s="1167"/>
      <c r="HM18" s="1167"/>
      <c r="HN18" s="1167"/>
      <c r="HO18" s="1167"/>
      <c r="HP18" s="1167"/>
      <c r="HQ18" s="1167"/>
    </row>
    <row r="19" customFormat="false" ht="12.75" hidden="false" customHeight="true" outlineLevel="0" collapsed="false">
      <c r="A19" s="1139"/>
      <c r="B19" s="1183"/>
      <c r="C19" s="1184"/>
      <c r="D19" s="1167"/>
      <c r="E19" s="1139"/>
      <c r="F19" s="1183"/>
      <c r="G19" s="1184"/>
      <c r="H19" s="1167"/>
      <c r="I19" s="1139"/>
      <c r="J19" s="1226" t="str">
        <f aca="false">Personnel!A19</f>
        <v>Trades -2</v>
      </c>
      <c r="K19" s="1236" t="n">
        <f aca="false">Personnel!BL19</f>
        <v>0</v>
      </c>
      <c r="L19" s="1217" t="n">
        <f aca="false">Personnel!BM19</f>
        <v>8044400</v>
      </c>
      <c r="M19" s="1217" t="n">
        <f aca="false">Personnel!BN19</f>
        <v>11924640</v>
      </c>
      <c r="N19" s="1217" t="n">
        <f aca="false">Personnel!BO19</f>
        <v>12520872</v>
      </c>
      <c r="O19" s="1218" t="n">
        <f aca="false">Personnel!BP19</f>
        <v>13146915.6</v>
      </c>
      <c r="P19" s="1189"/>
      <c r="Q19" s="1146"/>
      <c r="R19" s="1231" t="str">
        <f aca="false">Personnel!A19</f>
        <v>Trades -2</v>
      </c>
      <c r="S19" s="1245" t="n">
        <f aca="false">Personnel!D19</f>
        <v>0</v>
      </c>
      <c r="T19" s="1246" t="n">
        <f aca="false">Personnel!E19</f>
        <v>0</v>
      </c>
      <c r="U19" s="1246" t="n">
        <f aca="false">Personnel!F19</f>
        <v>0</v>
      </c>
      <c r="V19" s="1246" t="n">
        <f aca="false">Personnel!G19</f>
        <v>0</v>
      </c>
      <c r="W19" s="1246" t="n">
        <f aca="false">Personnel!H19</f>
        <v>0</v>
      </c>
      <c r="X19" s="1246" t="n">
        <f aca="false">Personnel!I19</f>
        <v>0</v>
      </c>
      <c r="Y19" s="1246" t="n">
        <f aca="false">Personnel!J19</f>
        <v>0</v>
      </c>
      <c r="Z19" s="1246" t="n">
        <f aca="false">Personnel!K19</f>
        <v>0</v>
      </c>
      <c r="AA19" s="1246" t="n">
        <f aca="false">Personnel!L19</f>
        <v>0</v>
      </c>
      <c r="AB19" s="1246" t="n">
        <f aca="false">Personnel!M19</f>
        <v>0</v>
      </c>
      <c r="AC19" s="1246" t="n">
        <f aca="false">Personnel!N19</f>
        <v>0</v>
      </c>
      <c r="AD19" s="1247" t="n">
        <f aca="false">Personnel!O19</f>
        <v>0</v>
      </c>
      <c r="AE19" s="1167"/>
      <c r="AF19" s="1139"/>
      <c r="AG19" s="1235" t="str">
        <f aca="false">Revenue!A148</f>
        <v>SS-16</v>
      </c>
      <c r="AH19" s="1236" t="n">
        <f aca="false">Revenue!BJ148</f>
        <v>7330.33296</v>
      </c>
      <c r="AI19" s="1217" t="n">
        <f aca="false">Revenue!BK148</f>
        <v>36691.831008</v>
      </c>
      <c r="AJ19" s="1217" t="n">
        <f aca="false">Revenue!BL148</f>
        <v>92783.9404800001</v>
      </c>
      <c r="AK19" s="1217" t="n">
        <f aca="false">Revenue!BM148</f>
        <v>97001.3923200001</v>
      </c>
      <c r="AL19" s="1218" t="n">
        <f aca="false">Revenue!BN148</f>
        <v>101218.84416</v>
      </c>
      <c r="AM19" s="1189"/>
      <c r="AN19" s="1139"/>
      <c r="AO19" s="1237" t="str">
        <f aca="false">Revenue!A148</f>
        <v>SS-16</v>
      </c>
      <c r="AP19" s="1221" t="n">
        <f aca="false">Revenue!B148</f>
        <v>0</v>
      </c>
      <c r="AQ19" s="1221" t="n">
        <f aca="false">Revenue!C148</f>
        <v>0</v>
      </c>
      <c r="AR19" s="1221" t="n">
        <f aca="false">Revenue!D148</f>
        <v>23.6736</v>
      </c>
      <c r="AS19" s="1221" t="n">
        <f aca="false">Revenue!E148</f>
        <v>100.41552</v>
      </c>
      <c r="AT19" s="1221" t="n">
        <f aca="false">Revenue!F148</f>
        <v>200.83104</v>
      </c>
      <c r="AU19" s="1221" t="n">
        <f aca="false">Revenue!G148</f>
        <v>401.662080000001</v>
      </c>
      <c r="AV19" s="1221" t="n">
        <f aca="false">Revenue!H148</f>
        <v>602.49312</v>
      </c>
      <c r="AW19" s="1221" t="n">
        <f aca="false">Revenue!I148</f>
        <v>803.324159999999</v>
      </c>
      <c r="AX19" s="1221" t="n">
        <f aca="false">Revenue!J148</f>
        <v>1004.1552</v>
      </c>
      <c r="AY19" s="1221" t="n">
        <f aca="false">Revenue!K148</f>
        <v>1204.98624</v>
      </c>
      <c r="AZ19" s="1221" t="n">
        <f aca="false">Revenue!L148</f>
        <v>1405.81728</v>
      </c>
      <c r="BA19" s="1222" t="n">
        <f aca="false">Revenue!M148</f>
        <v>1606.64832</v>
      </c>
      <c r="BB19" s="1189"/>
      <c r="BC19" s="1189"/>
      <c r="BD19" s="1139"/>
      <c r="BE19" s="1385"/>
      <c r="BF19" s="1217"/>
      <c r="BG19" s="1217"/>
      <c r="BH19" s="1217"/>
      <c r="BI19" s="1217"/>
      <c r="BJ19" s="1218"/>
      <c r="BK19" s="1198"/>
      <c r="BL19" s="1139"/>
      <c r="BM19" s="1386"/>
      <c r="BN19" s="1245"/>
      <c r="BO19" s="1246"/>
      <c r="BP19" s="1246"/>
      <c r="BQ19" s="1246"/>
      <c r="BR19" s="1246"/>
      <c r="BS19" s="1246"/>
      <c r="BT19" s="1246"/>
      <c r="BU19" s="1246"/>
      <c r="BV19" s="1246"/>
      <c r="BW19" s="1246"/>
      <c r="BX19" s="1246"/>
      <c r="BY19" s="1247"/>
      <c r="BZ19" s="1189"/>
      <c r="CA19" s="1189"/>
      <c r="CB19" s="1139"/>
      <c r="CC19" s="1253" t="str">
        <f aca="false">'P&amp;L'!A39</f>
        <v>Payroll Taxes &amp; Benefits</v>
      </c>
      <c r="CD19" s="1217" t="n">
        <f aca="false">'P&amp;L'!BJ39</f>
        <v>1194247.9016</v>
      </c>
      <c r="CE19" s="1217" t="n">
        <f aca="false">'P&amp;L'!BK39</f>
        <v>7131375.79336</v>
      </c>
      <c r="CF19" s="1217" t="n">
        <f aca="false">'P&amp;L'!BL39</f>
        <v>10080157.174542</v>
      </c>
      <c r="CG19" s="1217" t="n">
        <f aca="false">'P&amp;L'!BM39</f>
        <v>10584165.0332691</v>
      </c>
      <c r="CH19" s="1218" t="n">
        <f aca="false">'P&amp;L'!BN39</f>
        <v>11113373.2849326</v>
      </c>
      <c r="CI19" s="1167"/>
      <c r="CJ19" s="1139"/>
      <c r="CK19" s="1301" t="str">
        <f aca="false">'P&amp;L'!A39</f>
        <v>Payroll Taxes &amp; Benefits</v>
      </c>
      <c r="CL19" s="1302" t="n">
        <f aca="false">'P&amp;L'!B39</f>
        <v>34139.3251333333</v>
      </c>
      <c r="CM19" s="1283" t="n">
        <f aca="false">'P&amp;L'!C39</f>
        <v>51195.3251333333</v>
      </c>
      <c r="CN19" s="1283" t="n">
        <f aca="false">'P&amp;L'!D39</f>
        <v>59723.3251333333</v>
      </c>
      <c r="CO19" s="1283" t="n">
        <f aca="false">'P&amp;L'!E39</f>
        <v>59723.3251333333</v>
      </c>
      <c r="CP19" s="1283" t="n">
        <f aca="false">'P&amp;L'!F39</f>
        <v>59723.3251333333</v>
      </c>
      <c r="CQ19" s="1283" t="n">
        <f aca="false">'P&amp;L'!G39</f>
        <v>81043.3251333333</v>
      </c>
      <c r="CR19" s="1283" t="n">
        <f aca="false">'P&amp;L'!H39</f>
        <v>123683.325133333</v>
      </c>
      <c r="CS19" s="1283" t="n">
        <f aca="false">'P&amp;L'!I39</f>
        <v>145003.325133333</v>
      </c>
      <c r="CT19" s="1283" t="n">
        <f aca="false">'P&amp;L'!J39</f>
        <v>145003.325133333</v>
      </c>
      <c r="CU19" s="1283" t="n">
        <f aca="false">'P&amp;L'!K39</f>
        <v>145003.325133333</v>
      </c>
      <c r="CV19" s="1283" t="n">
        <f aca="false">'P&amp;L'!L39</f>
        <v>145003.325133333</v>
      </c>
      <c r="CW19" s="1247" t="n">
        <f aca="false">'P&amp;L'!M39</f>
        <v>145003.325133333</v>
      </c>
      <c r="CX19" s="1167"/>
      <c r="CY19" s="1157"/>
      <c r="CZ19" s="1320"/>
      <c r="DA19" s="1321"/>
      <c r="DB19" s="1262"/>
      <c r="DC19" s="1262"/>
      <c r="DD19" s="1262"/>
      <c r="DE19" s="1263"/>
      <c r="DF19" s="1274"/>
      <c r="DG19" s="1139"/>
      <c r="DH19" s="1322"/>
      <c r="DI19" s="1283"/>
      <c r="DJ19" s="1283"/>
      <c r="DK19" s="1283"/>
      <c r="DL19" s="1283"/>
      <c r="DM19" s="1283"/>
      <c r="DN19" s="1283"/>
      <c r="DO19" s="1283"/>
      <c r="DP19" s="1283"/>
      <c r="DQ19" s="1283"/>
      <c r="DR19" s="1283"/>
      <c r="DS19" s="1283"/>
      <c r="DT19" s="1284"/>
      <c r="DU19" s="1167"/>
      <c r="DV19" s="1157"/>
      <c r="DW19" s="1397" t="str">
        <f aca="false">'Balance Sheet'!A19</f>
        <v>Accounts Payable</v>
      </c>
      <c r="DX19" s="1261" t="n">
        <f aca="false">'Balance Sheet'!BJ19</f>
        <v>2125220.08438693</v>
      </c>
      <c r="DY19" s="1262" t="n">
        <f aca="false">'Balance Sheet'!BK19</f>
        <v>5837775.45875626</v>
      </c>
      <c r="DZ19" s="1262" t="n">
        <f aca="false">'Balance Sheet'!BL19</f>
        <v>10081186.7597701</v>
      </c>
      <c r="EA19" s="1262" t="n">
        <f aca="false">'Balance Sheet'!BM19</f>
        <v>10700178.9116777</v>
      </c>
      <c r="EB19" s="1263" t="n">
        <f aca="false">'Balance Sheet'!BN19</f>
        <v>11321439.4608204</v>
      </c>
      <c r="EC19" s="1167"/>
      <c r="ED19" s="1157"/>
      <c r="EE19" s="1398" t="str">
        <f aca="false">'Balance Sheet'!A19</f>
        <v>Accounts Payable</v>
      </c>
      <c r="EF19" s="1245" t="n">
        <f aca="false">'Balance Sheet'!B19</f>
        <v>390383.972186301</v>
      </c>
      <c r="EG19" s="1246" t="n">
        <f aca="false">'Balance Sheet'!C19</f>
        <v>407206.328350685</v>
      </c>
      <c r="EH19" s="1246" t="n">
        <f aca="false">'Balance Sheet'!D19</f>
        <v>416394.413883053</v>
      </c>
      <c r="EI19" s="1246" t="n">
        <f aca="false">'Balance Sheet'!E19</f>
        <v>511103.479785396</v>
      </c>
      <c r="EJ19" s="1246" t="n">
        <f aca="false">'Balance Sheet'!F19</f>
        <v>606589.453137915</v>
      </c>
      <c r="EK19" s="1246" t="n">
        <f aca="false">'Balance Sheet'!G19</f>
        <v>818589.345048432</v>
      </c>
      <c r="EL19" s="1246" t="n">
        <f aca="false">'Balance Sheet'!H19</f>
        <v>1076938.59586306</v>
      </c>
      <c r="EM19" s="1246" t="n">
        <f aca="false">'Balance Sheet'!I19</f>
        <v>1306348.00340058</v>
      </c>
      <c r="EN19" s="1246" t="n">
        <f aca="false">'Balance Sheet'!J19</f>
        <v>1511198.69773916</v>
      </c>
      <c r="EO19" s="1246" t="n">
        <f aca="false">'Balance Sheet'!K19</f>
        <v>1717020.74567425</v>
      </c>
      <c r="EP19" s="1246" t="n">
        <f aca="false">'Balance Sheet'!L19</f>
        <v>1919568.10831964</v>
      </c>
      <c r="EQ19" s="1247" t="n">
        <f aca="false">'Balance Sheet'!M19</f>
        <v>2125220.08438693</v>
      </c>
      <c r="ER19" s="1167"/>
      <c r="ES19" s="1163"/>
      <c r="ET19" s="1355"/>
      <c r="EU19" s="1189"/>
      <c r="EV19" s="1189"/>
      <c r="EW19" s="1189"/>
      <c r="EX19" s="1189"/>
      <c r="EY19" s="1281"/>
      <c r="EZ19" s="1167"/>
      <c r="FA19" s="1165"/>
      <c r="FB19" s="1216" t="s">
        <v>228</v>
      </c>
      <c r="FC19" s="1217" t="n">
        <f aca="false">'Sensitivity Analysis'!BK33</f>
        <v>8327707.19592441</v>
      </c>
      <c r="FD19" s="1217" t="n">
        <f aca="false">'Sensitivity Analysis'!BL33</f>
        <v>53952667.2725622</v>
      </c>
      <c r="FE19" s="1217" t="n">
        <f aca="false">'Sensitivity Analysis'!BM33</f>
        <v>142069719.4638</v>
      </c>
      <c r="FF19" s="1217" t="n">
        <f aca="false">'Sensitivity Analysis'!BN33</f>
        <v>153908862.75245</v>
      </c>
      <c r="FG19" s="1218" t="n">
        <f aca="false">'Sensitivity Analysis'!BO33</f>
        <v>165748006.0411</v>
      </c>
      <c r="FH19" s="1167"/>
      <c r="FI19" s="1167"/>
      <c r="FJ19" s="1139"/>
      <c r="FK19" s="1216" t="s">
        <v>1930</v>
      </c>
      <c r="FL19" s="1217" t="n">
        <f aca="false">FL17-FL18</f>
        <v>0</v>
      </c>
      <c r="FM19" s="1217" t="n">
        <f aca="false">FM17-FM18</f>
        <v>0</v>
      </c>
      <c r="FN19" s="1218" t="n">
        <f aca="false">FN17-FN18</f>
        <v>-2</v>
      </c>
      <c r="FO19" s="1167"/>
      <c r="FP19" s="1163"/>
      <c r="FQ19" s="1337" t="s">
        <v>1931</v>
      </c>
      <c r="FR19" s="1277" t="n">
        <f aca="false">FR17-FR18</f>
        <v>0</v>
      </c>
      <c r="FS19" s="1277" t="n">
        <f aca="false">FS17-FS18</f>
        <v>0</v>
      </c>
      <c r="FT19" s="1277" t="n">
        <f aca="false">FT17-FT18</f>
        <v>0</v>
      </c>
      <c r="FU19" s="1277" t="n">
        <f aca="false">FU17-FU18</f>
        <v>0</v>
      </c>
      <c r="FV19" s="1278" t="n">
        <f aca="false">FV17-FV18</f>
        <v>0</v>
      </c>
      <c r="FW19" s="1167"/>
      <c r="FX19" s="1173"/>
      <c r="FY19" s="1174"/>
      <c r="FZ19" s="1175"/>
      <c r="GA19" s="1258"/>
      <c r="GB19" s="1217"/>
      <c r="GC19" s="1217"/>
      <c r="GD19" s="1217"/>
      <c r="GE19" s="1217"/>
      <c r="GF19" s="1218"/>
      <c r="GG19" s="1189"/>
      <c r="GH19" s="1189"/>
      <c r="GI19" s="1174"/>
      <c r="GJ19" s="1355"/>
      <c r="GK19" s="1167"/>
      <c r="GL19" s="1167"/>
      <c r="GM19" s="1167"/>
      <c r="GN19" s="1167"/>
      <c r="GO19" s="1167"/>
      <c r="GP19" s="1167"/>
      <c r="GQ19" s="1167"/>
      <c r="GR19" s="1167"/>
      <c r="GS19" s="1356"/>
      <c r="GT19" s="1355"/>
      <c r="GU19" s="1167"/>
      <c r="GV19" s="1167"/>
      <c r="GW19" s="1167"/>
      <c r="GX19" s="1167"/>
      <c r="GY19" s="1167"/>
      <c r="GZ19" s="1167"/>
      <c r="HA19" s="1167"/>
      <c r="HB19" s="1167"/>
      <c r="HC19" s="1167"/>
      <c r="HD19" s="1167"/>
      <c r="HE19" s="1167"/>
      <c r="HF19" s="1167"/>
      <c r="HG19" s="1167"/>
      <c r="HH19" s="1167"/>
      <c r="HI19" s="1167"/>
      <c r="HJ19" s="1174"/>
      <c r="HK19" s="1174"/>
      <c r="HL19" s="1167"/>
      <c r="HM19" s="1167"/>
      <c r="HN19" s="1167"/>
      <c r="HO19" s="1167"/>
      <c r="HP19" s="1167"/>
      <c r="HQ19" s="1167"/>
    </row>
    <row r="20" customFormat="false" ht="12.75" hidden="false" customHeight="true" outlineLevel="0" collapsed="false">
      <c r="A20" s="1139"/>
      <c r="B20" s="1289" t="str">
        <f aca="false">'Sources &amp; Uses'!A26</f>
        <v>Start-up Assets</v>
      </c>
      <c r="C20" s="1184"/>
      <c r="D20" s="1167"/>
      <c r="E20" s="1139"/>
      <c r="F20" s="1289"/>
      <c r="G20" s="1184"/>
      <c r="H20" s="1167"/>
      <c r="I20" s="1139"/>
      <c r="J20" s="1226" t="str">
        <f aca="false">Personnel!A20</f>
        <v>Admin-2</v>
      </c>
      <c r="K20" s="1236" t="n">
        <f aca="false">Personnel!BL20</f>
        <v>0</v>
      </c>
      <c r="L20" s="1217" t="n">
        <f aca="false">Personnel!BM20</f>
        <v>0</v>
      </c>
      <c r="M20" s="1217" t="n">
        <f aca="false">Personnel!BN20</f>
        <v>0</v>
      </c>
      <c r="N20" s="1217" t="n">
        <f aca="false">Personnel!BO20</f>
        <v>0</v>
      </c>
      <c r="O20" s="1218" t="n">
        <f aca="false">Personnel!BP20</f>
        <v>0</v>
      </c>
      <c r="P20" s="1189"/>
      <c r="Q20" s="1146"/>
      <c r="R20" s="1231" t="str">
        <f aca="false">Personnel!A20</f>
        <v>Admin-2</v>
      </c>
      <c r="S20" s="1245" t="n">
        <f aca="false">Personnel!D20</f>
        <v>0</v>
      </c>
      <c r="T20" s="1246" t="n">
        <f aca="false">Personnel!E20</f>
        <v>0</v>
      </c>
      <c r="U20" s="1246" t="n">
        <f aca="false">Personnel!F20</f>
        <v>0</v>
      </c>
      <c r="V20" s="1246" t="n">
        <f aca="false">Personnel!G20</f>
        <v>0</v>
      </c>
      <c r="W20" s="1246" t="n">
        <f aca="false">Personnel!H20</f>
        <v>0</v>
      </c>
      <c r="X20" s="1246" t="n">
        <f aca="false">Personnel!I20</f>
        <v>0</v>
      </c>
      <c r="Y20" s="1246" t="n">
        <f aca="false">Personnel!J20</f>
        <v>0</v>
      </c>
      <c r="Z20" s="1246" t="n">
        <f aca="false">Personnel!K20</f>
        <v>0</v>
      </c>
      <c r="AA20" s="1246" t="n">
        <f aca="false">Personnel!L20</f>
        <v>0</v>
      </c>
      <c r="AB20" s="1246" t="n">
        <f aca="false">Personnel!M20</f>
        <v>0</v>
      </c>
      <c r="AC20" s="1246" t="n">
        <f aca="false">Personnel!N20</f>
        <v>0</v>
      </c>
      <c r="AD20" s="1247" t="n">
        <f aca="false">Personnel!O20</f>
        <v>0</v>
      </c>
      <c r="AE20" s="1167"/>
      <c r="AF20" s="1139"/>
      <c r="AG20" s="1235" t="str">
        <f aca="false">Revenue!A149</f>
        <v>SS-18</v>
      </c>
      <c r="AH20" s="1236" t="n">
        <f aca="false">Revenue!BJ149</f>
        <v>2511.41691428571</v>
      </c>
      <c r="AI20" s="1217" t="n">
        <f aca="false">Revenue!BK149</f>
        <v>12570.84576</v>
      </c>
      <c r="AJ20" s="1217" t="n">
        <f aca="false">Revenue!BL149</f>
        <v>31788.3456</v>
      </c>
      <c r="AK20" s="1217" t="n">
        <f aca="false">Revenue!BM149</f>
        <v>33233.2704</v>
      </c>
      <c r="AL20" s="1218" t="n">
        <f aca="false">Revenue!BN149</f>
        <v>34678.1952</v>
      </c>
      <c r="AM20" s="1189"/>
      <c r="AN20" s="1139"/>
      <c r="AO20" s="1237" t="str">
        <f aca="false">Revenue!A149</f>
        <v>SS-18</v>
      </c>
      <c r="AP20" s="1221" t="n">
        <f aca="false">Revenue!B149</f>
        <v>0</v>
      </c>
      <c r="AQ20" s="1221" t="n">
        <f aca="false">Revenue!C149</f>
        <v>0</v>
      </c>
      <c r="AR20" s="1221" t="n">
        <f aca="false">Revenue!D149</f>
        <v>24.3253333333333</v>
      </c>
      <c r="AS20" s="1221" t="n">
        <f aca="false">Revenue!E149</f>
        <v>34.4029714285713</v>
      </c>
      <c r="AT20" s="1221" t="n">
        <f aca="false">Revenue!F149</f>
        <v>68.8059428571428</v>
      </c>
      <c r="AU20" s="1221" t="n">
        <f aca="false">Revenue!G149</f>
        <v>137.611885714286</v>
      </c>
      <c r="AV20" s="1221" t="n">
        <f aca="false">Revenue!H149</f>
        <v>206.417828571428</v>
      </c>
      <c r="AW20" s="1221" t="n">
        <f aca="false">Revenue!I149</f>
        <v>275.223771428571</v>
      </c>
      <c r="AX20" s="1221" t="n">
        <f aca="false">Revenue!J149</f>
        <v>344.029714285713</v>
      </c>
      <c r="AY20" s="1221" t="n">
        <f aca="false">Revenue!K149</f>
        <v>412.835657142857</v>
      </c>
      <c r="AZ20" s="1221" t="n">
        <f aca="false">Revenue!L149</f>
        <v>481.641599999999</v>
      </c>
      <c r="BA20" s="1222" t="n">
        <f aca="false">Revenue!M149</f>
        <v>550.447542857142</v>
      </c>
      <c r="BB20" s="1189"/>
      <c r="BC20" s="1189"/>
      <c r="BD20" s="1139"/>
      <c r="BE20" s="1385"/>
      <c r="BF20" s="1217"/>
      <c r="BG20" s="1217"/>
      <c r="BH20" s="1217"/>
      <c r="BI20" s="1217"/>
      <c r="BJ20" s="1218"/>
      <c r="BK20" s="1198"/>
      <c r="BL20" s="1139"/>
      <c r="BM20" s="1386"/>
      <c r="BN20" s="1245"/>
      <c r="BO20" s="1246"/>
      <c r="BP20" s="1246"/>
      <c r="BQ20" s="1246"/>
      <c r="BR20" s="1246"/>
      <c r="BS20" s="1246"/>
      <c r="BT20" s="1246"/>
      <c r="BU20" s="1246"/>
      <c r="BV20" s="1246"/>
      <c r="BW20" s="1246"/>
      <c r="BX20" s="1246"/>
      <c r="BY20" s="1247"/>
      <c r="BZ20" s="1189"/>
      <c r="CA20" s="1189"/>
      <c r="CB20" s="1139"/>
      <c r="CC20" s="1291" t="str">
        <f aca="false">'P&amp;L'!A40</f>
        <v>Total Personnel</v>
      </c>
      <c r="CD20" s="1277" t="n">
        <f aca="false">'P&amp;L'!BJ40</f>
        <v>499999.76</v>
      </c>
      <c r="CE20" s="1277" t="n">
        <f aca="false">'P&amp;L'!BK40</f>
        <v>1049999.496</v>
      </c>
      <c r="CF20" s="1277" t="n">
        <f aca="false">'P&amp;L'!BL40</f>
        <v>1653749.2062</v>
      </c>
      <c r="CG20" s="1277" t="n">
        <f aca="false">'P&amp;L'!BM40</f>
        <v>1736436.66651</v>
      </c>
      <c r="CH20" s="1278" t="n">
        <f aca="false">'P&amp;L'!BN40</f>
        <v>1823258.4998355</v>
      </c>
      <c r="CI20" s="1167"/>
      <c r="CJ20" s="1139"/>
      <c r="CK20" s="1399" t="str">
        <f aca="false">'P&amp;L'!A40</f>
        <v>Total Personnel</v>
      </c>
      <c r="CL20" s="1302" t="n">
        <f aca="false">'P&amp;L'!B40</f>
        <v>41666.6466666667</v>
      </c>
      <c r="CM20" s="1283" t="n">
        <f aca="false">'P&amp;L'!C40</f>
        <v>41666.6466666667</v>
      </c>
      <c r="CN20" s="1283" t="n">
        <f aca="false">'P&amp;L'!D40</f>
        <v>41666.6466666667</v>
      </c>
      <c r="CO20" s="1283" t="n">
        <f aca="false">'P&amp;L'!E40</f>
        <v>41666.6466666667</v>
      </c>
      <c r="CP20" s="1283" t="n">
        <f aca="false">'P&amp;L'!F40</f>
        <v>41666.6466666667</v>
      </c>
      <c r="CQ20" s="1283" t="n">
        <f aca="false">'P&amp;L'!G40</f>
        <v>41666.6466666667</v>
      </c>
      <c r="CR20" s="1283" t="n">
        <f aca="false">'P&amp;L'!H40</f>
        <v>41666.6466666667</v>
      </c>
      <c r="CS20" s="1283" t="n">
        <f aca="false">'P&amp;L'!I40</f>
        <v>41666.6466666667</v>
      </c>
      <c r="CT20" s="1283" t="n">
        <f aca="false">'P&amp;L'!J40</f>
        <v>41666.6466666667</v>
      </c>
      <c r="CU20" s="1283" t="n">
        <f aca="false">'P&amp;L'!K40</f>
        <v>41666.6466666667</v>
      </c>
      <c r="CV20" s="1283" t="n">
        <f aca="false">'P&amp;L'!L40</f>
        <v>41666.6466666667</v>
      </c>
      <c r="CW20" s="1247" t="n">
        <f aca="false">'P&amp;L'!M40</f>
        <v>41666.6466666667</v>
      </c>
      <c r="CX20" s="1167"/>
      <c r="CY20" s="1157"/>
      <c r="CZ20" s="1203" t="str">
        <f aca="false">'Cash Flow'!A42</f>
        <v>FINANCING</v>
      </c>
      <c r="DA20" s="1204"/>
      <c r="DB20" s="1205"/>
      <c r="DC20" s="1205"/>
      <c r="DD20" s="1205"/>
      <c r="DE20" s="1206"/>
      <c r="DF20" s="1274"/>
      <c r="DG20" s="1139"/>
      <c r="DH20" s="1203" t="str">
        <f aca="false">CZ20</f>
        <v>FINANCING</v>
      </c>
      <c r="DI20" s="1191"/>
      <c r="DJ20" s="1192"/>
      <c r="DK20" s="1192"/>
      <c r="DL20" s="1192"/>
      <c r="DM20" s="1192"/>
      <c r="DN20" s="1192"/>
      <c r="DO20" s="1192"/>
      <c r="DP20" s="1192"/>
      <c r="DQ20" s="1192"/>
      <c r="DR20" s="1192"/>
      <c r="DS20" s="1192"/>
      <c r="DT20" s="1193"/>
      <c r="DU20" s="1274"/>
      <c r="DV20" s="1157"/>
      <c r="DW20" s="1397" t="str">
        <f aca="false">'Balance Sheet'!A20</f>
        <v>Current Borrowing</v>
      </c>
      <c r="DX20" s="1261" t="n">
        <f aca="false">'Balance Sheet'!BJ20</f>
        <v>0</v>
      </c>
      <c r="DY20" s="1262" t="n">
        <f aca="false">'Balance Sheet'!BK20</f>
        <v>0</v>
      </c>
      <c r="DZ20" s="1262" t="n">
        <f aca="false">'Balance Sheet'!BL20</f>
        <v>0</v>
      </c>
      <c r="EA20" s="1262" t="n">
        <f aca="false">'Balance Sheet'!BM20</f>
        <v>0</v>
      </c>
      <c r="EB20" s="1263" t="n">
        <f aca="false">'Balance Sheet'!BN20</f>
        <v>0</v>
      </c>
      <c r="EC20" s="1167"/>
      <c r="ED20" s="1157"/>
      <c r="EE20" s="1398" t="str">
        <f aca="false">'Balance Sheet'!A20</f>
        <v>Current Borrowing</v>
      </c>
      <c r="EF20" s="1245" t="n">
        <f aca="false">'Balance Sheet'!B20</f>
        <v>0</v>
      </c>
      <c r="EG20" s="1246" t="n">
        <f aca="false">'Balance Sheet'!C20</f>
        <v>0</v>
      </c>
      <c r="EH20" s="1246" t="n">
        <f aca="false">'Balance Sheet'!D20</f>
        <v>0</v>
      </c>
      <c r="EI20" s="1246" t="n">
        <f aca="false">'Balance Sheet'!E20</f>
        <v>0</v>
      </c>
      <c r="EJ20" s="1246" t="n">
        <f aca="false">'Balance Sheet'!F20</f>
        <v>0</v>
      </c>
      <c r="EK20" s="1246" t="n">
        <f aca="false">'Balance Sheet'!G20</f>
        <v>0</v>
      </c>
      <c r="EL20" s="1246" t="n">
        <f aca="false">'Balance Sheet'!H20</f>
        <v>0</v>
      </c>
      <c r="EM20" s="1246" t="n">
        <f aca="false">'Balance Sheet'!I20</f>
        <v>0</v>
      </c>
      <c r="EN20" s="1246" t="n">
        <f aca="false">'Balance Sheet'!J20</f>
        <v>0</v>
      </c>
      <c r="EO20" s="1246" t="n">
        <f aca="false">'Balance Sheet'!K20</f>
        <v>0</v>
      </c>
      <c r="EP20" s="1246" t="n">
        <f aca="false">'Balance Sheet'!L20</f>
        <v>0</v>
      </c>
      <c r="EQ20" s="1247" t="n">
        <f aca="false">'Balance Sheet'!M20</f>
        <v>0</v>
      </c>
      <c r="ER20" s="1167"/>
      <c r="ES20" s="1163"/>
      <c r="ET20" s="1400" t="str">
        <f aca="false">'Cash Flow'!A2</f>
        <v>Days on Hand</v>
      </c>
      <c r="EU20" s="1401"/>
      <c r="EV20" s="1402"/>
      <c r="EW20" s="1402"/>
      <c r="EX20" s="1402"/>
      <c r="EY20" s="1403"/>
      <c r="EZ20" s="1167"/>
      <c r="FA20" s="1165"/>
      <c r="FB20" s="1216" t="s">
        <v>1908</v>
      </c>
      <c r="FC20" s="1217" t="n">
        <f aca="false">'Sensitivity Analysis'!BK34</f>
        <v>5175093.8124009</v>
      </c>
      <c r="FD20" s="1217" t="n">
        <f aca="false">'Sensitivity Analysis'!BL34</f>
        <v>27128104.781301</v>
      </c>
      <c r="FE20" s="1217" t="n">
        <f aca="false">'Sensitivity Analysis'!BM34</f>
        <v>69163573.9221254</v>
      </c>
      <c r="FF20" s="1217" t="n">
        <f aca="false">'Sensitivity Analysis'!BN34</f>
        <v>72845515.6135243</v>
      </c>
      <c r="FG20" s="1218" t="n">
        <f aca="false">'Sensitivity Analysis'!BO34</f>
        <v>76527457.3049232</v>
      </c>
      <c r="FH20" s="1167"/>
      <c r="FI20" s="1167"/>
      <c r="FJ20" s="1139"/>
      <c r="FK20" s="1216"/>
      <c r="FL20" s="1217"/>
      <c r="FM20" s="1217"/>
      <c r="FN20" s="1218"/>
      <c r="FO20" s="1167"/>
      <c r="FP20" s="1356"/>
      <c r="FQ20" s="1355"/>
      <c r="FR20" s="1167"/>
      <c r="FS20" s="1167"/>
      <c r="FT20" s="1167"/>
      <c r="FU20" s="1167"/>
      <c r="FV20" s="1167"/>
      <c r="FW20" s="1167"/>
      <c r="FX20" s="1173"/>
      <c r="FY20" s="1174"/>
      <c r="FZ20" s="1175"/>
      <c r="GA20" s="1258"/>
      <c r="GB20" s="1217"/>
      <c r="GC20" s="1217"/>
      <c r="GD20" s="1217"/>
      <c r="GE20" s="1217"/>
      <c r="GF20" s="1218"/>
      <c r="GG20" s="1189"/>
      <c r="GH20" s="1189"/>
      <c r="GI20" s="1174"/>
      <c r="GJ20" s="1355"/>
      <c r="GK20" s="1167"/>
      <c r="GL20" s="1167"/>
      <c r="GM20" s="1167"/>
      <c r="GN20" s="1167"/>
      <c r="GO20" s="1167"/>
      <c r="GP20" s="1167"/>
      <c r="GQ20" s="1167"/>
      <c r="GR20" s="1167"/>
      <c r="GS20" s="1356"/>
      <c r="GT20" s="1355"/>
      <c r="GU20" s="1167"/>
      <c r="GV20" s="1167"/>
      <c r="GW20" s="1167"/>
      <c r="GX20" s="1167"/>
      <c r="GY20" s="1167"/>
      <c r="GZ20" s="1167"/>
      <c r="HA20" s="1167"/>
      <c r="HB20" s="1167"/>
      <c r="HC20" s="1167"/>
      <c r="HD20" s="1167"/>
      <c r="HE20" s="1167"/>
      <c r="HF20" s="1167"/>
      <c r="HG20" s="1167"/>
      <c r="HH20" s="1167"/>
      <c r="HI20" s="1167"/>
      <c r="HJ20" s="1174"/>
      <c r="HK20" s="1174"/>
      <c r="HL20" s="1167"/>
      <c r="HM20" s="1167"/>
      <c r="HN20" s="1167"/>
      <c r="HO20" s="1167"/>
      <c r="HP20" s="1167"/>
      <c r="HQ20" s="1167"/>
    </row>
    <row r="21" customFormat="false" ht="12.75" hidden="false" customHeight="true" outlineLevel="0" collapsed="false">
      <c r="A21" s="1139"/>
      <c r="B21" s="1300" t="str">
        <f aca="false">'Sources &amp; Uses'!A27</f>
        <v>Working Capital</v>
      </c>
      <c r="C21" s="1184" t="n">
        <f aca="false">'Sources &amp; Uses'!B27</f>
        <v>10000000</v>
      </c>
      <c r="D21" s="1167"/>
      <c r="E21" s="1139"/>
      <c r="F21" s="1183"/>
      <c r="G21" s="1184"/>
      <c r="H21" s="1167"/>
      <c r="I21" s="1139"/>
      <c r="J21" s="1226" t="str">
        <f aca="false">Personnel!A21</f>
        <v>Trades-3</v>
      </c>
      <c r="K21" s="1236" t="n">
        <f aca="false">Personnel!BL21</f>
        <v>0</v>
      </c>
      <c r="L21" s="1217" t="n">
        <f aca="false">Personnel!BM21</f>
        <v>0</v>
      </c>
      <c r="M21" s="1217" t="n">
        <f aca="false">Personnel!BN21</f>
        <v>0</v>
      </c>
      <c r="N21" s="1217" t="n">
        <f aca="false">Personnel!BO21</f>
        <v>0</v>
      </c>
      <c r="O21" s="1218" t="n">
        <f aca="false">Personnel!BP21</f>
        <v>0</v>
      </c>
      <c r="P21" s="1189"/>
      <c r="Q21" s="1146"/>
      <c r="R21" s="1231" t="str">
        <f aca="false">Personnel!A21</f>
        <v>Trades-3</v>
      </c>
      <c r="S21" s="1245" t="n">
        <f aca="false">Personnel!D21</f>
        <v>0</v>
      </c>
      <c r="T21" s="1246" t="n">
        <f aca="false">Personnel!E21</f>
        <v>0</v>
      </c>
      <c r="U21" s="1246" t="n">
        <f aca="false">Personnel!F21</f>
        <v>0</v>
      </c>
      <c r="V21" s="1246" t="n">
        <f aca="false">Personnel!G21</f>
        <v>0</v>
      </c>
      <c r="W21" s="1246" t="n">
        <f aca="false">Personnel!H21</f>
        <v>0</v>
      </c>
      <c r="X21" s="1246" t="n">
        <f aca="false">Personnel!I21</f>
        <v>0</v>
      </c>
      <c r="Y21" s="1246" t="n">
        <f aca="false">Personnel!J21</f>
        <v>0</v>
      </c>
      <c r="Z21" s="1246" t="n">
        <f aca="false">Personnel!K21</f>
        <v>0</v>
      </c>
      <c r="AA21" s="1246" t="n">
        <f aca="false">Personnel!L21</f>
        <v>0</v>
      </c>
      <c r="AB21" s="1246" t="n">
        <f aca="false">Personnel!M21</f>
        <v>0</v>
      </c>
      <c r="AC21" s="1246" t="n">
        <f aca="false">Personnel!N21</f>
        <v>0</v>
      </c>
      <c r="AD21" s="1247" t="n">
        <f aca="false">Personnel!O21</f>
        <v>0</v>
      </c>
      <c r="AE21" s="1167"/>
      <c r="AF21" s="1139"/>
      <c r="AG21" s="1235"/>
      <c r="AH21" s="1236"/>
      <c r="AI21" s="1217"/>
      <c r="AJ21" s="1217"/>
      <c r="AK21" s="1217"/>
      <c r="AL21" s="1218"/>
      <c r="AM21" s="1189"/>
      <c r="AN21" s="1139"/>
      <c r="AO21" s="1237"/>
      <c r="AP21" s="1221"/>
      <c r="AQ21" s="1221"/>
      <c r="AR21" s="1221"/>
      <c r="AS21" s="1221"/>
      <c r="AT21" s="1221"/>
      <c r="AU21" s="1221"/>
      <c r="AV21" s="1221"/>
      <c r="AW21" s="1221"/>
      <c r="AX21" s="1221"/>
      <c r="AY21" s="1221"/>
      <c r="AZ21" s="1221"/>
      <c r="BA21" s="1222"/>
      <c r="BB21" s="1189"/>
      <c r="BC21" s="1189"/>
      <c r="BD21" s="1139"/>
      <c r="BE21" s="1385"/>
      <c r="BF21" s="1217"/>
      <c r="BG21" s="1217"/>
      <c r="BH21" s="1217"/>
      <c r="BI21" s="1217"/>
      <c r="BJ21" s="1218"/>
      <c r="BK21" s="1198"/>
      <c r="BL21" s="1139"/>
      <c r="BM21" s="1386"/>
      <c r="BN21" s="1245"/>
      <c r="BO21" s="1246"/>
      <c r="BP21" s="1246"/>
      <c r="BQ21" s="1246"/>
      <c r="BR21" s="1246"/>
      <c r="BS21" s="1246"/>
      <c r="BT21" s="1246"/>
      <c r="BU21" s="1246"/>
      <c r="BV21" s="1246"/>
      <c r="BW21" s="1246"/>
      <c r="BX21" s="1246"/>
      <c r="BY21" s="1247"/>
      <c r="BZ21" s="1189"/>
      <c r="CA21" s="1189"/>
      <c r="CB21" s="1139"/>
      <c r="CC21" s="1404" t="str">
        <f aca="false">'P&amp;L'!A41</f>
        <v>Total Op. Expenses</v>
      </c>
      <c r="CD21" s="1405" t="n">
        <f aca="false">'P&amp;L'!BJ41</f>
        <v>7158057.74494405</v>
      </c>
      <c r="CE21" s="1405" t="n">
        <f aca="false">'P&amp;L'!BK41</f>
        <v>20895282.5696614</v>
      </c>
      <c r="CF21" s="1405" t="n">
        <f aca="false">'P&amp;L'!BL41</f>
        <v>35027776.063542</v>
      </c>
      <c r="CG21" s="1405" t="n">
        <f aca="false">'P&amp;L'!BM41</f>
        <v>37218991.7694791</v>
      </c>
      <c r="CH21" s="1406" t="n">
        <f aca="false">'P&amp;L'!BN41</f>
        <v>39450126.2413681</v>
      </c>
      <c r="CI21" s="1167"/>
      <c r="CJ21" s="1139"/>
      <c r="CK21" s="1407" t="str">
        <f aca="false">'P&amp;L'!A41</f>
        <v>Total Op. Expenses</v>
      </c>
      <c r="CL21" s="1302" t="n">
        <f aca="false">'P&amp;L'!B41</f>
        <v>395805.9718</v>
      </c>
      <c r="CM21" s="1283" t="n">
        <f aca="false">'P&amp;L'!C41</f>
        <v>412861.9718</v>
      </c>
      <c r="CN21" s="1283" t="n">
        <f aca="false">'P&amp;L'!D41</f>
        <v>421481.6858</v>
      </c>
      <c r="CO21" s="1283" t="n">
        <f aca="false">'P&amp;L'!E41</f>
        <v>434809.677886905</v>
      </c>
      <c r="CP21" s="1283" t="n">
        <f aca="false">'P&amp;L'!F41</f>
        <v>448229.38397381</v>
      </c>
      <c r="CQ21" s="1283" t="n">
        <f aca="false">'P&amp;L'!G41</f>
        <v>496388.796147619</v>
      </c>
      <c r="CR21" s="1283" t="n">
        <f aca="false">'P&amp;L'!H41</f>
        <v>608656.708321429</v>
      </c>
      <c r="CS21" s="1283" t="n">
        <f aca="false">'P&amp;L'!I41</f>
        <v>686496.075495238</v>
      </c>
      <c r="CT21" s="1283" t="n">
        <f aca="false">'P&amp;L'!J41</f>
        <v>737231.512669048</v>
      </c>
      <c r="CU21" s="1283" t="n">
        <f aca="false">'P&amp;L'!K41</f>
        <v>789756.389842857</v>
      </c>
      <c r="CV21" s="1283" t="n">
        <f aca="false">'P&amp;L'!L41</f>
        <v>836907.347016667</v>
      </c>
      <c r="CW21" s="1247" t="n">
        <f aca="false">'P&amp;L'!M41</f>
        <v>889432.224190476</v>
      </c>
      <c r="CX21" s="1167"/>
      <c r="CY21" s="1157"/>
      <c r="CZ21" s="1248" t="str">
        <f aca="false">'Cash Flow'!A43</f>
        <v>Investment</v>
      </c>
      <c r="DA21" s="1249" t="n">
        <f aca="false">'Cash Flow'!BJ43</f>
        <v>10000000</v>
      </c>
      <c r="DB21" s="1250" t="n">
        <f aca="false">'Cash Flow'!BK43</f>
        <v>0</v>
      </c>
      <c r="DC21" s="1250" t="n">
        <f aca="false">'Cash Flow'!BL43</f>
        <v>0</v>
      </c>
      <c r="DD21" s="1250" t="n">
        <f aca="false">'Cash Flow'!BM43</f>
        <v>0</v>
      </c>
      <c r="DE21" s="1251" t="n">
        <f aca="false">'Cash Flow'!BN43</f>
        <v>0</v>
      </c>
      <c r="DF21" s="1274"/>
      <c r="DG21" s="1139"/>
      <c r="DH21" s="1252" t="str">
        <f aca="false">CZ21</f>
        <v>Investment</v>
      </c>
      <c r="DI21" s="1245" t="n">
        <f aca="false">'Cash Flow'!B43</f>
        <v>10000000</v>
      </c>
      <c r="DJ21" s="1246" t="n">
        <f aca="false">'Cash Flow'!C43</f>
        <v>0</v>
      </c>
      <c r="DK21" s="1246" t="n">
        <f aca="false">'Cash Flow'!D43</f>
        <v>0</v>
      </c>
      <c r="DL21" s="1246" t="n">
        <f aca="false">'Cash Flow'!E43</f>
        <v>0</v>
      </c>
      <c r="DM21" s="1246" t="n">
        <f aca="false">'Cash Flow'!F43</f>
        <v>0</v>
      </c>
      <c r="DN21" s="1246" t="n">
        <f aca="false">'Cash Flow'!G43</f>
        <v>0</v>
      </c>
      <c r="DO21" s="1246" t="n">
        <f aca="false">'Cash Flow'!H43</f>
        <v>0</v>
      </c>
      <c r="DP21" s="1246" t="n">
        <f aca="false">'Cash Flow'!I43</f>
        <v>0</v>
      </c>
      <c r="DQ21" s="1246" t="n">
        <f aca="false">'Cash Flow'!J43</f>
        <v>0</v>
      </c>
      <c r="DR21" s="1246" t="n">
        <f aca="false">'Cash Flow'!K43</f>
        <v>0</v>
      </c>
      <c r="DS21" s="1246" t="n">
        <f aca="false">'Cash Flow'!L43</f>
        <v>0</v>
      </c>
      <c r="DT21" s="1247" t="n">
        <f aca="false">'Cash Flow'!M43</f>
        <v>0</v>
      </c>
      <c r="DU21" s="1274"/>
      <c r="DV21" s="1157"/>
      <c r="DW21" s="1408" t="str">
        <f aca="false">'Balance Sheet'!A21</f>
        <v>Other Current Liabilities</v>
      </c>
      <c r="DX21" s="1292" t="n">
        <f aca="false">'Balance Sheet'!BJ21</f>
        <v>0</v>
      </c>
      <c r="DY21" s="1293" t="n">
        <f aca="false">'Balance Sheet'!BK21</f>
        <v>0</v>
      </c>
      <c r="DZ21" s="1293" t="n">
        <f aca="false">'Balance Sheet'!BL21</f>
        <v>0</v>
      </c>
      <c r="EA21" s="1293" t="n">
        <f aca="false">'Balance Sheet'!BM21</f>
        <v>0</v>
      </c>
      <c r="EB21" s="1294" t="n">
        <f aca="false">'Balance Sheet'!BN21</f>
        <v>0</v>
      </c>
      <c r="EC21" s="1167"/>
      <c r="ED21" s="1157"/>
      <c r="EE21" s="1409" t="str">
        <f aca="false">'Balance Sheet'!A21</f>
        <v>Other Current Liabilities</v>
      </c>
      <c r="EF21" s="1296" t="n">
        <f aca="false">'Balance Sheet'!B21</f>
        <v>0</v>
      </c>
      <c r="EG21" s="1297" t="n">
        <f aca="false">'Balance Sheet'!C21</f>
        <v>0</v>
      </c>
      <c r="EH21" s="1297" t="n">
        <f aca="false">'Balance Sheet'!D21</f>
        <v>0</v>
      </c>
      <c r="EI21" s="1297" t="n">
        <f aca="false">'Balance Sheet'!E21</f>
        <v>0</v>
      </c>
      <c r="EJ21" s="1297" t="n">
        <f aca="false">'Balance Sheet'!F21</f>
        <v>0</v>
      </c>
      <c r="EK21" s="1297" t="n">
        <f aca="false">'Balance Sheet'!G21</f>
        <v>0</v>
      </c>
      <c r="EL21" s="1297" t="n">
        <f aca="false">'Balance Sheet'!H21</f>
        <v>0</v>
      </c>
      <c r="EM21" s="1297" t="n">
        <f aca="false">'Balance Sheet'!I21</f>
        <v>0</v>
      </c>
      <c r="EN21" s="1297" t="n">
        <f aca="false">'Balance Sheet'!J21</f>
        <v>0</v>
      </c>
      <c r="EO21" s="1297" t="n">
        <f aca="false">'Balance Sheet'!K21</f>
        <v>0</v>
      </c>
      <c r="EP21" s="1297" t="n">
        <f aca="false">'Balance Sheet'!L21</f>
        <v>0</v>
      </c>
      <c r="EQ21" s="1298" t="n">
        <f aca="false">'Balance Sheet'!M21</f>
        <v>0</v>
      </c>
      <c r="ER21" s="1167"/>
      <c r="ES21" s="1163"/>
      <c r="ET21" s="1387" t="str">
        <f aca="false">'Cash Flow'!A3</f>
        <v>Receivables</v>
      </c>
      <c r="EU21" s="1227" t="n">
        <f aca="false">'Cash Flow'!BJ3</f>
        <v>30</v>
      </c>
      <c r="EV21" s="1228" t="n">
        <f aca="false">'Cash Flow'!BK3</f>
        <v>30</v>
      </c>
      <c r="EW21" s="1228" t="n">
        <f aca="false">'Cash Flow'!BL3</f>
        <v>30</v>
      </c>
      <c r="EX21" s="1228" t="n">
        <f aca="false">'Cash Flow'!BM3</f>
        <v>30</v>
      </c>
      <c r="EY21" s="1229" t="n">
        <f aca="false">'Cash Flow'!BN3</f>
        <v>30</v>
      </c>
      <c r="EZ21" s="1167"/>
      <c r="FA21" s="1165"/>
      <c r="FB21" s="1216" t="s">
        <v>1909</v>
      </c>
      <c r="FC21" s="1217" t="n">
        <f aca="false">'Sensitivity Analysis'!BK35</f>
        <v>3152613.3835235</v>
      </c>
      <c r="FD21" s="1217" t="n">
        <f aca="false">'Sensitivity Analysis'!BL35</f>
        <v>26824562.4912612</v>
      </c>
      <c r="FE21" s="1217" t="n">
        <f aca="false">'Sensitivity Analysis'!BM35</f>
        <v>72906145.5416746</v>
      </c>
      <c r="FF21" s="1217" t="n">
        <f aca="false">'Sensitivity Analysis'!BN35</f>
        <v>81063347.1389257</v>
      </c>
      <c r="FG21" s="1218" t="n">
        <f aca="false">'Sensitivity Analysis'!BO35</f>
        <v>89220548.7361768</v>
      </c>
      <c r="FH21" s="1167"/>
      <c r="FI21" s="1167"/>
      <c r="FJ21" s="1139"/>
      <c r="FK21" s="1216" t="str">
        <f aca="false">Existing!A17</f>
        <v>Other Assets</v>
      </c>
      <c r="FL21" s="1217"/>
      <c r="FM21" s="1217"/>
      <c r="FN21" s="1218"/>
      <c r="FO21" s="1167"/>
      <c r="FP21" s="1174"/>
      <c r="FQ21" s="1355"/>
      <c r="FR21" s="1167"/>
      <c r="FS21" s="1167"/>
      <c r="FT21" s="1167"/>
      <c r="FU21" s="1167"/>
      <c r="FV21" s="1167"/>
      <c r="FW21" s="1167"/>
      <c r="FX21" s="1173"/>
      <c r="FY21" s="1174"/>
      <c r="FZ21" s="1175"/>
      <c r="GA21" s="1216"/>
      <c r="GB21" s="1217"/>
      <c r="GC21" s="1217"/>
      <c r="GD21" s="1217"/>
      <c r="GE21" s="1217"/>
      <c r="GF21" s="1218"/>
      <c r="GG21" s="1189"/>
      <c r="GH21" s="1189"/>
      <c r="GI21" s="1174"/>
      <c r="GJ21" s="1355"/>
      <c r="GK21" s="1167"/>
      <c r="GL21" s="1167"/>
      <c r="GM21" s="1167"/>
      <c r="GN21" s="1167"/>
      <c r="GO21" s="1167"/>
      <c r="GP21" s="1167"/>
      <c r="GQ21" s="1167"/>
      <c r="GR21" s="1167"/>
      <c r="GS21" s="1356"/>
      <c r="GT21" s="1355"/>
      <c r="GU21" s="1167"/>
      <c r="GV21" s="1167"/>
      <c r="GW21" s="1167"/>
      <c r="GX21" s="1167"/>
      <c r="GY21" s="1167"/>
      <c r="GZ21" s="1167"/>
      <c r="HA21" s="1167"/>
      <c r="HB21" s="1167"/>
      <c r="HC21" s="1167"/>
      <c r="HD21" s="1167"/>
      <c r="HE21" s="1167"/>
      <c r="HF21" s="1167"/>
      <c r="HG21" s="1167"/>
      <c r="HH21" s="1167"/>
      <c r="HI21" s="1167"/>
      <c r="HJ21" s="1174"/>
      <c r="HK21" s="1174"/>
      <c r="HL21" s="1167"/>
      <c r="HM21" s="1167"/>
      <c r="HN21" s="1167"/>
      <c r="HO21" s="1167"/>
      <c r="HP21" s="1167"/>
      <c r="HQ21" s="1167"/>
    </row>
    <row r="22" customFormat="false" ht="12.75" hidden="false" customHeight="true" outlineLevel="0" collapsed="false">
      <c r="A22" s="1139"/>
      <c r="B22" s="1300" t="str">
        <f aca="false">'Sources &amp; Uses'!A28</f>
        <v>Inventory</v>
      </c>
      <c r="C22" s="1184" t="n">
        <f aca="false">'Sources &amp; Uses'!B28</f>
        <v>0</v>
      </c>
      <c r="D22" s="1167"/>
      <c r="E22" s="1139"/>
      <c r="F22" s="1183"/>
      <c r="G22" s="1184"/>
      <c r="H22" s="1167"/>
      <c r="I22" s="1139"/>
      <c r="J22" s="1226" t="str">
        <f aca="false">Personnel!A22</f>
        <v>Admin-3</v>
      </c>
      <c r="K22" s="1236" t="n">
        <f aca="false">Personnel!BL22</f>
        <v>0</v>
      </c>
      <c r="L22" s="1217" t="n">
        <f aca="false">Personnel!BM22</f>
        <v>0</v>
      </c>
      <c r="M22" s="1217" t="n">
        <f aca="false">Personnel!BN22</f>
        <v>0</v>
      </c>
      <c r="N22" s="1217" t="n">
        <f aca="false">Personnel!BO22</f>
        <v>0</v>
      </c>
      <c r="O22" s="1218" t="n">
        <f aca="false">Personnel!BP22</f>
        <v>0</v>
      </c>
      <c r="P22" s="1189"/>
      <c r="Q22" s="1146"/>
      <c r="R22" s="1231" t="str">
        <f aca="false">Personnel!A22</f>
        <v>Admin-3</v>
      </c>
      <c r="S22" s="1245" t="n">
        <f aca="false">Personnel!D22</f>
        <v>0</v>
      </c>
      <c r="T22" s="1246" t="n">
        <f aca="false">Personnel!E22</f>
        <v>0</v>
      </c>
      <c r="U22" s="1246" t="n">
        <f aca="false">Personnel!F22</f>
        <v>0</v>
      </c>
      <c r="V22" s="1246" t="n">
        <f aca="false">Personnel!G22</f>
        <v>0</v>
      </c>
      <c r="W22" s="1246" t="n">
        <f aca="false">Personnel!H22</f>
        <v>0</v>
      </c>
      <c r="X22" s="1246" t="n">
        <f aca="false">Personnel!I22</f>
        <v>0</v>
      </c>
      <c r="Y22" s="1246" t="n">
        <f aca="false">Personnel!J22</f>
        <v>0</v>
      </c>
      <c r="Z22" s="1246" t="n">
        <f aca="false">Personnel!K22</f>
        <v>0</v>
      </c>
      <c r="AA22" s="1246" t="n">
        <f aca="false">Personnel!L22</f>
        <v>0</v>
      </c>
      <c r="AB22" s="1246" t="n">
        <f aca="false">Personnel!M22</f>
        <v>0</v>
      </c>
      <c r="AC22" s="1246" t="n">
        <f aca="false">Personnel!N22</f>
        <v>0</v>
      </c>
      <c r="AD22" s="1247" t="n">
        <f aca="false">Personnel!O22</f>
        <v>0</v>
      </c>
      <c r="AE22" s="1167"/>
      <c r="AF22" s="1139"/>
      <c r="AG22" s="1235"/>
      <c r="AH22" s="1236"/>
      <c r="AI22" s="1217"/>
      <c r="AJ22" s="1217"/>
      <c r="AK22" s="1217"/>
      <c r="AL22" s="1218"/>
      <c r="AM22" s="1189"/>
      <c r="AN22" s="1139"/>
      <c r="AO22" s="1237"/>
      <c r="AP22" s="1221"/>
      <c r="AQ22" s="1221"/>
      <c r="AR22" s="1221"/>
      <c r="AS22" s="1221"/>
      <c r="AT22" s="1221"/>
      <c r="AU22" s="1221"/>
      <c r="AV22" s="1221"/>
      <c r="AW22" s="1221"/>
      <c r="AX22" s="1221"/>
      <c r="AY22" s="1221"/>
      <c r="AZ22" s="1221"/>
      <c r="BA22" s="1222"/>
      <c r="BB22" s="1189"/>
      <c r="BC22" s="1189"/>
      <c r="BD22" s="1139"/>
      <c r="BE22" s="1385"/>
      <c r="BF22" s="1217"/>
      <c r="BG22" s="1217"/>
      <c r="BH22" s="1217"/>
      <c r="BI22" s="1217"/>
      <c r="BJ22" s="1218"/>
      <c r="BK22" s="1198"/>
      <c r="BL22" s="1139"/>
      <c r="BM22" s="1386"/>
      <c r="BN22" s="1245"/>
      <c r="BO22" s="1246"/>
      <c r="BP22" s="1246"/>
      <c r="BQ22" s="1246"/>
      <c r="BR22" s="1246"/>
      <c r="BS22" s="1246"/>
      <c r="BT22" s="1246"/>
      <c r="BU22" s="1246"/>
      <c r="BV22" s="1246"/>
      <c r="BW22" s="1246"/>
      <c r="BX22" s="1246"/>
      <c r="BY22" s="1247"/>
      <c r="BZ22" s="1189"/>
      <c r="CA22" s="1189"/>
      <c r="CB22" s="1139"/>
      <c r="CC22" s="1280"/>
      <c r="CD22" s="1189"/>
      <c r="CE22" s="1189"/>
      <c r="CF22" s="1189"/>
      <c r="CG22" s="1189"/>
      <c r="CH22" s="1281"/>
      <c r="CI22" s="1167"/>
      <c r="CJ22" s="1139"/>
      <c r="CK22" s="1282"/>
      <c r="CL22" s="1410"/>
      <c r="CM22" s="1411"/>
      <c r="CN22" s="1411"/>
      <c r="CO22" s="1411"/>
      <c r="CP22" s="1411"/>
      <c r="CQ22" s="1411"/>
      <c r="CR22" s="1411"/>
      <c r="CS22" s="1411"/>
      <c r="CT22" s="1411"/>
      <c r="CU22" s="1411"/>
      <c r="CV22" s="1411"/>
      <c r="CW22" s="1298"/>
      <c r="CX22" s="1167"/>
      <c r="CY22" s="1157"/>
      <c r="CZ22" s="1248" t="str">
        <f aca="false">'Cash Flow'!A44</f>
        <v>Dividends</v>
      </c>
      <c r="DA22" s="1249" t="n">
        <f aca="false">'Cash Flow'!BJ44</f>
        <v>0</v>
      </c>
      <c r="DB22" s="1250" t="n">
        <f aca="false">'Cash Flow'!BK44</f>
        <v>0</v>
      </c>
      <c r="DC22" s="1250" t="n">
        <f aca="false">'Cash Flow'!BL44</f>
        <v>0</v>
      </c>
      <c r="DD22" s="1250" t="n">
        <f aca="false">'Cash Flow'!BM44</f>
        <v>0</v>
      </c>
      <c r="DE22" s="1251" t="n">
        <f aca="false">'Cash Flow'!BN44</f>
        <v>0</v>
      </c>
      <c r="DF22" s="1274"/>
      <c r="DG22" s="1139"/>
      <c r="DH22" s="1252" t="str">
        <f aca="false">CZ22</f>
        <v>Dividends</v>
      </c>
      <c r="DI22" s="1245" t="n">
        <f aca="false">'Cash Flow'!B44</f>
        <v>-0</v>
      </c>
      <c r="DJ22" s="1246" t="n">
        <f aca="false">'Cash Flow'!C44</f>
        <v>-0</v>
      </c>
      <c r="DK22" s="1246" t="n">
        <f aca="false">'Cash Flow'!D44</f>
        <v>-0</v>
      </c>
      <c r="DL22" s="1246" t="n">
        <f aca="false">'Cash Flow'!E44</f>
        <v>-0</v>
      </c>
      <c r="DM22" s="1246" t="n">
        <f aca="false">'Cash Flow'!F44</f>
        <v>-0</v>
      </c>
      <c r="DN22" s="1246" t="n">
        <f aca="false">'Cash Flow'!G44</f>
        <v>-0</v>
      </c>
      <c r="DO22" s="1246" t="n">
        <f aca="false">'Cash Flow'!H44</f>
        <v>-0</v>
      </c>
      <c r="DP22" s="1246" t="n">
        <f aca="false">'Cash Flow'!I44</f>
        <v>-0</v>
      </c>
      <c r="DQ22" s="1246" t="n">
        <f aca="false">'Cash Flow'!J44</f>
        <v>-0</v>
      </c>
      <c r="DR22" s="1246" t="n">
        <f aca="false">'Cash Flow'!K44</f>
        <v>-0</v>
      </c>
      <c r="DS22" s="1246" t="n">
        <f aca="false">'Cash Flow'!L44</f>
        <v>-0</v>
      </c>
      <c r="DT22" s="1247" t="n">
        <f aca="false">'Cash Flow'!M44</f>
        <v>-0</v>
      </c>
      <c r="DU22" s="1167"/>
      <c r="DV22" s="1157"/>
      <c r="DW22" s="1412" t="s">
        <v>1804</v>
      </c>
      <c r="DX22" s="1381" t="n">
        <f aca="false">'Balance Sheet'!BJ22</f>
        <v>2125220.08438693</v>
      </c>
      <c r="DY22" s="1382" t="n">
        <f aca="false">'Balance Sheet'!BK22</f>
        <v>5837775.45875626</v>
      </c>
      <c r="DZ22" s="1382" t="n">
        <f aca="false">'Balance Sheet'!BL22</f>
        <v>10081186.7597701</v>
      </c>
      <c r="EA22" s="1382" t="n">
        <f aca="false">'Balance Sheet'!BM22</f>
        <v>10700178.9116777</v>
      </c>
      <c r="EB22" s="1383" t="n">
        <f aca="false">'Balance Sheet'!BN22</f>
        <v>11321439.4608204</v>
      </c>
      <c r="EC22" s="1167"/>
      <c r="ED22" s="1157"/>
      <c r="EE22" s="1413" t="str">
        <f aca="false">'Balance Sheet'!A22</f>
        <v>Subtotal Current Liabilities</v>
      </c>
      <c r="EF22" s="1303" t="n">
        <f aca="false">'Balance Sheet'!B22</f>
        <v>390383.972186301</v>
      </c>
      <c r="EG22" s="1304" t="n">
        <f aca="false">'Balance Sheet'!C22</f>
        <v>407206.328350685</v>
      </c>
      <c r="EH22" s="1304" t="n">
        <f aca="false">'Balance Sheet'!D22</f>
        <v>416394.413883053</v>
      </c>
      <c r="EI22" s="1304" t="n">
        <f aca="false">'Balance Sheet'!E22</f>
        <v>511103.479785396</v>
      </c>
      <c r="EJ22" s="1304" t="n">
        <f aca="false">'Balance Sheet'!F22</f>
        <v>606589.453137915</v>
      </c>
      <c r="EK22" s="1304" t="n">
        <f aca="false">'Balance Sheet'!G22</f>
        <v>818589.345048432</v>
      </c>
      <c r="EL22" s="1304" t="n">
        <f aca="false">'Balance Sheet'!H22</f>
        <v>1076938.59586306</v>
      </c>
      <c r="EM22" s="1304" t="n">
        <f aca="false">'Balance Sheet'!I22</f>
        <v>1306348.00340058</v>
      </c>
      <c r="EN22" s="1304" t="n">
        <f aca="false">'Balance Sheet'!J22</f>
        <v>1511198.69773916</v>
      </c>
      <c r="EO22" s="1304" t="n">
        <f aca="false">'Balance Sheet'!K22</f>
        <v>1717020.74567425</v>
      </c>
      <c r="EP22" s="1304" t="n">
        <f aca="false">'Balance Sheet'!L22</f>
        <v>1919568.10831964</v>
      </c>
      <c r="EQ22" s="1305" t="n">
        <f aca="false">'Balance Sheet'!M22</f>
        <v>2125220.08438693</v>
      </c>
      <c r="ER22" s="1167"/>
      <c r="ES22" s="1163"/>
      <c r="ET22" s="1387" t="str">
        <f aca="false">'Cash Flow'!A4</f>
        <v>Inventory</v>
      </c>
      <c r="EU22" s="1227" t="n">
        <f aca="false">'Cash Flow'!BJ4</f>
        <v>0</v>
      </c>
      <c r="EV22" s="1228" t="n">
        <f aca="false">'Cash Flow'!BK4</f>
        <v>0</v>
      </c>
      <c r="EW22" s="1228" t="n">
        <f aca="false">'Cash Flow'!BL4</f>
        <v>0</v>
      </c>
      <c r="EX22" s="1228" t="n">
        <f aca="false">'Cash Flow'!BM4</f>
        <v>0</v>
      </c>
      <c r="EY22" s="1229" t="n">
        <f aca="false">'Cash Flow'!BN4</f>
        <v>0</v>
      </c>
      <c r="EZ22" s="1167"/>
      <c r="FA22" s="1165"/>
      <c r="FB22" s="1216" t="s">
        <v>1490</v>
      </c>
      <c r="FC22" s="1217" t="n">
        <f aca="false">'Sensitivity Analysis'!BK37</f>
        <v>7158057.74494405</v>
      </c>
      <c r="FD22" s="1217" t="n">
        <f aca="false">'Sensitivity Analysis'!BL37</f>
        <v>20895282.5696614</v>
      </c>
      <c r="FE22" s="1217" t="n">
        <f aca="false">'Sensitivity Analysis'!BM37</f>
        <v>35027776.063542</v>
      </c>
      <c r="FF22" s="1217" t="n">
        <f aca="false">'Sensitivity Analysis'!BN37</f>
        <v>37218991.7694791</v>
      </c>
      <c r="FG22" s="1218" t="n">
        <f aca="false">'Sensitivity Analysis'!BO37</f>
        <v>39450126.2413681</v>
      </c>
      <c r="FH22" s="1167"/>
      <c r="FI22" s="1167"/>
      <c r="FJ22" s="1139"/>
      <c r="FK22" s="1258" t="str">
        <f aca="false">Existing!A18</f>
        <v>Other Assets</v>
      </c>
      <c r="FL22" s="1217" t="n">
        <f aca="false">Existing!B18</f>
        <v>0</v>
      </c>
      <c r="FM22" s="1217" t="n">
        <f aca="false">Existing!C18</f>
        <v>0</v>
      </c>
      <c r="FN22" s="1218" t="n">
        <f aca="false">Existing!D18</f>
        <v>1</v>
      </c>
      <c r="FO22" s="1167"/>
      <c r="FP22" s="1174"/>
      <c r="FQ22" s="1355"/>
      <c r="FR22" s="1167"/>
      <c r="FS22" s="1167"/>
      <c r="FT22" s="1167"/>
      <c r="FU22" s="1167"/>
      <c r="FV22" s="1167"/>
      <c r="FW22" s="1167"/>
      <c r="FX22" s="1173"/>
      <c r="FY22" s="1174"/>
      <c r="FZ22" s="1175"/>
      <c r="GA22" s="1258"/>
      <c r="GB22" s="1217"/>
      <c r="GC22" s="1217"/>
      <c r="GD22" s="1217"/>
      <c r="GE22" s="1217"/>
      <c r="GF22" s="1218"/>
      <c r="GG22" s="1189"/>
      <c r="GH22" s="1189"/>
      <c r="GI22" s="1174"/>
      <c r="GJ22" s="1355"/>
      <c r="GK22" s="1167"/>
      <c r="GL22" s="1167"/>
      <c r="GM22" s="1167"/>
      <c r="GN22" s="1167"/>
      <c r="GO22" s="1167"/>
      <c r="GP22" s="1167"/>
      <c r="GQ22" s="1167"/>
      <c r="GR22" s="1167"/>
      <c r="GS22" s="1356"/>
      <c r="GT22" s="1355"/>
      <c r="GU22" s="1167"/>
      <c r="GV22" s="1167"/>
      <c r="GW22" s="1167"/>
      <c r="GX22" s="1167"/>
      <c r="GY22" s="1167"/>
      <c r="GZ22" s="1167"/>
      <c r="HA22" s="1167"/>
      <c r="HB22" s="1167"/>
      <c r="HC22" s="1167"/>
      <c r="HD22" s="1167"/>
      <c r="HE22" s="1167"/>
      <c r="HF22" s="1167"/>
      <c r="HG22" s="1167"/>
      <c r="HH22" s="1167"/>
      <c r="HI22" s="1167"/>
      <c r="HJ22" s="1174"/>
      <c r="HK22" s="1174"/>
      <c r="HL22" s="1167"/>
      <c r="HM22" s="1167"/>
      <c r="HN22" s="1167"/>
      <c r="HO22" s="1167"/>
      <c r="HP22" s="1167"/>
      <c r="HQ22" s="1167"/>
    </row>
    <row r="23" customFormat="false" ht="12.75" hidden="false" customHeight="true" outlineLevel="0" collapsed="false">
      <c r="A23" s="1139"/>
      <c r="B23" s="1300" t="str">
        <f aca="false">'Sources &amp; Uses'!A29</f>
        <v>Other Current Assets</v>
      </c>
      <c r="C23" s="1184" t="n">
        <f aca="false">'Sources &amp; Uses'!B29</f>
        <v>0</v>
      </c>
      <c r="D23" s="1167"/>
      <c r="E23" s="1139"/>
      <c r="F23" s="1183"/>
      <c r="G23" s="1184"/>
      <c r="H23" s="1167"/>
      <c r="I23" s="1139"/>
      <c r="J23" s="1226" t="n">
        <f aca="false">Personnel!A23</f>
        <v>0</v>
      </c>
      <c r="K23" s="1236" t="n">
        <f aca="false">Personnel!BL23</f>
        <v>0</v>
      </c>
      <c r="L23" s="1217" t="n">
        <f aca="false">Personnel!BM23</f>
        <v>0</v>
      </c>
      <c r="M23" s="1217" t="n">
        <f aca="false">Personnel!BN23</f>
        <v>0</v>
      </c>
      <c r="N23" s="1217" t="n">
        <f aca="false">Personnel!BO23</f>
        <v>0</v>
      </c>
      <c r="O23" s="1218" t="n">
        <f aca="false">Personnel!BP23</f>
        <v>0</v>
      </c>
      <c r="P23" s="1189"/>
      <c r="Q23" s="1146"/>
      <c r="R23" s="1231" t="n">
        <f aca="false">Personnel!A23</f>
        <v>0</v>
      </c>
      <c r="S23" s="1245" t="n">
        <f aca="false">Personnel!D23</f>
        <v>0</v>
      </c>
      <c r="T23" s="1246" t="n">
        <f aca="false">Personnel!E23</f>
        <v>0</v>
      </c>
      <c r="U23" s="1246" t="n">
        <f aca="false">Personnel!F23</f>
        <v>0</v>
      </c>
      <c r="V23" s="1246" t="n">
        <f aca="false">Personnel!G23</f>
        <v>0</v>
      </c>
      <c r="W23" s="1246" t="n">
        <f aca="false">Personnel!H23</f>
        <v>0</v>
      </c>
      <c r="X23" s="1246" t="n">
        <f aca="false">Personnel!I23</f>
        <v>0</v>
      </c>
      <c r="Y23" s="1246" t="n">
        <f aca="false">Personnel!J23</f>
        <v>0</v>
      </c>
      <c r="Z23" s="1246" t="n">
        <f aca="false">Personnel!K23</f>
        <v>0</v>
      </c>
      <c r="AA23" s="1246" t="n">
        <f aca="false">Personnel!L23</f>
        <v>0</v>
      </c>
      <c r="AB23" s="1246" t="n">
        <f aca="false">Personnel!M23</f>
        <v>0</v>
      </c>
      <c r="AC23" s="1246" t="n">
        <f aca="false">Personnel!N23</f>
        <v>0</v>
      </c>
      <c r="AD23" s="1247" t="n">
        <f aca="false">Personnel!O23</f>
        <v>0</v>
      </c>
      <c r="AE23" s="1167"/>
      <c r="AF23" s="1139"/>
      <c r="AG23" s="1235"/>
      <c r="AH23" s="1236"/>
      <c r="AI23" s="1217"/>
      <c r="AJ23" s="1217"/>
      <c r="AK23" s="1217"/>
      <c r="AL23" s="1218"/>
      <c r="AM23" s="1189"/>
      <c r="AN23" s="1139"/>
      <c r="AO23" s="1237"/>
      <c r="AP23" s="1221"/>
      <c r="AQ23" s="1221"/>
      <c r="AR23" s="1221"/>
      <c r="AS23" s="1221"/>
      <c r="AT23" s="1221"/>
      <c r="AU23" s="1221"/>
      <c r="AV23" s="1221"/>
      <c r="AW23" s="1221"/>
      <c r="AX23" s="1221"/>
      <c r="AY23" s="1221"/>
      <c r="AZ23" s="1221"/>
      <c r="BA23" s="1222"/>
      <c r="BB23" s="1189"/>
      <c r="BC23" s="1189"/>
      <c r="BD23" s="1139"/>
      <c r="BE23" s="1385"/>
      <c r="BF23" s="1217"/>
      <c r="BG23" s="1217"/>
      <c r="BH23" s="1217"/>
      <c r="BI23" s="1217"/>
      <c r="BJ23" s="1218"/>
      <c r="BK23" s="1198"/>
      <c r="BL23" s="1139"/>
      <c r="BM23" s="1386"/>
      <c r="BN23" s="1245"/>
      <c r="BO23" s="1246"/>
      <c r="BP23" s="1246"/>
      <c r="BQ23" s="1246"/>
      <c r="BR23" s="1246"/>
      <c r="BS23" s="1246"/>
      <c r="BT23" s="1246"/>
      <c r="BU23" s="1246"/>
      <c r="BV23" s="1246"/>
      <c r="BW23" s="1246"/>
      <c r="BX23" s="1246"/>
      <c r="BY23" s="1247"/>
      <c r="BZ23" s="1189"/>
      <c r="CA23" s="1189"/>
      <c r="CB23" s="1139"/>
      <c r="CC23" s="1207" t="str">
        <f aca="false">'P&amp;L'!A42</f>
        <v>Profit Before Int. &amp; Tax</v>
      </c>
      <c r="CD23" s="1187"/>
      <c r="CE23" s="1187"/>
      <c r="CF23" s="1187"/>
      <c r="CG23" s="1187"/>
      <c r="CH23" s="1188"/>
      <c r="CI23" s="1167"/>
      <c r="CJ23" s="1139"/>
      <c r="CK23" s="1414" t="str">
        <f aca="false">'P&amp;L'!A42</f>
        <v>Profit Before Int. &amp; Tax</v>
      </c>
      <c r="CL23" s="1191" t="n">
        <f aca="false">'P&amp;L'!B42</f>
        <v>-395805.9718</v>
      </c>
      <c r="CM23" s="1192" t="n">
        <f aca="false">'P&amp;L'!C42</f>
        <v>-412861.9718</v>
      </c>
      <c r="CN23" s="1192" t="n">
        <f aca="false">'P&amp;L'!D42</f>
        <v>-421260.529631429</v>
      </c>
      <c r="CO23" s="1192" t="n">
        <f aca="false">'P&amp;L'!E42</f>
        <v>-384005.078357812</v>
      </c>
      <c r="CP23" s="1192" t="n">
        <f aca="false">'P&amp;L'!F42</f>
        <v>-346620.184915624</v>
      </c>
      <c r="CQ23" s="1192" t="n">
        <f aca="false">'P&amp;L'!G42</f>
        <v>-293170.398031247</v>
      </c>
      <c r="CR23" s="1192" t="n">
        <f aca="false">'P&amp;L'!H42</f>
        <v>-303829.111146871</v>
      </c>
      <c r="CS23" s="1192" t="n">
        <f aca="false">'P&amp;L'!I42</f>
        <v>-280059.279262494</v>
      </c>
      <c r="CT23" s="1192" t="n">
        <f aca="false">'P&amp;L'!J42</f>
        <v>-229185.517378118</v>
      </c>
      <c r="CU23" s="1192" t="n">
        <f aca="false">'P&amp;L'!K42</f>
        <v>-180101.195493742</v>
      </c>
      <c r="CV23" s="1192" t="n">
        <f aca="false">'P&amp;L'!L42</f>
        <v>-125642.953609365</v>
      </c>
      <c r="CW23" s="1193" t="n">
        <f aca="false">'P&amp;L'!M42</f>
        <v>-76558.6317249893</v>
      </c>
      <c r="CX23" s="1167"/>
      <c r="CY23" s="1157"/>
      <c r="CZ23" s="1248" t="str">
        <f aca="false">'Cash Flow'!A45</f>
        <v>New Current Borrowing</v>
      </c>
      <c r="DA23" s="1249" t="n">
        <f aca="false">'Cash Flow'!BJ45</f>
        <v>0</v>
      </c>
      <c r="DB23" s="1250" t="n">
        <f aca="false">'Cash Flow'!BK45</f>
        <v>0</v>
      </c>
      <c r="DC23" s="1250" t="n">
        <f aca="false">'Cash Flow'!BL45</f>
        <v>0</v>
      </c>
      <c r="DD23" s="1250" t="n">
        <f aca="false">'Cash Flow'!BM45</f>
        <v>0</v>
      </c>
      <c r="DE23" s="1251" t="n">
        <f aca="false">'Cash Flow'!BN45</f>
        <v>0</v>
      </c>
      <c r="DF23" s="1274"/>
      <c r="DG23" s="1139"/>
      <c r="DH23" s="1252" t="str">
        <f aca="false">CZ23</f>
        <v>New Current Borrowing</v>
      </c>
      <c r="DI23" s="1245" t="n">
        <f aca="false">'Cash Flow'!B45</f>
        <v>0</v>
      </c>
      <c r="DJ23" s="1246" t="n">
        <f aca="false">'Cash Flow'!C45</f>
        <v>0</v>
      </c>
      <c r="DK23" s="1246" t="n">
        <f aca="false">'Cash Flow'!D45</f>
        <v>0</v>
      </c>
      <c r="DL23" s="1246" t="n">
        <f aca="false">'Cash Flow'!E45</f>
        <v>0</v>
      </c>
      <c r="DM23" s="1246" t="n">
        <f aca="false">'Cash Flow'!F45</f>
        <v>0</v>
      </c>
      <c r="DN23" s="1246" t="n">
        <f aca="false">'Cash Flow'!G45</f>
        <v>0</v>
      </c>
      <c r="DO23" s="1246" t="n">
        <f aca="false">'Cash Flow'!H45</f>
        <v>0</v>
      </c>
      <c r="DP23" s="1246" t="n">
        <f aca="false">'Cash Flow'!I45</f>
        <v>0</v>
      </c>
      <c r="DQ23" s="1246" t="n">
        <f aca="false">'Cash Flow'!J45</f>
        <v>0</v>
      </c>
      <c r="DR23" s="1246" t="n">
        <f aca="false">'Cash Flow'!K45</f>
        <v>0</v>
      </c>
      <c r="DS23" s="1246" t="n">
        <f aca="false">'Cash Flow'!L45</f>
        <v>0</v>
      </c>
      <c r="DT23" s="1247" t="n">
        <f aca="false">'Cash Flow'!M45</f>
        <v>0</v>
      </c>
      <c r="DU23" s="1167"/>
      <c r="DV23" s="1157"/>
      <c r="DW23" s="1280"/>
      <c r="DX23" s="1262"/>
      <c r="DY23" s="1262"/>
      <c r="DZ23" s="1262"/>
      <c r="EA23" s="1262"/>
      <c r="EB23" s="1263"/>
      <c r="EC23" s="1167"/>
      <c r="ED23" s="1157"/>
      <c r="EE23" s="1415"/>
      <c r="EF23" s="1283"/>
      <c r="EG23" s="1283"/>
      <c r="EH23" s="1283"/>
      <c r="EI23" s="1283"/>
      <c r="EJ23" s="1283"/>
      <c r="EK23" s="1283"/>
      <c r="EL23" s="1283"/>
      <c r="EM23" s="1283"/>
      <c r="EN23" s="1283"/>
      <c r="EO23" s="1283"/>
      <c r="EP23" s="1283"/>
      <c r="EQ23" s="1284"/>
      <c r="ER23" s="1167"/>
      <c r="ES23" s="1163"/>
      <c r="ET23" s="1393" t="str">
        <f aca="false">'Cash Flow'!A5</f>
        <v>Payables</v>
      </c>
      <c r="EU23" s="1345" t="n">
        <f aca="false">'Cash Flow'!BJ5</f>
        <v>30</v>
      </c>
      <c r="EV23" s="1346" t="n">
        <f aca="false">'Cash Flow'!BK5</f>
        <v>30</v>
      </c>
      <c r="EW23" s="1346" t="n">
        <f aca="false">'Cash Flow'!BL5</f>
        <v>30</v>
      </c>
      <c r="EX23" s="1346" t="n">
        <f aca="false">'Cash Flow'!BM5</f>
        <v>30</v>
      </c>
      <c r="EY23" s="1347" t="n">
        <f aca="false">'Cash Flow'!BN5</f>
        <v>30</v>
      </c>
      <c r="EZ23" s="1167"/>
      <c r="FA23" s="1165"/>
      <c r="FB23" s="1216" t="s">
        <v>111</v>
      </c>
      <c r="FC23" s="1217" t="n">
        <f aca="false">'Sensitivity Analysis'!BK38</f>
        <v>-4005444.36142054</v>
      </c>
      <c r="FD23" s="1217" t="n">
        <f aca="false">'Sensitivity Analysis'!BL38</f>
        <v>5929279.92159973</v>
      </c>
      <c r="FE23" s="1217" t="n">
        <f aca="false">'Sensitivity Analysis'!BM38</f>
        <v>37878369.4781326</v>
      </c>
      <c r="FF23" s="1217" t="n">
        <f aca="false">'Sensitivity Analysis'!BN38</f>
        <v>43844355.3694466</v>
      </c>
      <c r="FG23" s="1218" t="n">
        <f aca="false">'Sensitivity Analysis'!BO38</f>
        <v>49770422.4948087</v>
      </c>
      <c r="FH23" s="1167"/>
      <c r="FI23" s="1167"/>
      <c r="FJ23" s="1139"/>
      <c r="FK23" s="1216" t="s">
        <v>1803</v>
      </c>
      <c r="FL23" s="1217" t="n">
        <f aca="false">FL19+FL14+FL22</f>
        <v>0</v>
      </c>
      <c r="FM23" s="1217" t="n">
        <f aca="false">FM19+FM14+FM22</f>
        <v>0</v>
      </c>
      <c r="FN23" s="1218" t="n">
        <f aca="false">FN19+FN14+FN22</f>
        <v>-1</v>
      </c>
      <c r="FO23" s="1167"/>
      <c r="FP23" s="1174"/>
      <c r="FQ23" s="1355"/>
      <c r="FR23" s="1167"/>
      <c r="FS23" s="1167"/>
      <c r="FT23" s="1167"/>
      <c r="FU23" s="1167"/>
      <c r="FV23" s="1167"/>
      <c r="FW23" s="1167"/>
      <c r="FX23" s="1173"/>
      <c r="FY23" s="1174"/>
      <c r="FZ23" s="1175"/>
      <c r="GA23" s="1258"/>
      <c r="GB23" s="1217"/>
      <c r="GC23" s="1217"/>
      <c r="GD23" s="1217"/>
      <c r="GE23" s="1217"/>
      <c r="GF23" s="1218"/>
      <c r="GG23" s="1189"/>
      <c r="GH23" s="1189"/>
      <c r="GI23" s="1174"/>
      <c r="GJ23" s="1355"/>
      <c r="GK23" s="1167"/>
      <c r="GL23" s="1167"/>
      <c r="GM23" s="1167"/>
      <c r="GN23" s="1167"/>
      <c r="GO23" s="1167"/>
      <c r="GP23" s="1167"/>
      <c r="GQ23" s="1167"/>
      <c r="GR23" s="1167"/>
      <c r="GS23" s="1356"/>
      <c r="GT23" s="1355"/>
      <c r="GU23" s="1167"/>
      <c r="GV23" s="1167"/>
      <c r="GW23" s="1167"/>
      <c r="GX23" s="1167"/>
      <c r="GY23" s="1167"/>
      <c r="GZ23" s="1167"/>
      <c r="HA23" s="1167"/>
      <c r="HB23" s="1167"/>
      <c r="HC23" s="1167"/>
      <c r="HD23" s="1167"/>
      <c r="HE23" s="1167"/>
      <c r="HF23" s="1167"/>
      <c r="HG23" s="1167"/>
      <c r="HH23" s="1167"/>
      <c r="HI23" s="1167"/>
      <c r="HJ23" s="1174"/>
      <c r="HK23" s="1174"/>
      <c r="HL23" s="1167"/>
      <c r="HM23" s="1167"/>
      <c r="HN23" s="1167"/>
      <c r="HO23" s="1167"/>
      <c r="HP23" s="1167"/>
      <c r="HQ23" s="1167"/>
    </row>
    <row r="24" customFormat="false" ht="12.75" hidden="false" customHeight="true" outlineLevel="0" collapsed="false">
      <c r="A24" s="1139"/>
      <c r="B24" s="1300" t="str">
        <f aca="false">'Sources &amp; Uses'!A30</f>
        <v>Land</v>
      </c>
      <c r="C24" s="1184" t="n">
        <f aca="false">'Sources &amp; Uses'!B30</f>
        <v>0</v>
      </c>
      <c r="D24" s="1167"/>
      <c r="E24" s="1139"/>
      <c r="F24" s="1183"/>
      <c r="G24" s="1184"/>
      <c r="H24" s="1167"/>
      <c r="I24" s="1139"/>
      <c r="J24" s="1226" t="n">
        <f aca="false">Personnel!A24</f>
        <v>0</v>
      </c>
      <c r="K24" s="1236" t="n">
        <f aca="false">Personnel!BL24</f>
        <v>0</v>
      </c>
      <c r="L24" s="1217" t="n">
        <f aca="false">Personnel!BM24</f>
        <v>0</v>
      </c>
      <c r="M24" s="1217" t="n">
        <f aca="false">Personnel!BN24</f>
        <v>0</v>
      </c>
      <c r="N24" s="1217" t="n">
        <f aca="false">Personnel!BO24</f>
        <v>0</v>
      </c>
      <c r="O24" s="1218" t="n">
        <f aca="false">Personnel!BP24</f>
        <v>0</v>
      </c>
      <c r="P24" s="1189"/>
      <c r="Q24" s="1146"/>
      <c r="R24" s="1231" t="n">
        <f aca="false">Personnel!A24</f>
        <v>0</v>
      </c>
      <c r="S24" s="1245" t="n">
        <f aca="false">Personnel!D24</f>
        <v>0</v>
      </c>
      <c r="T24" s="1246" t="n">
        <f aca="false">Personnel!E24</f>
        <v>0</v>
      </c>
      <c r="U24" s="1246" t="n">
        <f aca="false">Personnel!F24</f>
        <v>0</v>
      </c>
      <c r="V24" s="1246" t="n">
        <f aca="false">Personnel!G24</f>
        <v>0</v>
      </c>
      <c r="W24" s="1246" t="n">
        <f aca="false">Personnel!H24</f>
        <v>0</v>
      </c>
      <c r="X24" s="1246" t="n">
        <f aca="false">Personnel!I24</f>
        <v>0</v>
      </c>
      <c r="Y24" s="1246" t="n">
        <f aca="false">Personnel!J24</f>
        <v>0</v>
      </c>
      <c r="Z24" s="1246" t="n">
        <f aca="false">Personnel!K24</f>
        <v>0</v>
      </c>
      <c r="AA24" s="1246" t="n">
        <f aca="false">Personnel!L24</f>
        <v>0</v>
      </c>
      <c r="AB24" s="1246" t="n">
        <f aca="false">Personnel!M24</f>
        <v>0</v>
      </c>
      <c r="AC24" s="1246" t="n">
        <f aca="false">Personnel!N24</f>
        <v>0</v>
      </c>
      <c r="AD24" s="1247" t="n">
        <f aca="false">Personnel!O24</f>
        <v>0</v>
      </c>
      <c r="AE24" s="1167"/>
      <c r="AF24" s="1139"/>
      <c r="AG24" s="1235"/>
      <c r="AH24" s="1236"/>
      <c r="AI24" s="1217"/>
      <c r="AJ24" s="1217"/>
      <c r="AK24" s="1217"/>
      <c r="AL24" s="1218"/>
      <c r="AM24" s="1189"/>
      <c r="AN24" s="1139"/>
      <c r="AO24" s="1237"/>
      <c r="AP24" s="1221"/>
      <c r="AQ24" s="1221"/>
      <c r="AR24" s="1221"/>
      <c r="AS24" s="1221"/>
      <c r="AT24" s="1221"/>
      <c r="AU24" s="1221"/>
      <c r="AV24" s="1221"/>
      <c r="AW24" s="1221"/>
      <c r="AX24" s="1221"/>
      <c r="AY24" s="1221"/>
      <c r="AZ24" s="1221"/>
      <c r="BA24" s="1222"/>
      <c r="BB24" s="1189"/>
      <c r="BC24" s="1189"/>
      <c r="BD24" s="1139"/>
      <c r="BE24" s="1385"/>
      <c r="BF24" s="1217"/>
      <c r="BG24" s="1217"/>
      <c r="BH24" s="1217"/>
      <c r="BI24" s="1217"/>
      <c r="BJ24" s="1218"/>
      <c r="BK24" s="1198"/>
      <c r="BL24" s="1139"/>
      <c r="BM24" s="1386"/>
      <c r="BN24" s="1245"/>
      <c r="BO24" s="1246"/>
      <c r="BP24" s="1246"/>
      <c r="BQ24" s="1246"/>
      <c r="BR24" s="1246"/>
      <c r="BS24" s="1246"/>
      <c r="BT24" s="1246"/>
      <c r="BU24" s="1246"/>
      <c r="BV24" s="1246"/>
      <c r="BW24" s="1246"/>
      <c r="BX24" s="1246"/>
      <c r="BY24" s="1247"/>
      <c r="BZ24" s="1189"/>
      <c r="CA24" s="1189"/>
      <c r="CB24" s="1139"/>
      <c r="CC24" s="1243" t="s">
        <v>1734</v>
      </c>
      <c r="CD24" s="1217" t="n">
        <f aca="false">'P&amp;L'!BJ49</f>
        <v>-2805242.15432026</v>
      </c>
      <c r="CE24" s="1217" t="n">
        <f aca="false">'P&amp;L'!BK49</f>
        <v>12997560.903587</v>
      </c>
      <c r="CF24" s="1217" t="n">
        <f aca="false">'P&amp;L'!BL49</f>
        <v>53090344.9078398</v>
      </c>
      <c r="CG24" s="1217" t="n">
        <f aca="false">'P&amp;L'!BM49</f>
        <v>60495836.9633747</v>
      </c>
      <c r="CH24" s="1218" t="n">
        <f aca="false">'P&amp;L'!BN49</f>
        <v>67861410.2529576</v>
      </c>
      <c r="CI24" s="1167"/>
      <c r="CJ24" s="1139"/>
      <c r="CK24" s="1244" t="str">
        <f aca="false">CC24</f>
        <v>EBITDA</v>
      </c>
      <c r="CL24" s="1245" t="n">
        <f aca="false">'P&amp;L'!B49</f>
        <v>-395805.9718</v>
      </c>
      <c r="CM24" s="1246" t="n">
        <f aca="false">'P&amp;L'!C49</f>
        <v>-412861.9718</v>
      </c>
      <c r="CN24" s="1246" t="n">
        <f aca="false">'P&amp;L'!D49</f>
        <v>-421260.529631429</v>
      </c>
      <c r="CO24" s="1246" t="n">
        <f aca="false">'P&amp;L'!E49</f>
        <v>-384005.078357812</v>
      </c>
      <c r="CP24" s="1246" t="n">
        <f aca="false">'P&amp;L'!F49</f>
        <v>-346620.184915624</v>
      </c>
      <c r="CQ24" s="1246" t="n">
        <f aca="false">'P&amp;L'!G49</f>
        <v>-293170.398031247</v>
      </c>
      <c r="CR24" s="1246" t="n">
        <f aca="false">'P&amp;L'!H49</f>
        <v>-261040.611146871</v>
      </c>
      <c r="CS24" s="1246" t="n">
        <f aca="false">'P&amp;L'!I49</f>
        <v>-207590.824262494</v>
      </c>
      <c r="CT24" s="1246" t="n">
        <f aca="false">'P&amp;L'!J49</f>
        <v>-132821.037378118</v>
      </c>
      <c r="CU24" s="1246" t="n">
        <f aca="false">'P&amp;L'!K49</f>
        <v>-58051.2504937416</v>
      </c>
      <c r="CV24" s="1246" t="n">
        <f aca="false">'P&amp;L'!L49</f>
        <v>16718.5363906348</v>
      </c>
      <c r="CW24" s="1247" t="n">
        <f aca="false">'P&amp;L'!M49</f>
        <v>91488.3232750107</v>
      </c>
      <c r="CX24" s="1167"/>
      <c r="CY24" s="1157"/>
      <c r="CZ24" s="1248" t="str">
        <f aca="false">'Cash Flow'!A46</f>
        <v>Current Borrowing Repay.</v>
      </c>
      <c r="DA24" s="1249" t="n">
        <f aca="false">'Cash Flow'!BJ46</f>
        <v>0</v>
      </c>
      <c r="DB24" s="1250" t="n">
        <f aca="false">'Cash Flow'!BK46</f>
        <v>0</v>
      </c>
      <c r="DC24" s="1250" t="n">
        <f aca="false">'Cash Flow'!BL46</f>
        <v>0</v>
      </c>
      <c r="DD24" s="1250" t="n">
        <f aca="false">'Cash Flow'!BM46</f>
        <v>0</v>
      </c>
      <c r="DE24" s="1251" t="n">
        <f aca="false">'Cash Flow'!BN46</f>
        <v>0</v>
      </c>
      <c r="DF24" s="1274"/>
      <c r="DG24" s="1139"/>
      <c r="DH24" s="1252" t="str">
        <f aca="false">CZ24</f>
        <v>Current Borrowing Repay.</v>
      </c>
      <c r="DI24" s="1245" t="n">
        <f aca="false">'Cash Flow'!B46</f>
        <v>-0</v>
      </c>
      <c r="DJ24" s="1246" t="n">
        <f aca="false">'Cash Flow'!C46</f>
        <v>-0</v>
      </c>
      <c r="DK24" s="1246" t="n">
        <f aca="false">'Cash Flow'!D46</f>
        <v>-0</v>
      </c>
      <c r="DL24" s="1246" t="n">
        <f aca="false">'Cash Flow'!E46</f>
        <v>-0</v>
      </c>
      <c r="DM24" s="1246" t="n">
        <f aca="false">'Cash Flow'!F46</f>
        <v>-0</v>
      </c>
      <c r="DN24" s="1246" t="n">
        <f aca="false">'Cash Flow'!G46</f>
        <v>-0</v>
      </c>
      <c r="DO24" s="1246" t="n">
        <f aca="false">'Cash Flow'!H46</f>
        <v>-0</v>
      </c>
      <c r="DP24" s="1246" t="n">
        <f aca="false">'Cash Flow'!I46</f>
        <v>-0</v>
      </c>
      <c r="DQ24" s="1246" t="n">
        <f aca="false">'Cash Flow'!J46</f>
        <v>-0</v>
      </c>
      <c r="DR24" s="1246" t="n">
        <f aca="false">'Cash Flow'!K46</f>
        <v>-0</v>
      </c>
      <c r="DS24" s="1246" t="n">
        <f aca="false">'Cash Flow'!L46</f>
        <v>-0</v>
      </c>
      <c r="DT24" s="1247" t="n">
        <f aca="false">'Cash Flow'!M46</f>
        <v>-0</v>
      </c>
      <c r="DU24" s="1167"/>
      <c r="DV24" s="1157"/>
      <c r="DW24" s="1194" t="s">
        <v>1506</v>
      </c>
      <c r="DX24" s="1208" t="n">
        <f aca="false">'Balance Sheet'!BJ24</f>
        <v>19689668.3665807</v>
      </c>
      <c r="DY24" s="1205" t="n">
        <f aca="false">'Balance Sheet'!BK24</f>
        <v>21199499.1365135</v>
      </c>
      <c r="DZ24" s="1205" t="n">
        <f aca="false">'Balance Sheet'!BL24</f>
        <v>19293936.6778682</v>
      </c>
      <c r="EA24" s="1205" t="n">
        <f aca="false">'Balance Sheet'!BM24</f>
        <v>17270843.2964025</v>
      </c>
      <c r="EB24" s="1206" t="n">
        <f aca="false">'Balance Sheet'!BN24</f>
        <v>15122969.9419705</v>
      </c>
      <c r="EC24" s="1167"/>
      <c r="ED24" s="1157"/>
      <c r="EE24" s="1203" t="str">
        <f aca="false">'Balance Sheet'!A24</f>
        <v>Long-term Liabilities</v>
      </c>
      <c r="EF24" s="1191" t="n">
        <f aca="false">'Balance Sheet'!B24</f>
        <v>0</v>
      </c>
      <c r="EG24" s="1192" t="n">
        <f aca="false">'Balance Sheet'!C24</f>
        <v>0</v>
      </c>
      <c r="EH24" s="1192" t="n">
        <f aca="false">'Balance Sheet'!D24</f>
        <v>0</v>
      </c>
      <c r="EI24" s="1192" t="n">
        <f aca="false">'Balance Sheet'!E24</f>
        <v>0</v>
      </c>
      <c r="EJ24" s="1192" t="n">
        <f aca="false">'Balance Sheet'!F24</f>
        <v>0</v>
      </c>
      <c r="EK24" s="1192" t="n">
        <f aca="false">'Balance Sheet'!G24</f>
        <v>0</v>
      </c>
      <c r="EL24" s="1192" t="n">
        <f aca="false">'Balance Sheet'!H24</f>
        <v>5103288.29103204</v>
      </c>
      <c r="EM24" s="1192" t="n">
        <f aca="false">'Balance Sheet'!I24</f>
        <v>8611661.49449877</v>
      </c>
      <c r="EN24" s="1192" t="n">
        <f aca="false">'Balance Sheet'!J24</f>
        <v>11408199.2217039</v>
      </c>
      <c r="EO24" s="1192" t="n">
        <f aca="false">'Balance Sheet'!K24</f>
        <v>14400306.7429422</v>
      </c>
      <c r="EP24" s="1192" t="n">
        <f aca="false">'Balance Sheet'!L24</f>
        <v>16732220.0747334</v>
      </c>
      <c r="EQ24" s="1193" t="n">
        <f aca="false">'Balance Sheet'!M24</f>
        <v>19689668.3665807</v>
      </c>
      <c r="ER24" s="1167"/>
      <c r="ES24" s="1163"/>
      <c r="ET24" s="1355"/>
      <c r="EU24" s="1189"/>
      <c r="EV24" s="1189"/>
      <c r="EW24" s="1189"/>
      <c r="EX24" s="1189"/>
      <c r="EY24" s="1281"/>
      <c r="EZ24" s="1167"/>
      <c r="FA24" s="1165"/>
      <c r="FB24" s="1216" t="s">
        <v>1914</v>
      </c>
      <c r="FC24" s="1217" t="n">
        <f aca="false">'Sensitivity Analysis'!BK40</f>
        <v>6314852.59045001</v>
      </c>
      <c r="FD24" s="1217" t="n">
        <f aca="false">'Sensitivity Analysis'!BL40</f>
        <v>12442622.1826446</v>
      </c>
      <c r="FE24" s="1217" t="n">
        <f aca="false">'Sensitivity Analysis'!BM40</f>
        <v>50320991.6607771</v>
      </c>
      <c r="FF24" s="1217" t="n">
        <f aca="false">'Sensitivity Analysis'!BN40</f>
        <v>94165347.0302237</v>
      </c>
      <c r="FG24" s="1218" t="n">
        <f aca="false">'Sensitivity Analysis'!BO40</f>
        <v>143935769.525032</v>
      </c>
      <c r="FH24" s="1167"/>
      <c r="FI24" s="1167"/>
      <c r="FJ24" s="1139"/>
      <c r="FK24" s="1216"/>
      <c r="FL24" s="1217"/>
      <c r="FM24" s="1217"/>
      <c r="FN24" s="1218"/>
      <c r="FO24" s="1167"/>
      <c r="FP24" s="1174"/>
      <c r="FQ24" s="1355"/>
      <c r="FR24" s="1167"/>
      <c r="FS24" s="1167"/>
      <c r="FT24" s="1167"/>
      <c r="FU24" s="1167"/>
      <c r="FV24" s="1167"/>
      <c r="FW24" s="1167"/>
      <c r="FX24" s="1173"/>
      <c r="FY24" s="1174"/>
      <c r="FZ24" s="1175"/>
      <c r="GA24" s="1258"/>
      <c r="GB24" s="1217"/>
      <c r="GC24" s="1217"/>
      <c r="GD24" s="1217"/>
      <c r="GE24" s="1217"/>
      <c r="GF24" s="1218"/>
      <c r="GG24" s="1189"/>
      <c r="GH24" s="1189"/>
      <c r="GI24" s="1174"/>
      <c r="GJ24" s="1355"/>
      <c r="GK24" s="1167"/>
      <c r="GL24" s="1167"/>
      <c r="GM24" s="1167"/>
      <c r="GN24" s="1167"/>
      <c r="GO24" s="1167"/>
      <c r="GP24" s="1167"/>
      <c r="GQ24" s="1167"/>
      <c r="GR24" s="1167"/>
      <c r="GS24" s="1356"/>
      <c r="GT24" s="1355"/>
      <c r="GU24" s="1167"/>
      <c r="GV24" s="1167"/>
      <c r="GW24" s="1167"/>
      <c r="GX24" s="1167"/>
      <c r="GY24" s="1167"/>
      <c r="GZ24" s="1167"/>
      <c r="HA24" s="1167"/>
      <c r="HB24" s="1167"/>
      <c r="HC24" s="1167"/>
      <c r="HD24" s="1167"/>
      <c r="HE24" s="1167"/>
      <c r="HF24" s="1167"/>
      <c r="HG24" s="1167"/>
      <c r="HH24" s="1167"/>
      <c r="HI24" s="1167"/>
      <c r="HJ24" s="1174"/>
      <c r="HK24" s="1174"/>
      <c r="HL24" s="1167"/>
      <c r="HM24" s="1167"/>
      <c r="HN24" s="1167"/>
      <c r="HO24" s="1167"/>
      <c r="HP24" s="1167"/>
      <c r="HQ24" s="1167"/>
    </row>
    <row r="25" customFormat="false" ht="12.75" hidden="false" customHeight="true" outlineLevel="0" collapsed="false">
      <c r="A25" s="1139"/>
      <c r="B25" s="1300" t="str">
        <f aca="false">'Sources &amp; Uses'!A31</f>
        <v>Equipment</v>
      </c>
      <c r="C25" s="1184" t="n">
        <f aca="false">'Sources &amp; Uses'!B31</f>
        <v>23461850.4</v>
      </c>
      <c r="D25" s="1167"/>
      <c r="E25" s="1139"/>
      <c r="F25" s="1183"/>
      <c r="G25" s="1184"/>
      <c r="H25" s="1167"/>
      <c r="I25" s="1139"/>
      <c r="J25" s="1226" t="n">
        <f aca="false">Personnel!A25</f>
        <v>0</v>
      </c>
      <c r="K25" s="1236" t="n">
        <f aca="false">Personnel!BL25</f>
        <v>0</v>
      </c>
      <c r="L25" s="1217" t="n">
        <f aca="false">Personnel!BM25</f>
        <v>0</v>
      </c>
      <c r="M25" s="1217" t="n">
        <f aca="false">Personnel!BN25</f>
        <v>0</v>
      </c>
      <c r="N25" s="1217" t="n">
        <f aca="false">Personnel!BO25</f>
        <v>0</v>
      </c>
      <c r="O25" s="1218" t="n">
        <f aca="false">Personnel!BP25</f>
        <v>0</v>
      </c>
      <c r="P25" s="1189"/>
      <c r="Q25" s="1146"/>
      <c r="R25" s="1231" t="n">
        <f aca="false">Personnel!A25</f>
        <v>0</v>
      </c>
      <c r="S25" s="1245" t="n">
        <f aca="false">Personnel!D25</f>
        <v>0</v>
      </c>
      <c r="T25" s="1246" t="n">
        <f aca="false">Personnel!E25</f>
        <v>0</v>
      </c>
      <c r="U25" s="1246" t="n">
        <f aca="false">Personnel!F25</f>
        <v>0</v>
      </c>
      <c r="V25" s="1246" t="n">
        <f aca="false">Personnel!G25</f>
        <v>0</v>
      </c>
      <c r="W25" s="1246" t="n">
        <f aca="false">Personnel!H25</f>
        <v>0</v>
      </c>
      <c r="X25" s="1246" t="n">
        <f aca="false">Personnel!I25</f>
        <v>0</v>
      </c>
      <c r="Y25" s="1246" t="n">
        <f aca="false">Personnel!J25</f>
        <v>0</v>
      </c>
      <c r="Z25" s="1246" t="n">
        <f aca="false">Personnel!K25</f>
        <v>0</v>
      </c>
      <c r="AA25" s="1246" t="n">
        <f aca="false">Personnel!L25</f>
        <v>0</v>
      </c>
      <c r="AB25" s="1246" t="n">
        <f aca="false">Personnel!M25</f>
        <v>0</v>
      </c>
      <c r="AC25" s="1246" t="n">
        <f aca="false">Personnel!N25</f>
        <v>0</v>
      </c>
      <c r="AD25" s="1247" t="n">
        <f aca="false">Personnel!O25</f>
        <v>0</v>
      </c>
      <c r="AE25" s="1167"/>
      <c r="AF25" s="1139"/>
      <c r="AG25" s="1235"/>
      <c r="AH25" s="1236"/>
      <c r="AI25" s="1217"/>
      <c r="AJ25" s="1217"/>
      <c r="AK25" s="1217"/>
      <c r="AL25" s="1218"/>
      <c r="AM25" s="1189"/>
      <c r="AN25" s="1139"/>
      <c r="AO25" s="1237"/>
      <c r="AP25" s="1221"/>
      <c r="AQ25" s="1221"/>
      <c r="AR25" s="1221"/>
      <c r="AS25" s="1221"/>
      <c r="AT25" s="1221"/>
      <c r="AU25" s="1221"/>
      <c r="AV25" s="1221"/>
      <c r="AW25" s="1221"/>
      <c r="AX25" s="1221"/>
      <c r="AY25" s="1221"/>
      <c r="AZ25" s="1221"/>
      <c r="BA25" s="1222"/>
      <c r="BB25" s="1189"/>
      <c r="BC25" s="1189"/>
      <c r="BD25" s="1139"/>
      <c r="BE25" s="1416"/>
      <c r="BF25" s="1277"/>
      <c r="BG25" s="1277"/>
      <c r="BH25" s="1277"/>
      <c r="BI25" s="1277"/>
      <c r="BJ25" s="1278"/>
      <c r="BK25" s="1198"/>
      <c r="BL25" s="1139"/>
      <c r="BM25" s="1417"/>
      <c r="BN25" s="1296"/>
      <c r="BO25" s="1297"/>
      <c r="BP25" s="1297"/>
      <c r="BQ25" s="1297"/>
      <c r="BR25" s="1297"/>
      <c r="BS25" s="1297"/>
      <c r="BT25" s="1297"/>
      <c r="BU25" s="1297"/>
      <c r="BV25" s="1297"/>
      <c r="BW25" s="1297"/>
      <c r="BX25" s="1297"/>
      <c r="BY25" s="1298"/>
      <c r="BZ25" s="1189"/>
      <c r="CA25" s="1189"/>
      <c r="CB25" s="1139"/>
      <c r="CC25" s="1243" t="s">
        <v>1732</v>
      </c>
      <c r="CD25" s="1217" t="n">
        <f aca="false">'P&amp;L'!BJ43</f>
        <v>382106.552124552</v>
      </c>
      <c r="CE25" s="1217" t="n">
        <f aca="false">'P&amp;L'!BK43</f>
        <v>1323789.48697336</v>
      </c>
      <c r="CF25" s="1217" t="n">
        <f aca="false">'P&amp;L'!BL43</f>
        <v>1220133.23082016</v>
      </c>
      <c r="CG25" s="1217" t="n">
        <f aca="false">'P&amp;L'!BM43</f>
        <v>1102602.30799978</v>
      </c>
      <c r="CH25" s="1218" t="n">
        <f aca="false">'P&amp;L'!BN43</f>
        <v>977822.335033428</v>
      </c>
      <c r="CI25" s="1167"/>
      <c r="CJ25" s="1139"/>
      <c r="CK25" s="1244" t="str">
        <f aca="false">'P&amp;L'!A43</f>
        <v>Interest Expense</v>
      </c>
      <c r="CL25" s="1245" t="n">
        <f aca="false">'P&amp;L'!B43</f>
        <v>0</v>
      </c>
      <c r="CM25" s="1246" t="n">
        <f aca="false">'P&amp;L'!C43</f>
        <v>0</v>
      </c>
      <c r="CN25" s="1246" t="n">
        <f aca="false">'P&amp;L'!D43</f>
        <v>0</v>
      </c>
      <c r="CO25" s="1246" t="n">
        <f aca="false">'P&amp;L'!E43</f>
        <v>0</v>
      </c>
      <c r="CP25" s="1246" t="n">
        <f aca="false">'P&amp;L'!F43</f>
        <v>0</v>
      </c>
      <c r="CQ25" s="1246" t="n">
        <f aca="false">'P&amp;L'!G43</f>
        <v>0</v>
      </c>
      <c r="CR25" s="1246" t="n">
        <f aca="false">'P&amp;L'!H43</f>
        <v>25673.1</v>
      </c>
      <c r="CS25" s="1246" t="n">
        <f aca="false">'P&amp;L'!I43</f>
        <v>43324.4144551602</v>
      </c>
      <c r="CT25" s="1246" t="n">
        <f aca="false">'P&amp;L'!J43</f>
        <v>57395.9224724938</v>
      </c>
      <c r="CU25" s="1246" t="n">
        <f aca="false">'P&amp;L'!K43</f>
        <v>72452.2751085195</v>
      </c>
      <c r="CV25" s="1246" t="n">
        <f aca="false">'P&amp;L'!L43</f>
        <v>84188.4607147111</v>
      </c>
      <c r="CW25" s="1247" t="n">
        <f aca="false">'P&amp;L'!M43</f>
        <v>99072.379373667</v>
      </c>
      <c r="CX25" s="1167"/>
      <c r="CY25" s="1157"/>
      <c r="CZ25" s="1248" t="str">
        <f aca="false">'Cash Flow'!A47</f>
        <v>New Long Term Liabilities/Equipment</v>
      </c>
      <c r="DA25" s="1249" t="n">
        <f aca="false">'Cash Flow'!BJ47</f>
        <v>20165634.6</v>
      </c>
      <c r="DB25" s="1250" t="n">
        <f aca="false">'Cash Flow'!BK47</f>
        <v>3296215.8</v>
      </c>
      <c r="DC25" s="1250" t="n">
        <f aca="false">'Cash Flow'!BL47</f>
        <v>0</v>
      </c>
      <c r="DD25" s="1250" t="n">
        <f aca="false">'Cash Flow'!BM47</f>
        <v>0</v>
      </c>
      <c r="DE25" s="1251" t="n">
        <f aca="false">'Cash Flow'!BN47</f>
        <v>0</v>
      </c>
      <c r="DF25" s="1274"/>
      <c r="DG25" s="1139"/>
      <c r="DH25" s="1252" t="str">
        <f aca="false">CZ25</f>
        <v>New Long Term Liabilities/Equipment</v>
      </c>
      <c r="DI25" s="1245" t="n">
        <f aca="false">'Cash Flow'!B47</f>
        <v>0</v>
      </c>
      <c r="DJ25" s="1246" t="n">
        <f aca="false">'Cash Flow'!C47</f>
        <v>0</v>
      </c>
      <c r="DK25" s="1246" t="n">
        <f aca="false">'Cash Flow'!D47</f>
        <v>0</v>
      </c>
      <c r="DL25" s="1246" t="n">
        <f aca="false">'Cash Flow'!E47</f>
        <v>0</v>
      </c>
      <c r="DM25" s="1246" t="n">
        <f aca="false">'Cash Flow'!F47</f>
        <v>0</v>
      </c>
      <c r="DN25" s="1246" t="n">
        <f aca="false">'Cash Flow'!G47</f>
        <v>0</v>
      </c>
      <c r="DO25" s="1246" t="n">
        <f aca="false">'Cash Flow'!H47</f>
        <v>5134620</v>
      </c>
      <c r="DP25" s="1246" t="n">
        <f aca="false">'Cash Flow'!I47</f>
        <v>3561594.6</v>
      </c>
      <c r="DQ25" s="1246" t="n">
        <f aca="false">'Cash Flow'!J47</f>
        <v>2867523</v>
      </c>
      <c r="DR25" s="1246" t="n">
        <f aca="false">'Cash Flow'!K47</f>
        <v>3082255.8</v>
      </c>
      <c r="DS25" s="1246" t="n">
        <f aca="false">'Cash Flow'!L47</f>
        <v>2437385.4</v>
      </c>
      <c r="DT25" s="1247" t="n">
        <f aca="false">'Cash Flow'!M47</f>
        <v>3082255.8</v>
      </c>
      <c r="DU25" s="1167"/>
      <c r="DV25" s="1157"/>
      <c r="DW25" s="1358" t="s">
        <v>1805</v>
      </c>
      <c r="DX25" s="1418" t="n">
        <f aca="false">'Balance Sheet'!BJ25</f>
        <v>21814888.4509676</v>
      </c>
      <c r="DY25" s="1310" t="n">
        <f aca="false">'Balance Sheet'!BK25</f>
        <v>27037274.5952698</v>
      </c>
      <c r="DZ25" s="1310" t="n">
        <f aca="false">'Balance Sheet'!BL25</f>
        <v>29375123.4376383</v>
      </c>
      <c r="EA25" s="1310" t="n">
        <f aca="false">'Balance Sheet'!BM25</f>
        <v>27971022.2080802</v>
      </c>
      <c r="EB25" s="1311" t="n">
        <f aca="false">'Balance Sheet'!BN25</f>
        <v>26444409.4027909</v>
      </c>
      <c r="EC25" s="1167"/>
      <c r="ED25" s="1157"/>
      <c r="EE25" s="1312" t="str">
        <f aca="false">'Balance Sheet'!A25</f>
        <v>Total Liabilities</v>
      </c>
      <c r="EF25" s="1296" t="n">
        <f aca="false">'Balance Sheet'!B25</f>
        <v>390383.972186301</v>
      </c>
      <c r="EG25" s="1297" t="n">
        <f aca="false">'Balance Sheet'!C25</f>
        <v>407206.328350685</v>
      </c>
      <c r="EH25" s="1297" t="n">
        <f aca="false">'Balance Sheet'!D25</f>
        <v>416394.413883053</v>
      </c>
      <c r="EI25" s="1297" t="n">
        <f aca="false">'Balance Sheet'!E25</f>
        <v>511103.479785396</v>
      </c>
      <c r="EJ25" s="1297" t="n">
        <f aca="false">'Balance Sheet'!F25</f>
        <v>606589.453137915</v>
      </c>
      <c r="EK25" s="1297" t="n">
        <f aca="false">'Balance Sheet'!G25</f>
        <v>818589.345048432</v>
      </c>
      <c r="EL25" s="1297" t="n">
        <f aca="false">'Balance Sheet'!H25</f>
        <v>6180226.8868951</v>
      </c>
      <c r="EM25" s="1297" t="n">
        <f aca="false">'Balance Sheet'!I25</f>
        <v>9918009.49789935</v>
      </c>
      <c r="EN25" s="1297" t="n">
        <f aca="false">'Balance Sheet'!J25</f>
        <v>12919397.9194431</v>
      </c>
      <c r="EO25" s="1297" t="n">
        <f aca="false">'Balance Sheet'!K25</f>
        <v>16117327.4886165</v>
      </c>
      <c r="EP25" s="1297" t="n">
        <f aca="false">'Balance Sheet'!L25</f>
        <v>18651788.183053</v>
      </c>
      <c r="EQ25" s="1298" t="n">
        <f aca="false">'Balance Sheet'!M25</f>
        <v>21814888.4509676</v>
      </c>
      <c r="ER25" s="1167"/>
      <c r="ES25" s="1163"/>
      <c r="ET25" s="1212" t="s">
        <v>1932</v>
      </c>
      <c r="EU25" s="1186" t="n">
        <f aca="false">DA28</f>
        <v>6344386.38122366</v>
      </c>
      <c r="EV25" s="1187" t="n">
        <f aca="false">DB28</f>
        <v>7591274.12745243</v>
      </c>
      <c r="EW25" s="1187" t="n">
        <f aca="false">DC28</f>
        <v>40237740.4209782</v>
      </c>
      <c r="EX25" s="1187" t="n">
        <f aca="false">DD28</f>
        <v>48287275.6655105</v>
      </c>
      <c r="EY25" s="1188" t="n">
        <f aca="false">DE28</f>
        <v>54531564.3629462</v>
      </c>
      <c r="EZ25" s="1167"/>
      <c r="FA25" s="1165"/>
      <c r="FB25" s="1216" t="s">
        <v>1916</v>
      </c>
      <c r="FC25" s="1217" t="n">
        <f aca="false">'Sensitivity Analysis'!BK42</f>
        <v>-4005444.36142054</v>
      </c>
      <c r="FD25" s="1217" t="n">
        <f aca="false">'Sensitivity Analysis'!BL42</f>
        <v>2122325.230774</v>
      </c>
      <c r="FE25" s="1217" t="n">
        <f aca="false">'Sensitivity Analysis'!BM42</f>
        <v>40000694.7089066</v>
      </c>
      <c r="FF25" s="1217" t="n">
        <f aca="false">'Sensitivity Analysis'!BN42</f>
        <v>83845050.0783531</v>
      </c>
      <c r="FG25" s="1218" t="n">
        <f aca="false">'Sensitivity Analysis'!BO42</f>
        <v>133615472.573162</v>
      </c>
      <c r="FH25" s="1167"/>
      <c r="FI25" s="1167"/>
      <c r="FJ25" s="1139"/>
      <c r="FK25" s="1216" t="str">
        <f aca="false">Existing!A21</f>
        <v>Current Liabilities</v>
      </c>
      <c r="FL25" s="1217"/>
      <c r="FM25" s="1217"/>
      <c r="FN25" s="1218"/>
      <c r="FO25" s="1167"/>
      <c r="FP25" s="1174"/>
      <c r="FQ25" s="1355"/>
      <c r="FR25" s="1167"/>
      <c r="FS25" s="1167"/>
      <c r="FT25" s="1167"/>
      <c r="FU25" s="1167"/>
      <c r="FV25" s="1167"/>
      <c r="FW25" s="1167"/>
      <c r="FX25" s="1173"/>
      <c r="FY25" s="1174"/>
      <c r="FZ25" s="1175"/>
      <c r="GA25" s="1258"/>
      <c r="GB25" s="1217"/>
      <c r="GC25" s="1217"/>
      <c r="GD25" s="1217"/>
      <c r="GE25" s="1217"/>
      <c r="GF25" s="1218"/>
      <c r="GG25" s="1189"/>
      <c r="GH25" s="1189"/>
      <c r="GI25" s="1174"/>
      <c r="GJ25" s="1355"/>
      <c r="GK25" s="1167"/>
      <c r="GL25" s="1167"/>
      <c r="GM25" s="1167"/>
      <c r="GN25" s="1167"/>
      <c r="GO25" s="1167"/>
      <c r="GP25" s="1167"/>
      <c r="GQ25" s="1167"/>
      <c r="GR25" s="1167"/>
      <c r="GS25" s="1356"/>
      <c r="GT25" s="1355"/>
      <c r="GU25" s="1167"/>
      <c r="GV25" s="1167"/>
      <c r="GW25" s="1167"/>
      <c r="GX25" s="1167"/>
      <c r="GY25" s="1167"/>
      <c r="GZ25" s="1167"/>
      <c r="HA25" s="1167"/>
      <c r="HB25" s="1167"/>
      <c r="HC25" s="1167"/>
      <c r="HD25" s="1167"/>
      <c r="HE25" s="1167"/>
      <c r="HF25" s="1167"/>
      <c r="HG25" s="1167"/>
      <c r="HH25" s="1167"/>
      <c r="HI25" s="1167"/>
      <c r="HJ25" s="1174"/>
      <c r="HK25" s="1174"/>
      <c r="HL25" s="1167"/>
      <c r="HM25" s="1167"/>
      <c r="HN25" s="1167"/>
      <c r="HO25" s="1167"/>
      <c r="HP25" s="1167"/>
      <c r="HQ25" s="1167"/>
    </row>
    <row r="26" customFormat="false" ht="12.75" hidden="false" customHeight="true" outlineLevel="0" collapsed="false">
      <c r="A26" s="1139"/>
      <c r="B26" s="1300" t="str">
        <f aca="false">'Sources &amp; Uses'!A32</f>
        <v>Structures</v>
      </c>
      <c r="C26" s="1184" t="n">
        <f aca="false">'Sources &amp; Uses'!B32</f>
        <v>0</v>
      </c>
      <c r="D26" s="1167"/>
      <c r="E26" s="1139"/>
      <c r="F26" s="1183"/>
      <c r="G26" s="1184"/>
      <c r="H26" s="1167"/>
      <c r="I26" s="1139"/>
      <c r="J26" s="1226" t="n">
        <f aca="false">Personnel!A26</f>
        <v>0</v>
      </c>
      <c r="K26" s="1236" t="n">
        <f aca="false">Personnel!BL26</f>
        <v>0</v>
      </c>
      <c r="L26" s="1217" t="n">
        <f aca="false">Personnel!BM26</f>
        <v>0</v>
      </c>
      <c r="M26" s="1217" t="n">
        <f aca="false">Personnel!BN26</f>
        <v>0</v>
      </c>
      <c r="N26" s="1217" t="n">
        <f aca="false">Personnel!BO26</f>
        <v>0</v>
      </c>
      <c r="O26" s="1218" t="n">
        <f aca="false">Personnel!BP26</f>
        <v>0</v>
      </c>
      <c r="P26" s="1189"/>
      <c r="Q26" s="1146"/>
      <c r="R26" s="1231" t="n">
        <f aca="false">Personnel!A26</f>
        <v>0</v>
      </c>
      <c r="S26" s="1245" t="n">
        <f aca="false">Personnel!D26</f>
        <v>0</v>
      </c>
      <c r="T26" s="1246" t="n">
        <f aca="false">Personnel!E26</f>
        <v>0</v>
      </c>
      <c r="U26" s="1246" t="n">
        <f aca="false">Personnel!F26</f>
        <v>0</v>
      </c>
      <c r="V26" s="1246" t="n">
        <f aca="false">Personnel!G26</f>
        <v>0</v>
      </c>
      <c r="W26" s="1246" t="n">
        <f aca="false">Personnel!H26</f>
        <v>0</v>
      </c>
      <c r="X26" s="1246" t="n">
        <f aca="false">Personnel!I26</f>
        <v>0</v>
      </c>
      <c r="Y26" s="1246" t="n">
        <f aca="false">Personnel!J26</f>
        <v>0</v>
      </c>
      <c r="Z26" s="1246" t="n">
        <f aca="false">Personnel!K26</f>
        <v>0</v>
      </c>
      <c r="AA26" s="1246" t="n">
        <f aca="false">Personnel!L26</f>
        <v>0</v>
      </c>
      <c r="AB26" s="1246" t="n">
        <f aca="false">Personnel!M26</f>
        <v>0</v>
      </c>
      <c r="AC26" s="1246" t="n">
        <f aca="false">Personnel!N26</f>
        <v>0</v>
      </c>
      <c r="AD26" s="1247" t="n">
        <f aca="false">Personnel!O26</f>
        <v>0</v>
      </c>
      <c r="AE26" s="1167"/>
      <c r="AF26" s="1139"/>
      <c r="AG26" s="1312" t="str">
        <f aca="false">Revenue!A150</f>
        <v>Subtotal Cost of Revenue</v>
      </c>
      <c r="AH26" s="1340" t="n">
        <f aca="false">Revenue!BJ150</f>
        <v>5108011.13347264</v>
      </c>
      <c r="AI26" s="1341" t="n">
        <f aca="false">Revenue!BK150</f>
        <v>25568044.7694644</v>
      </c>
      <c r="AJ26" s="1341" t="n">
        <f aca="false">Revenue!BL150</f>
        <v>64654825.8538181</v>
      </c>
      <c r="AK26" s="1341" t="n">
        <f aca="false">Revenue!BM150</f>
        <v>67593681.5744462</v>
      </c>
      <c r="AL26" s="1342" t="n">
        <f aca="false">Revenue!BN150</f>
        <v>70532537.2950743</v>
      </c>
      <c r="AM26" s="1189"/>
      <c r="AN26" s="1139"/>
      <c r="AO26" s="1343" t="str">
        <f aca="false">Revenue!A150</f>
        <v>Subtotal Cost of Revenue</v>
      </c>
      <c r="AP26" s="1221" t="n">
        <f aca="false">Revenue!B150</f>
        <v>0</v>
      </c>
      <c r="AQ26" s="1221" t="n">
        <f aca="false">Revenue!C150</f>
        <v>0</v>
      </c>
      <c r="AR26" s="1221" t="n">
        <f aca="false">Revenue!D150</f>
        <v>604.269831428572</v>
      </c>
      <c r="AS26" s="1221" t="n">
        <f aca="false">Revenue!E150</f>
        <v>69972.7552530499</v>
      </c>
      <c r="AT26" s="1221" t="n">
        <f aca="false">Revenue!F150</f>
        <v>139945.5105061</v>
      </c>
      <c r="AU26" s="1221" t="n">
        <f aca="false">Revenue!G150</f>
        <v>279891.0210122</v>
      </c>
      <c r="AV26" s="1221" t="n">
        <f aca="false">Revenue!H150</f>
        <v>419836.5315183</v>
      </c>
      <c r="AW26" s="1221" t="n">
        <f aca="false">Revenue!I150</f>
        <v>559782.042024399</v>
      </c>
      <c r="AX26" s="1221" t="n">
        <f aca="false">Revenue!J150</f>
        <v>699727.552530499</v>
      </c>
      <c r="AY26" s="1221" t="n">
        <f aca="false">Revenue!K150</f>
        <v>839673.063036599</v>
      </c>
      <c r="AZ26" s="1221" t="n">
        <f aca="false">Revenue!L150</f>
        <v>979618.573542699</v>
      </c>
      <c r="BA26" s="1222" t="n">
        <f aca="false">Revenue!M150</f>
        <v>1119564.0840488</v>
      </c>
      <c r="BB26" s="1189"/>
      <c r="BC26" s="1189"/>
      <c r="BD26" s="1139"/>
      <c r="BE26" s="1419"/>
      <c r="BF26" s="1186"/>
      <c r="BG26" s="1187"/>
      <c r="BH26" s="1187"/>
      <c r="BI26" s="1187"/>
      <c r="BJ26" s="1188"/>
      <c r="BK26" s="1189"/>
      <c r="BL26" s="1139"/>
      <c r="BM26" s="1420"/>
      <c r="BN26" s="1191"/>
      <c r="BO26" s="1192"/>
      <c r="BP26" s="1192"/>
      <c r="BQ26" s="1192"/>
      <c r="BR26" s="1192"/>
      <c r="BS26" s="1192"/>
      <c r="BT26" s="1192"/>
      <c r="BU26" s="1192"/>
      <c r="BV26" s="1192"/>
      <c r="BW26" s="1192"/>
      <c r="BX26" s="1192"/>
      <c r="BY26" s="1193"/>
      <c r="BZ26" s="1189"/>
      <c r="CA26" s="1189"/>
      <c r="CB26" s="1139"/>
      <c r="CC26" s="1267" t="s">
        <v>1733</v>
      </c>
      <c r="CD26" s="1277" t="n">
        <f aca="false">'P&amp;L'!BJ44</f>
        <v>0</v>
      </c>
      <c r="CE26" s="1277" t="n">
        <f aca="false">'P&amp;L'!BK44</f>
        <v>930519.83978821</v>
      </c>
      <c r="CF26" s="1277" t="n">
        <f aca="false">'P&amp;L'!BL44</f>
        <v>7428603.99555295</v>
      </c>
      <c r="CG26" s="1277" t="n">
        <f aca="false">'P&amp;L'!BM44</f>
        <v>8557057.44230624</v>
      </c>
      <c r="CH26" s="1278" t="n">
        <f aca="false">'P&amp;L'!BN44</f>
        <v>9680610.43168863</v>
      </c>
      <c r="CI26" s="1167"/>
      <c r="CJ26" s="1139"/>
      <c r="CK26" s="1270" t="str">
        <f aca="false">'P&amp;L'!A44</f>
        <v>Taxes Incurred</v>
      </c>
      <c r="CL26" s="1296" t="n">
        <f aca="false">'P&amp;L'!B44</f>
        <v>0</v>
      </c>
      <c r="CM26" s="1297" t="n">
        <f aca="false">'P&amp;L'!C44</f>
        <v>0</v>
      </c>
      <c r="CN26" s="1297" t="n">
        <f aca="false">'P&amp;L'!D44</f>
        <v>0</v>
      </c>
      <c r="CO26" s="1297" t="n">
        <f aca="false">'P&amp;L'!E44</f>
        <v>0</v>
      </c>
      <c r="CP26" s="1297" t="n">
        <f aca="false">'P&amp;L'!F44</f>
        <v>0</v>
      </c>
      <c r="CQ26" s="1297" t="n">
        <f aca="false">'P&amp;L'!G44</f>
        <v>0</v>
      </c>
      <c r="CR26" s="1297" t="n">
        <f aca="false">'P&amp;L'!H44</f>
        <v>0</v>
      </c>
      <c r="CS26" s="1297" t="n">
        <f aca="false">'P&amp;L'!I44</f>
        <v>0</v>
      </c>
      <c r="CT26" s="1297" t="n">
        <f aca="false">'P&amp;L'!J44</f>
        <v>0</v>
      </c>
      <c r="CU26" s="1297" t="n">
        <f aca="false">'P&amp;L'!K44</f>
        <v>0</v>
      </c>
      <c r="CV26" s="1297" t="n">
        <f aca="false">'P&amp;L'!L44</f>
        <v>0</v>
      </c>
      <c r="CW26" s="1298" t="n">
        <f aca="false">'P&amp;L'!M44</f>
        <v>0</v>
      </c>
      <c r="CX26" s="1167"/>
      <c r="CY26" s="1157"/>
      <c r="CZ26" s="1248" t="str">
        <f aca="false">'Cash Flow'!A48</f>
        <v>Long Term Liability Repay</v>
      </c>
      <c r="DA26" s="1249" t="n">
        <f aca="false">'Cash Flow'!BJ48</f>
        <v>-475966.233419325</v>
      </c>
      <c r="DB26" s="1250" t="n">
        <f aca="false">'Cash Flow'!BK48</f>
        <v>-1786385.03006718</v>
      </c>
      <c r="DC26" s="1250" t="n">
        <f aca="false">'Cash Flow'!BL48</f>
        <v>-1905562.45864531</v>
      </c>
      <c r="DD26" s="1250" t="n">
        <f aca="false">'Cash Flow'!BM48</f>
        <v>-2023093.38146568</v>
      </c>
      <c r="DE26" s="1251" t="n">
        <f aca="false">'Cash Flow'!BN48</f>
        <v>-2147873.35443204</v>
      </c>
      <c r="DF26" s="1167"/>
      <c r="DG26" s="1139"/>
      <c r="DH26" s="1252" t="str">
        <f aca="false">CZ26</f>
        <v>Long Term Liability Repay</v>
      </c>
      <c r="DI26" s="1245" t="n">
        <f aca="false">'Cash Flow'!B48</f>
        <v>-0</v>
      </c>
      <c r="DJ26" s="1246" t="n">
        <f aca="false">'Cash Flow'!C48</f>
        <v>-0</v>
      </c>
      <c r="DK26" s="1246" t="n">
        <f aca="false">'Cash Flow'!D48</f>
        <v>-0</v>
      </c>
      <c r="DL26" s="1246" t="n">
        <f aca="false">'Cash Flow'!E48</f>
        <v>-0</v>
      </c>
      <c r="DM26" s="1246" t="n">
        <f aca="false">'Cash Flow'!F48</f>
        <v>-0</v>
      </c>
      <c r="DN26" s="1246" t="n">
        <f aca="false">'Cash Flow'!G48</f>
        <v>-0</v>
      </c>
      <c r="DO26" s="1246" t="n">
        <f aca="false">'Cash Flow'!H48</f>
        <v>-31331.7089679632</v>
      </c>
      <c r="DP26" s="1246" t="n">
        <f aca="false">'Cash Flow'!I48</f>
        <v>-53221.3965332699</v>
      </c>
      <c r="DQ26" s="1246" t="n">
        <f aca="false">'Cash Flow'!J48</f>
        <v>-70985.2727948587</v>
      </c>
      <c r="DR26" s="1246" t="n">
        <f aca="false">'Cash Flow'!K48</f>
        <v>-90148.278761689</v>
      </c>
      <c r="DS26" s="1246" t="n">
        <f aca="false">'Cash Flow'!L48</f>
        <v>-105472.068208822</v>
      </c>
      <c r="DT26" s="1247" t="n">
        <f aca="false">'Cash Flow'!M48</f>
        <v>-124807.508152722</v>
      </c>
      <c r="DU26" s="1167"/>
      <c r="DV26" s="1157"/>
      <c r="DW26" s="1280"/>
      <c r="DX26" s="1262"/>
      <c r="DY26" s="1262"/>
      <c r="DZ26" s="1262"/>
      <c r="EA26" s="1262"/>
      <c r="EB26" s="1263"/>
      <c r="EC26" s="1167"/>
      <c r="ED26" s="1157"/>
      <c r="EE26" s="1280"/>
      <c r="EF26" s="1283"/>
      <c r="EG26" s="1283"/>
      <c r="EH26" s="1283"/>
      <c r="EI26" s="1283"/>
      <c r="EJ26" s="1283"/>
      <c r="EK26" s="1283"/>
      <c r="EL26" s="1283"/>
      <c r="EM26" s="1283"/>
      <c r="EN26" s="1283"/>
      <c r="EO26" s="1283"/>
      <c r="EP26" s="1283"/>
      <c r="EQ26" s="1284"/>
      <c r="ER26" s="1167"/>
      <c r="ES26" s="1163"/>
      <c r="ET26" s="1275" t="s">
        <v>1933</v>
      </c>
      <c r="EU26" s="1276" t="n">
        <f aca="false">DA30</f>
        <v>6344386.38122366</v>
      </c>
      <c r="EV26" s="1277" t="n">
        <f aca="false">DB30</f>
        <v>13935660.5086761</v>
      </c>
      <c r="EW26" s="1277" t="n">
        <f aca="false">DC30</f>
        <v>54173400.9296542</v>
      </c>
      <c r="EX26" s="1277" t="n">
        <f aca="false">DD30</f>
        <v>102460676.595165</v>
      </c>
      <c r="EY26" s="1278" t="n">
        <f aca="false">DE30</f>
        <v>156992240.958111</v>
      </c>
      <c r="EZ26" s="1167"/>
      <c r="FA26" s="1165"/>
      <c r="FB26" s="1216"/>
      <c r="FC26" s="1217"/>
      <c r="FD26" s="1217"/>
      <c r="FE26" s="1217"/>
      <c r="FF26" s="1217"/>
      <c r="FG26" s="1218"/>
      <c r="FH26" s="1167"/>
      <c r="FI26" s="1167"/>
      <c r="FJ26" s="1139"/>
      <c r="FK26" s="1258" t="str">
        <f aca="false">Existing!A22</f>
        <v>Accounts Payable</v>
      </c>
      <c r="FL26" s="1217" t="n">
        <f aca="false">Existing!B22</f>
        <v>0</v>
      </c>
      <c r="FM26" s="1217" t="n">
        <f aca="false">Existing!C22</f>
        <v>0</v>
      </c>
      <c r="FN26" s="1218" t="n">
        <f aca="false">Existing!D22</f>
        <v>0</v>
      </c>
      <c r="FO26" s="1167"/>
      <c r="FP26" s="1174"/>
      <c r="FQ26" s="1355"/>
      <c r="FR26" s="1167"/>
      <c r="FS26" s="1167"/>
      <c r="FT26" s="1167"/>
      <c r="FU26" s="1167"/>
      <c r="FV26" s="1167"/>
      <c r="FW26" s="1167"/>
      <c r="FX26" s="1173"/>
      <c r="FY26" s="1174"/>
      <c r="FZ26" s="1175"/>
      <c r="GA26" s="1258"/>
      <c r="GB26" s="1217"/>
      <c r="GC26" s="1217"/>
      <c r="GD26" s="1217"/>
      <c r="GE26" s="1217"/>
      <c r="GF26" s="1218"/>
      <c r="GG26" s="1189"/>
      <c r="GH26" s="1189"/>
      <c r="GI26" s="1174"/>
      <c r="GJ26" s="1355"/>
      <c r="GK26" s="1167"/>
      <c r="GL26" s="1167"/>
      <c r="GM26" s="1167"/>
      <c r="GN26" s="1167"/>
      <c r="GO26" s="1167"/>
      <c r="GP26" s="1167"/>
      <c r="GQ26" s="1167"/>
      <c r="GR26" s="1167"/>
      <c r="GS26" s="1356"/>
      <c r="GT26" s="1355"/>
      <c r="GU26" s="1167"/>
      <c r="GV26" s="1167"/>
      <c r="GW26" s="1167"/>
      <c r="GX26" s="1167"/>
      <c r="GY26" s="1167"/>
      <c r="GZ26" s="1167"/>
      <c r="HA26" s="1167"/>
      <c r="HB26" s="1167"/>
      <c r="HC26" s="1167"/>
      <c r="HD26" s="1167"/>
      <c r="HE26" s="1167"/>
      <c r="HF26" s="1167"/>
      <c r="HG26" s="1167"/>
      <c r="HH26" s="1167"/>
      <c r="HI26" s="1167"/>
      <c r="HJ26" s="1174"/>
      <c r="HK26" s="1174"/>
      <c r="HL26" s="1167"/>
      <c r="HM26" s="1167"/>
      <c r="HN26" s="1167"/>
      <c r="HO26" s="1167"/>
      <c r="HP26" s="1167"/>
      <c r="HQ26" s="1167"/>
    </row>
    <row r="27" customFormat="false" ht="12.75" hidden="false" customHeight="true" outlineLevel="0" collapsed="false">
      <c r="A27" s="1139"/>
      <c r="B27" s="1300" t="str">
        <f aca="false">'Sources &amp; Uses'!A33</f>
        <v>Other Long-term Assets</v>
      </c>
      <c r="C27" s="1184" t="n">
        <f aca="false">'Sources &amp; Uses'!B33</f>
        <v>0</v>
      </c>
      <c r="D27" s="1167"/>
      <c r="E27" s="1139"/>
      <c r="F27" s="1183"/>
      <c r="G27" s="1184"/>
      <c r="H27" s="1167"/>
      <c r="I27" s="1139"/>
      <c r="J27" s="1421" t="n">
        <f aca="false">Personnel!A27</f>
        <v>0</v>
      </c>
      <c r="K27" s="1276" t="n">
        <f aca="false">Personnel!BL27</f>
        <v>0</v>
      </c>
      <c r="L27" s="1277" t="n">
        <f aca="false">Personnel!BM27</f>
        <v>0</v>
      </c>
      <c r="M27" s="1277" t="n">
        <f aca="false">Personnel!BN27</f>
        <v>0</v>
      </c>
      <c r="N27" s="1277" t="n">
        <f aca="false">Personnel!BO27</f>
        <v>0</v>
      </c>
      <c r="O27" s="1278" t="n">
        <f aca="false">Personnel!BP27</f>
        <v>0</v>
      </c>
      <c r="P27" s="1189"/>
      <c r="Q27" s="1146"/>
      <c r="R27" s="1422" t="n">
        <f aca="false">Personnel!A27</f>
        <v>0</v>
      </c>
      <c r="S27" s="1296" t="n">
        <f aca="false">Personnel!D27</f>
        <v>0</v>
      </c>
      <c r="T27" s="1297" t="n">
        <f aca="false">Personnel!E27</f>
        <v>0</v>
      </c>
      <c r="U27" s="1297" t="n">
        <f aca="false">Personnel!F27</f>
        <v>0</v>
      </c>
      <c r="V27" s="1297" t="n">
        <f aca="false">Personnel!G27</f>
        <v>0</v>
      </c>
      <c r="W27" s="1297" t="n">
        <f aca="false">Personnel!H27</f>
        <v>0</v>
      </c>
      <c r="X27" s="1297" t="n">
        <f aca="false">Personnel!I27</f>
        <v>0</v>
      </c>
      <c r="Y27" s="1297" t="n">
        <f aca="false">Personnel!J27</f>
        <v>0</v>
      </c>
      <c r="Z27" s="1297" t="n">
        <f aca="false">Personnel!K27</f>
        <v>0</v>
      </c>
      <c r="AA27" s="1297" t="n">
        <f aca="false">Personnel!L27</f>
        <v>0</v>
      </c>
      <c r="AB27" s="1297" t="n">
        <f aca="false">Personnel!M27</f>
        <v>0</v>
      </c>
      <c r="AC27" s="1297" t="n">
        <f aca="false">Personnel!N27</f>
        <v>0</v>
      </c>
      <c r="AD27" s="1298" t="n">
        <f aca="false">Personnel!O27</f>
        <v>0</v>
      </c>
      <c r="AE27" s="1167"/>
      <c r="AF27" s="1139"/>
      <c r="AG27" s="1203" t="str">
        <f aca="false">'P&amp;L'!A22</f>
        <v>Other Direct Cost</v>
      </c>
      <c r="AH27" s="1186" t="n">
        <f aca="false">'P&amp;L'!BJ22</f>
        <v>979638.544344048</v>
      </c>
      <c r="AI27" s="1187" t="n">
        <f aca="false">'P&amp;L'!BK22</f>
        <v>6347372.62030143</v>
      </c>
      <c r="AJ27" s="1187" t="n">
        <f aca="false">'P&amp;L'!BL22</f>
        <v>16714084.6428</v>
      </c>
      <c r="AK27" s="1187" t="n">
        <f aca="false">'P&amp;L'!BM22</f>
        <v>18106925.0297</v>
      </c>
      <c r="AL27" s="1188" t="n">
        <f aca="false">'P&amp;L'!BN22</f>
        <v>19499765.4166</v>
      </c>
      <c r="AM27" s="1189"/>
      <c r="AN27" s="1139"/>
      <c r="AO27" s="1343" t="str">
        <f aca="false">'P&amp;L'!A22</f>
        <v>Other Direct Cost</v>
      </c>
      <c r="AP27" s="1221" t="n">
        <f aca="false">'P&amp;L'!B22</f>
        <v>0</v>
      </c>
      <c r="AQ27" s="1221" t="n">
        <f aca="false">'P&amp;L'!C22</f>
        <v>0</v>
      </c>
      <c r="AR27" s="1221" t="n">
        <f aca="false">'P&amp;L'!D22</f>
        <v>91.714</v>
      </c>
      <c r="AS27" s="1221" t="n">
        <f aca="false">'P&amp;L'!E22</f>
        <v>13419.7060869048</v>
      </c>
      <c r="AT27" s="1221" t="n">
        <f aca="false">'P&amp;L'!F22</f>
        <v>26839.4121738095</v>
      </c>
      <c r="AU27" s="1221" t="n">
        <f aca="false">'P&amp;L'!G22</f>
        <v>53678.8243476191</v>
      </c>
      <c r="AV27" s="1221" t="n">
        <f aca="false">'P&amp;L'!H22</f>
        <v>80518.2365214286</v>
      </c>
      <c r="AW27" s="1221" t="n">
        <f aca="false">'P&amp;L'!I22</f>
        <v>107357.648695238</v>
      </c>
      <c r="AX27" s="1221" t="n">
        <f aca="false">'P&amp;L'!J22</f>
        <v>134197.060869048</v>
      </c>
      <c r="AY27" s="1221" t="n">
        <f aca="false">'P&amp;L'!K22</f>
        <v>161036.473042857</v>
      </c>
      <c r="AZ27" s="1221" t="n">
        <f aca="false">'P&amp;L'!L22</f>
        <v>187875.885216667</v>
      </c>
      <c r="BA27" s="1222" t="n">
        <f aca="false">'P&amp;L'!M22</f>
        <v>214715.297390476</v>
      </c>
      <c r="BB27" s="1189"/>
      <c r="BC27" s="1189"/>
      <c r="BD27" s="1139"/>
      <c r="BE27" s="1235"/>
      <c r="BF27" s="1236"/>
      <c r="BG27" s="1217"/>
      <c r="BH27" s="1217"/>
      <c r="BI27" s="1217"/>
      <c r="BJ27" s="1218"/>
      <c r="BK27" s="1198"/>
      <c r="BL27" s="1139"/>
      <c r="BM27" s="1386"/>
      <c r="BN27" s="1245"/>
      <c r="BO27" s="1246"/>
      <c r="BP27" s="1246"/>
      <c r="BQ27" s="1246"/>
      <c r="BR27" s="1246"/>
      <c r="BS27" s="1246"/>
      <c r="BT27" s="1246"/>
      <c r="BU27" s="1246"/>
      <c r="BV27" s="1246"/>
      <c r="BW27" s="1246"/>
      <c r="BX27" s="1246"/>
      <c r="BY27" s="1247"/>
      <c r="BZ27" s="1189"/>
      <c r="CA27" s="1189"/>
      <c r="CB27" s="1139"/>
      <c r="CC27" s="1280"/>
      <c r="CD27" s="1189"/>
      <c r="CE27" s="1189"/>
      <c r="CF27" s="1189"/>
      <c r="CG27" s="1189"/>
      <c r="CH27" s="1281"/>
      <c r="CI27" s="1167"/>
      <c r="CJ27" s="1139"/>
      <c r="CK27" s="1282"/>
      <c r="CL27" s="1283"/>
      <c r="CM27" s="1283"/>
      <c r="CN27" s="1283"/>
      <c r="CO27" s="1283"/>
      <c r="CP27" s="1283"/>
      <c r="CQ27" s="1283"/>
      <c r="CR27" s="1283"/>
      <c r="CS27" s="1283"/>
      <c r="CT27" s="1283"/>
      <c r="CU27" s="1283"/>
      <c r="CV27" s="1283"/>
      <c r="CW27" s="1284"/>
      <c r="CX27" s="1167"/>
      <c r="CY27" s="1157"/>
      <c r="CZ27" s="1248" t="str">
        <f aca="false">'Cash Flow'!A49</f>
        <v>Net Cash From Financing Activities</v>
      </c>
      <c r="DA27" s="1309" t="n">
        <f aca="false">'Cash Flow'!BJ49</f>
        <v>29689668.3665807</v>
      </c>
      <c r="DB27" s="1310" t="n">
        <f aca="false">'Cash Flow'!BK49</f>
        <v>1509830.76993282</v>
      </c>
      <c r="DC27" s="1310" t="n">
        <f aca="false">'Cash Flow'!BL49</f>
        <v>-1905562.45864531</v>
      </c>
      <c r="DD27" s="1310" t="n">
        <f aca="false">'Cash Flow'!BM49</f>
        <v>-2023093.38146568</v>
      </c>
      <c r="DE27" s="1311" t="n">
        <f aca="false">'Cash Flow'!BN49</f>
        <v>-2147873.35443204</v>
      </c>
      <c r="DF27" s="1167"/>
      <c r="DG27" s="1139"/>
      <c r="DH27" s="1312" t="str">
        <f aca="false">CZ27</f>
        <v>Net Cash From Financing Activities</v>
      </c>
      <c r="DI27" s="1296" t="n">
        <f aca="false">'Cash Flow'!B49</f>
        <v>10000000</v>
      </c>
      <c r="DJ27" s="1297" t="n">
        <f aca="false">'Cash Flow'!C49</f>
        <v>0</v>
      </c>
      <c r="DK27" s="1297" t="n">
        <f aca="false">'Cash Flow'!D49</f>
        <v>0</v>
      </c>
      <c r="DL27" s="1297" t="n">
        <f aca="false">'Cash Flow'!E49</f>
        <v>0</v>
      </c>
      <c r="DM27" s="1297" t="n">
        <f aca="false">'Cash Flow'!F49</f>
        <v>0</v>
      </c>
      <c r="DN27" s="1297" t="n">
        <f aca="false">'Cash Flow'!G49</f>
        <v>0</v>
      </c>
      <c r="DO27" s="1297" t="n">
        <f aca="false">'Cash Flow'!H49</f>
        <v>5103288.29103204</v>
      </c>
      <c r="DP27" s="1297" t="n">
        <f aca="false">'Cash Flow'!I49</f>
        <v>3508373.20346673</v>
      </c>
      <c r="DQ27" s="1297" t="n">
        <f aca="false">'Cash Flow'!J49</f>
        <v>2796537.72720514</v>
      </c>
      <c r="DR27" s="1297" t="n">
        <f aca="false">'Cash Flow'!K49</f>
        <v>2992107.52123831</v>
      </c>
      <c r="DS27" s="1297" t="n">
        <f aca="false">'Cash Flow'!L49</f>
        <v>2331913.33179118</v>
      </c>
      <c r="DT27" s="1298" t="n">
        <f aca="false">'Cash Flow'!M49</f>
        <v>2957448.29184728</v>
      </c>
      <c r="DU27" s="1167"/>
      <c r="DV27" s="1157"/>
      <c r="DW27" s="1423" t="str">
        <f aca="false">'Balance Sheet'!A27</f>
        <v>Paid-in Capital</v>
      </c>
      <c r="DX27" s="1208" t="n">
        <f aca="false">'Balance Sheet'!BJ27</f>
        <v>10000000</v>
      </c>
      <c r="DY27" s="1205" t="n">
        <f aca="false">'Balance Sheet'!BK27</f>
        <v>10000000</v>
      </c>
      <c r="DZ27" s="1205" t="n">
        <f aca="false">'Balance Sheet'!BL27</f>
        <v>10000000</v>
      </c>
      <c r="EA27" s="1205" t="n">
        <f aca="false">'Balance Sheet'!BM27</f>
        <v>10000000</v>
      </c>
      <c r="EB27" s="1206" t="n">
        <f aca="false">'Balance Sheet'!BN27</f>
        <v>10000000</v>
      </c>
      <c r="EC27" s="1167"/>
      <c r="ED27" s="1157"/>
      <c r="EE27" s="1423" t="str">
        <f aca="false">'Balance Sheet'!A27</f>
        <v>Paid-in Capital</v>
      </c>
      <c r="EF27" s="1191" t="n">
        <f aca="false">'Balance Sheet'!B27</f>
        <v>10000000</v>
      </c>
      <c r="EG27" s="1192" t="n">
        <f aca="false">'Balance Sheet'!C27</f>
        <v>10000000</v>
      </c>
      <c r="EH27" s="1192" t="n">
        <f aca="false">'Balance Sheet'!D27</f>
        <v>10000000</v>
      </c>
      <c r="EI27" s="1192" t="n">
        <f aca="false">'Balance Sheet'!E27</f>
        <v>10000000</v>
      </c>
      <c r="EJ27" s="1192" t="n">
        <f aca="false">'Balance Sheet'!F27</f>
        <v>10000000</v>
      </c>
      <c r="EK27" s="1192" t="n">
        <f aca="false">'Balance Sheet'!G27</f>
        <v>10000000</v>
      </c>
      <c r="EL27" s="1192" t="n">
        <f aca="false">'Balance Sheet'!H27</f>
        <v>10000000</v>
      </c>
      <c r="EM27" s="1192" t="n">
        <f aca="false">'Balance Sheet'!I27</f>
        <v>10000000</v>
      </c>
      <c r="EN27" s="1192" t="n">
        <f aca="false">'Balance Sheet'!J27</f>
        <v>10000000</v>
      </c>
      <c r="EO27" s="1192" t="n">
        <f aca="false">'Balance Sheet'!K27</f>
        <v>10000000</v>
      </c>
      <c r="EP27" s="1192" t="n">
        <f aca="false">'Balance Sheet'!L27</f>
        <v>10000000</v>
      </c>
      <c r="EQ27" s="1193" t="n">
        <f aca="false">'Balance Sheet'!M27</f>
        <v>10000000</v>
      </c>
      <c r="ER27" s="1167"/>
      <c r="ES27" s="1174"/>
      <c r="ET27" s="1316"/>
      <c r="EU27" s="1167"/>
      <c r="EV27" s="1167"/>
      <c r="EW27" s="1167"/>
      <c r="EX27" s="1167"/>
      <c r="EY27" s="1167"/>
      <c r="EZ27" s="1167"/>
      <c r="FA27" s="1165"/>
      <c r="FB27" s="1216"/>
      <c r="FC27" s="1217"/>
      <c r="FD27" s="1217"/>
      <c r="FE27" s="1217"/>
      <c r="FF27" s="1217"/>
      <c r="FG27" s="1218"/>
      <c r="FH27" s="1167"/>
      <c r="FI27" s="1167"/>
      <c r="FJ27" s="1139"/>
      <c r="FK27" s="1258" t="str">
        <f aca="false">Existing!A23</f>
        <v>Current Borrowing</v>
      </c>
      <c r="FL27" s="1217" t="n">
        <f aca="false">Existing!B23</f>
        <v>0</v>
      </c>
      <c r="FM27" s="1217" t="n">
        <f aca="false">Existing!C23</f>
        <v>0</v>
      </c>
      <c r="FN27" s="1218" t="n">
        <f aca="false">Existing!D23</f>
        <v>0</v>
      </c>
      <c r="FO27" s="1167"/>
      <c r="FP27" s="1174"/>
      <c r="FQ27" s="1355"/>
      <c r="FR27" s="1167"/>
      <c r="FS27" s="1167"/>
      <c r="FT27" s="1167"/>
      <c r="FU27" s="1167"/>
      <c r="FV27" s="1167"/>
      <c r="FW27" s="1167"/>
      <c r="FX27" s="1173"/>
      <c r="FY27" s="1174"/>
      <c r="FZ27" s="1175"/>
      <c r="GA27" s="1258"/>
      <c r="GB27" s="1217"/>
      <c r="GC27" s="1217"/>
      <c r="GD27" s="1217"/>
      <c r="GE27" s="1217"/>
      <c r="GF27" s="1218"/>
      <c r="GG27" s="1189"/>
      <c r="GH27" s="1189"/>
      <c r="GI27" s="1174"/>
      <c r="GJ27" s="1355"/>
      <c r="GK27" s="1167"/>
      <c r="GL27" s="1167"/>
      <c r="GM27" s="1167"/>
      <c r="GN27" s="1167"/>
      <c r="GO27" s="1167"/>
      <c r="GP27" s="1167"/>
      <c r="GQ27" s="1167"/>
      <c r="GR27" s="1167"/>
      <c r="GS27" s="1356"/>
      <c r="GT27" s="1355"/>
      <c r="GU27" s="1167"/>
      <c r="GV27" s="1167"/>
      <c r="GW27" s="1167"/>
      <c r="GX27" s="1167"/>
      <c r="GY27" s="1167"/>
      <c r="GZ27" s="1167"/>
      <c r="HA27" s="1167"/>
      <c r="HB27" s="1167"/>
      <c r="HC27" s="1167"/>
      <c r="HD27" s="1167"/>
      <c r="HE27" s="1167"/>
      <c r="HF27" s="1167"/>
      <c r="HG27" s="1167"/>
      <c r="HH27" s="1167"/>
      <c r="HI27" s="1167"/>
      <c r="HJ27" s="1174"/>
      <c r="HK27" s="1174"/>
      <c r="HL27" s="1167"/>
      <c r="HM27" s="1167"/>
      <c r="HN27" s="1167"/>
      <c r="HO27" s="1167"/>
      <c r="HP27" s="1167"/>
      <c r="HQ27" s="1167"/>
    </row>
    <row r="28" customFormat="false" ht="12.75" hidden="false" customHeight="true" outlineLevel="0" collapsed="false">
      <c r="A28" s="1139"/>
      <c r="B28" s="1391" t="str">
        <f aca="false">'Sources &amp; Uses'!A34</f>
        <v>Total Start-up Assets</v>
      </c>
      <c r="C28" s="1392" t="n">
        <f aca="false">'Sources &amp; Uses'!B34</f>
        <v>33461850.4</v>
      </c>
      <c r="D28" s="1167"/>
      <c r="E28" s="1139"/>
      <c r="F28" s="1424" t="s">
        <v>1526</v>
      </c>
      <c r="G28" s="1425" t="n">
        <f aca="false">'Sources &amp; Uses'!F21</f>
        <v>0</v>
      </c>
      <c r="H28" s="1167"/>
      <c r="I28" s="1139"/>
      <c r="J28" s="1375"/>
      <c r="K28" s="1189"/>
      <c r="L28" s="1189"/>
      <c r="M28" s="1189"/>
      <c r="N28" s="1189"/>
      <c r="O28" s="1281"/>
      <c r="P28" s="1189"/>
      <c r="Q28" s="1146"/>
      <c r="R28" s="1378"/>
      <c r="S28" s="1283"/>
      <c r="T28" s="1283"/>
      <c r="U28" s="1283"/>
      <c r="V28" s="1283"/>
      <c r="W28" s="1283"/>
      <c r="X28" s="1283"/>
      <c r="Y28" s="1283"/>
      <c r="Z28" s="1283"/>
      <c r="AA28" s="1283"/>
      <c r="AB28" s="1283"/>
      <c r="AC28" s="1283"/>
      <c r="AD28" s="1284"/>
      <c r="AE28" s="1167"/>
      <c r="AF28" s="1139"/>
      <c r="AG28" s="1312" t="s">
        <v>1934</v>
      </c>
      <c r="AH28" s="1340" t="n">
        <f aca="false">SUM(AH26:AH27)</f>
        <v>6087649.67781669</v>
      </c>
      <c r="AI28" s="1341" t="n">
        <f aca="false">SUM(AI26:AI27)</f>
        <v>31915417.3897659</v>
      </c>
      <c r="AJ28" s="1341" t="n">
        <f aca="false">SUM(AJ26:AJ27)</f>
        <v>81368910.4966181</v>
      </c>
      <c r="AK28" s="1341" t="n">
        <f aca="false">SUM(AK26:AK27)</f>
        <v>85700606.6041462</v>
      </c>
      <c r="AL28" s="1342" t="n">
        <f aca="false">SUM(AL26:AL27)</f>
        <v>90032302.7116743</v>
      </c>
      <c r="AM28" s="1189"/>
      <c r="AN28" s="1139"/>
      <c r="AO28" s="1343" t="str">
        <f aca="false">AG28</f>
        <v>Total Direct Costs</v>
      </c>
      <c r="AP28" s="1221" t="n">
        <f aca="false">SUM(AP26:AP27)</f>
        <v>0</v>
      </c>
      <c r="AQ28" s="1221" t="n">
        <f aca="false">SUM(AQ26:AQ27)</f>
        <v>0</v>
      </c>
      <c r="AR28" s="1221" t="n">
        <f aca="false">SUM(AR26:AR27)</f>
        <v>695.983831428571</v>
      </c>
      <c r="AS28" s="1221" t="n">
        <f aca="false">SUM(AS26:AS27)</f>
        <v>83392.4613399547</v>
      </c>
      <c r="AT28" s="1221" t="n">
        <f aca="false">SUM(AT26:AT27)</f>
        <v>166784.922679909</v>
      </c>
      <c r="AU28" s="1221" t="n">
        <f aca="false">SUM(AU26:AU27)</f>
        <v>333569.845359819</v>
      </c>
      <c r="AV28" s="1221" t="n">
        <f aca="false">SUM(AV26:AV27)</f>
        <v>500354.768039728</v>
      </c>
      <c r="AW28" s="1221" t="n">
        <f aca="false">SUM(AW26:AW27)</f>
        <v>667139.690719637</v>
      </c>
      <c r="AX28" s="1221" t="n">
        <f aca="false">SUM(AX26:AX27)</f>
        <v>833924.613399547</v>
      </c>
      <c r="AY28" s="1221" t="n">
        <f aca="false">SUM(AY26:AY27)</f>
        <v>1000709.53607946</v>
      </c>
      <c r="AZ28" s="1221" t="n">
        <f aca="false">SUM(AZ26:AZ27)</f>
        <v>1167494.45875937</v>
      </c>
      <c r="BA28" s="1222" t="n">
        <f aca="false">SUM(BA26:BA27)</f>
        <v>1334279.38143928</v>
      </c>
      <c r="BB28" s="1189"/>
      <c r="BC28" s="1189"/>
      <c r="BD28" s="1139"/>
      <c r="BE28" s="1235"/>
      <c r="BF28" s="1236"/>
      <c r="BG28" s="1217"/>
      <c r="BH28" s="1217"/>
      <c r="BI28" s="1217"/>
      <c r="BJ28" s="1218"/>
      <c r="BK28" s="1198"/>
      <c r="BL28" s="1139"/>
      <c r="BM28" s="1386"/>
      <c r="BN28" s="1245"/>
      <c r="BO28" s="1246"/>
      <c r="BP28" s="1246"/>
      <c r="BQ28" s="1246"/>
      <c r="BR28" s="1246"/>
      <c r="BS28" s="1246"/>
      <c r="BT28" s="1246"/>
      <c r="BU28" s="1246"/>
      <c r="BV28" s="1246"/>
      <c r="BW28" s="1246"/>
      <c r="BX28" s="1246"/>
      <c r="BY28" s="1247"/>
      <c r="BZ28" s="1189"/>
      <c r="CA28" s="1189"/>
      <c r="CB28" s="1139"/>
      <c r="CC28" s="1200" t="str">
        <f aca="false">'P&amp;L'!A46</f>
        <v>Net Profit</v>
      </c>
      <c r="CD28" s="1201"/>
      <c r="CE28" s="1201"/>
      <c r="CF28" s="1201"/>
      <c r="CG28" s="1201"/>
      <c r="CH28" s="1202"/>
      <c r="CI28" s="1167"/>
      <c r="CJ28" s="1139"/>
      <c r="CK28" s="1190" t="str">
        <f aca="false">'P&amp;L'!A46</f>
        <v>Net Profit</v>
      </c>
      <c r="CL28" s="1191" t="n">
        <f aca="false">'P&amp;L'!B46</f>
        <v>-395805.9718</v>
      </c>
      <c r="CM28" s="1192" t="n">
        <f aca="false">'P&amp;L'!C46</f>
        <v>-412861.9718</v>
      </c>
      <c r="CN28" s="1192" t="n">
        <f aca="false">'P&amp;L'!D46</f>
        <v>-421260.529631429</v>
      </c>
      <c r="CO28" s="1192" t="n">
        <f aca="false">'P&amp;L'!E46</f>
        <v>-384005.078357812</v>
      </c>
      <c r="CP28" s="1192" t="n">
        <f aca="false">'P&amp;L'!F46</f>
        <v>-346620.184915624</v>
      </c>
      <c r="CQ28" s="1192" t="n">
        <f aca="false">'P&amp;L'!G46</f>
        <v>-293170.398031247</v>
      </c>
      <c r="CR28" s="1192" t="n">
        <f aca="false">'P&amp;L'!H46</f>
        <v>-329502.211146871</v>
      </c>
      <c r="CS28" s="1192" t="n">
        <f aca="false">'P&amp;L'!I46</f>
        <v>-323383.693717655</v>
      </c>
      <c r="CT28" s="1192" t="n">
        <f aca="false">'P&amp;L'!J46</f>
        <v>-286581.439850612</v>
      </c>
      <c r="CU28" s="1192" t="n">
        <f aca="false">'P&amp;L'!K46</f>
        <v>-252553.470602261</v>
      </c>
      <c r="CV28" s="1192" t="n">
        <f aca="false">'P&amp;L'!L46</f>
        <v>-209831.414324076</v>
      </c>
      <c r="CW28" s="1193" t="n">
        <f aca="false">'P&amp;L'!M46</f>
        <v>-175631.011098656</v>
      </c>
      <c r="CX28" s="1167"/>
      <c r="CY28" s="1157"/>
      <c r="CZ28" s="1252" t="str">
        <f aca="false">'Cash Flow'!A50</f>
        <v>NET CASH FLOW</v>
      </c>
      <c r="DA28" s="1426" t="n">
        <f aca="false">'Cash Flow'!BJ50</f>
        <v>6344386.38122366</v>
      </c>
      <c r="DB28" s="1427" t="n">
        <f aca="false">'Cash Flow'!BK50</f>
        <v>7591274.12745243</v>
      </c>
      <c r="DC28" s="1427" t="n">
        <f aca="false">'Cash Flow'!BL50</f>
        <v>40237740.4209782</v>
      </c>
      <c r="DD28" s="1427" t="n">
        <f aca="false">'Cash Flow'!BM50</f>
        <v>48287275.6655105</v>
      </c>
      <c r="DE28" s="1428" t="n">
        <f aca="false">'Cash Flow'!BN50</f>
        <v>54531564.3629462</v>
      </c>
      <c r="DF28" s="1167"/>
      <c r="DG28" s="1139"/>
      <c r="DH28" s="1203" t="str">
        <f aca="false">CZ28</f>
        <v>NET CASH FLOW</v>
      </c>
      <c r="DI28" s="1429" t="n">
        <f aca="false">'Cash Flow'!B50</f>
        <v>9994578.0003863</v>
      </c>
      <c r="DJ28" s="1430" t="n">
        <f aca="false">'Cash Flow'!C50</f>
        <v>-396039.615635617</v>
      </c>
      <c r="DK28" s="1430" t="n">
        <f aca="false">'Cash Flow'!D50</f>
        <v>-412977.020537417</v>
      </c>
      <c r="DL28" s="1430" t="n">
        <f aca="false">'Cash Flow'!E50</f>
        <v>-420750.180983845</v>
      </c>
      <c r="DM28" s="1430" t="n">
        <f aca="false">'Cash Flow'!F50</f>
        <v>-383492.956529836</v>
      </c>
      <c r="DN28" s="1430" t="n">
        <f aca="false">'Cash Flow'!G50</f>
        <v>-345887.996054194</v>
      </c>
      <c r="DO28" s="1430" t="n">
        <f aca="false">'Cash Flow'!H50</f>
        <v>-324413.659233671</v>
      </c>
      <c r="DP28" s="1430" t="n">
        <f aca="false">'Cash Flow'!I50</f>
        <v>-339444.717646863</v>
      </c>
      <c r="DQ28" s="1430" t="n">
        <f aca="false">'Cash Flow'!J50</f>
        <v>-321069.028240363</v>
      </c>
      <c r="DR28" s="1430" t="n">
        <f aca="false">'Cash Flow'!K50</f>
        <v>-279547.246362323</v>
      </c>
      <c r="DS28" s="1430" t="n">
        <f aca="false">'Cash Flow'!L50</f>
        <v>-235112.119820971</v>
      </c>
      <c r="DT28" s="1431" t="n">
        <f aca="false">'Cash Flow'!M50</f>
        <v>-191457.078117546</v>
      </c>
      <c r="DU28" s="1167"/>
      <c r="DV28" s="1157"/>
      <c r="DW28" s="1235" t="str">
        <f aca="false">'Balance Sheet'!A28</f>
        <v>Retained Earnings</v>
      </c>
      <c r="DX28" s="1432" t="n">
        <f aca="false">'Balance Sheet'!BJ28</f>
        <v>0</v>
      </c>
      <c r="DY28" s="1250" t="n">
        <f aca="false">'Balance Sheet'!BK28</f>
        <v>-3831207.37527624</v>
      </c>
      <c r="DZ28" s="1250" t="n">
        <f aca="false">'Balance Sheet'!BL28</f>
        <v>4577509.54154919</v>
      </c>
      <c r="EA28" s="1250" t="n">
        <f aca="false">'Balance Sheet'!BM28</f>
        <v>46672932.1830159</v>
      </c>
      <c r="EB28" s="1251" t="n">
        <f aca="false">'Balance Sheet'!BN28</f>
        <v>95162924.3560846</v>
      </c>
      <c r="EC28" s="1167"/>
      <c r="ED28" s="1157"/>
      <c r="EE28" s="1235" t="str">
        <f aca="false">'Balance Sheet'!A28</f>
        <v>Retained Earnings</v>
      </c>
      <c r="EF28" s="1245" t="n">
        <f aca="false">'Balance Sheet'!B28</f>
        <v>0</v>
      </c>
      <c r="EG28" s="1246" t="n">
        <f aca="false">'Balance Sheet'!C28</f>
        <v>0</v>
      </c>
      <c r="EH28" s="1246" t="n">
        <f aca="false">'Balance Sheet'!D28</f>
        <v>0</v>
      </c>
      <c r="EI28" s="1246" t="n">
        <f aca="false">'Balance Sheet'!E28</f>
        <v>0</v>
      </c>
      <c r="EJ28" s="1246" t="n">
        <f aca="false">'Balance Sheet'!F28</f>
        <v>0</v>
      </c>
      <c r="EK28" s="1246" t="n">
        <f aca="false">'Balance Sheet'!G28</f>
        <v>0</v>
      </c>
      <c r="EL28" s="1246" t="n">
        <f aca="false">'Balance Sheet'!H28</f>
        <v>0</v>
      </c>
      <c r="EM28" s="1246" t="n">
        <f aca="false">'Balance Sheet'!I28</f>
        <v>0</v>
      </c>
      <c r="EN28" s="1246" t="n">
        <f aca="false">'Balance Sheet'!J28</f>
        <v>0</v>
      </c>
      <c r="EO28" s="1246" t="n">
        <f aca="false">'Balance Sheet'!K28</f>
        <v>0</v>
      </c>
      <c r="EP28" s="1246" t="n">
        <f aca="false">'Balance Sheet'!L28</f>
        <v>0</v>
      </c>
      <c r="EQ28" s="1247" t="n">
        <f aca="false">'Balance Sheet'!M28</f>
        <v>0</v>
      </c>
      <c r="ER28" s="1167"/>
      <c r="ES28" s="1174"/>
      <c r="ET28" s="1316"/>
      <c r="EU28" s="1167"/>
      <c r="EV28" s="1167"/>
      <c r="EW28" s="1167"/>
      <c r="EX28" s="1167"/>
      <c r="EY28" s="1167"/>
      <c r="EZ28" s="1167"/>
      <c r="FA28" s="1165"/>
      <c r="FB28" s="1216"/>
      <c r="FC28" s="1217"/>
      <c r="FD28" s="1217"/>
      <c r="FE28" s="1217"/>
      <c r="FF28" s="1217"/>
      <c r="FG28" s="1218"/>
      <c r="FH28" s="1167"/>
      <c r="FI28" s="1167"/>
      <c r="FJ28" s="1139"/>
      <c r="FK28" s="1258" t="str">
        <f aca="false">Existing!A24</f>
        <v>Other Current Liabilities</v>
      </c>
      <c r="FL28" s="1217" t="n">
        <f aca="false">Existing!B24</f>
        <v>0</v>
      </c>
      <c r="FM28" s="1217" t="n">
        <f aca="false">Existing!C24</f>
        <v>0</v>
      </c>
      <c r="FN28" s="1218" t="n">
        <f aca="false">Existing!D24</f>
        <v>0</v>
      </c>
      <c r="FO28" s="1167"/>
      <c r="FP28" s="1174"/>
      <c r="FQ28" s="1355"/>
      <c r="FR28" s="1167"/>
      <c r="FS28" s="1167"/>
      <c r="FT28" s="1167"/>
      <c r="FU28" s="1167"/>
      <c r="FV28" s="1167"/>
      <c r="FW28" s="1167"/>
      <c r="FX28" s="1173"/>
      <c r="FY28" s="1174"/>
      <c r="FZ28" s="1175"/>
      <c r="GA28" s="1258"/>
      <c r="GB28" s="1217"/>
      <c r="GC28" s="1217"/>
      <c r="GD28" s="1217"/>
      <c r="GE28" s="1217"/>
      <c r="GF28" s="1218"/>
      <c r="GG28" s="1189"/>
      <c r="GH28" s="1189"/>
      <c r="GI28" s="1174"/>
      <c r="GJ28" s="1355"/>
      <c r="GK28" s="1167"/>
      <c r="GL28" s="1167"/>
      <c r="GM28" s="1167"/>
      <c r="GN28" s="1167"/>
      <c r="GO28" s="1167"/>
      <c r="GP28" s="1167"/>
      <c r="GQ28" s="1167"/>
      <c r="GR28" s="1167"/>
      <c r="GS28" s="1356"/>
      <c r="GT28" s="1355"/>
      <c r="GU28" s="1167"/>
      <c r="GV28" s="1167"/>
      <c r="GW28" s="1167"/>
      <c r="GX28" s="1167"/>
      <c r="GY28" s="1167"/>
      <c r="GZ28" s="1167"/>
      <c r="HA28" s="1167"/>
      <c r="HB28" s="1167"/>
      <c r="HC28" s="1167"/>
      <c r="HD28" s="1167"/>
      <c r="HE28" s="1167"/>
      <c r="HF28" s="1167"/>
      <c r="HG28" s="1167"/>
      <c r="HH28" s="1167"/>
      <c r="HI28" s="1167"/>
      <c r="HJ28" s="1174"/>
      <c r="HK28" s="1174"/>
      <c r="HL28" s="1167"/>
      <c r="HM28" s="1167"/>
      <c r="HN28" s="1167"/>
      <c r="HO28" s="1167"/>
      <c r="HP28" s="1167"/>
      <c r="HQ28" s="1167"/>
    </row>
    <row r="29" customFormat="false" ht="12.75" hidden="false" customHeight="true" outlineLevel="0" collapsed="false">
      <c r="A29" s="1139"/>
      <c r="B29" s="1183"/>
      <c r="C29" s="1184"/>
      <c r="D29" s="1167"/>
      <c r="E29" s="1174"/>
      <c r="F29" s="1167"/>
      <c r="G29" s="1167"/>
      <c r="H29" s="1167"/>
      <c r="I29" s="1139"/>
      <c r="J29" s="1185" t="str">
        <f aca="false">R29</f>
        <v>Personnel Costs</v>
      </c>
      <c r="K29" s="1186"/>
      <c r="L29" s="1187"/>
      <c r="M29" s="1187"/>
      <c r="N29" s="1187"/>
      <c r="O29" s="1188"/>
      <c r="P29" s="1189"/>
      <c r="Q29" s="1146"/>
      <c r="R29" s="1190" t="str">
        <f aca="false">Personnel!A29</f>
        <v>Personnel Costs</v>
      </c>
      <c r="S29" s="1191"/>
      <c r="T29" s="1192"/>
      <c r="U29" s="1192"/>
      <c r="V29" s="1192"/>
      <c r="W29" s="1192"/>
      <c r="X29" s="1192"/>
      <c r="Y29" s="1192"/>
      <c r="Z29" s="1192"/>
      <c r="AA29" s="1192"/>
      <c r="AB29" s="1192"/>
      <c r="AC29" s="1192"/>
      <c r="AD29" s="1193"/>
      <c r="AE29" s="1167"/>
      <c r="AF29" s="1139"/>
      <c r="AG29" s="1280"/>
      <c r="AH29" s="1189"/>
      <c r="AI29" s="1189"/>
      <c r="AJ29" s="1189"/>
      <c r="AK29" s="1189"/>
      <c r="AL29" s="1281"/>
      <c r="AM29" s="1189"/>
      <c r="AN29" s="1139"/>
      <c r="AO29" s="1237"/>
      <c r="AP29" s="1221"/>
      <c r="AQ29" s="1221"/>
      <c r="AR29" s="1221"/>
      <c r="AS29" s="1221"/>
      <c r="AT29" s="1221"/>
      <c r="AU29" s="1221"/>
      <c r="AV29" s="1221"/>
      <c r="AW29" s="1221"/>
      <c r="AX29" s="1221"/>
      <c r="AY29" s="1221"/>
      <c r="AZ29" s="1221"/>
      <c r="BA29" s="1222"/>
      <c r="BB29" s="1189"/>
      <c r="BC29" s="1189"/>
      <c r="BD29" s="1139"/>
      <c r="BE29" s="1235"/>
      <c r="BF29" s="1236"/>
      <c r="BG29" s="1217"/>
      <c r="BH29" s="1217"/>
      <c r="BI29" s="1217"/>
      <c r="BJ29" s="1218"/>
      <c r="BK29" s="1198"/>
      <c r="BL29" s="1139"/>
      <c r="BM29" s="1386"/>
      <c r="BN29" s="1245"/>
      <c r="BO29" s="1246"/>
      <c r="BP29" s="1246"/>
      <c r="BQ29" s="1246"/>
      <c r="BR29" s="1246"/>
      <c r="BS29" s="1246"/>
      <c r="BT29" s="1246"/>
      <c r="BU29" s="1246"/>
      <c r="BV29" s="1246"/>
      <c r="BW29" s="1246"/>
      <c r="BX29" s="1246"/>
      <c r="BY29" s="1247"/>
      <c r="BZ29" s="1189"/>
      <c r="CA29" s="1189"/>
      <c r="CB29" s="1139"/>
      <c r="CC29" s="1372" t="str">
        <f aca="false">'P&amp;L'!A47</f>
        <v>Net Profit %</v>
      </c>
      <c r="CD29" s="1433"/>
      <c r="CE29" s="1434"/>
      <c r="CF29" s="1434"/>
      <c r="CG29" s="1434"/>
      <c r="CH29" s="1435"/>
      <c r="CI29" s="1167"/>
      <c r="CJ29" s="1139"/>
      <c r="CK29" s="1363" t="str">
        <f aca="false">CC29</f>
        <v>Net Profit %</v>
      </c>
      <c r="CL29" s="1271" t="str">
        <f aca="false">IF(CL2=0,"N/A",CL28/CL2)</f>
        <v>N/A</v>
      </c>
      <c r="CM29" s="1272" t="str">
        <f aca="false">IF(CM2=0,"N/A",CM28/CM2)</f>
        <v>N/A</v>
      </c>
      <c r="CN29" s="1272" t="n">
        <f aca="false">IF(CN2=0,"N/A",CN28/CN2)</f>
        <v>-459.319765391793</v>
      </c>
      <c r="CO29" s="1272" t="n">
        <f aca="false">IF(CO2=0,"N/A",CO28/CO2)</f>
        <v>-2.86150140599973</v>
      </c>
      <c r="CP29" s="1272" t="n">
        <f aca="false">IF(CP2=0,"N/A",CP28/CP2)</f>
        <v>-1.291459673822</v>
      </c>
      <c r="CQ29" s="1272" t="n">
        <f aca="false">IF(CQ2=0,"N/A",CQ28/CQ2)</f>
        <v>-0.546156518132184</v>
      </c>
      <c r="CR29" s="1436" t="n">
        <f aca="false">IF(CR2=0,"N/A",CR28/CR2)</f>
        <v>-0.409226810449555</v>
      </c>
      <c r="CS29" s="1436" t="n">
        <f aca="false">IF(CS2=0,"N/A",CS28/CS2)</f>
        <v>-0.301220916858622</v>
      </c>
      <c r="CT29" s="1436" t="n">
        <f aca="false">IF(CT2=0,"N/A",CT28/CT2)</f>
        <v>-0.213552694816665</v>
      </c>
      <c r="CU29" s="1436" t="n">
        <f aca="false">IF(CU2=0,"N/A",CU28/CU2)</f>
        <v>-0.156829981326683</v>
      </c>
      <c r="CV29" s="1436" t="n">
        <f aca="false">IF(CV2=0,"N/A",CV28/CV2)</f>
        <v>-0.111686187975689</v>
      </c>
      <c r="CW29" s="1437" t="n">
        <f aca="false">IF(CW2=0,"N/A",CW28/CW2)</f>
        <v>-0.0817971580195601</v>
      </c>
      <c r="CX29" s="1167"/>
      <c r="CY29" s="1157"/>
      <c r="CZ29" s="1252" t="str">
        <f aca="false">'Cash Flow'!A51</f>
        <v>Beginning Cash</v>
      </c>
      <c r="DA29" s="1438" t="n">
        <f aca="false">'Cash Flow'!BJ51</f>
        <v>0</v>
      </c>
      <c r="DB29" s="1439" t="n">
        <f aca="false">'Cash Flow'!BK51</f>
        <v>6344386.38122366</v>
      </c>
      <c r="DC29" s="1439" t="n">
        <f aca="false">'Cash Flow'!BL51</f>
        <v>13935660.5086761</v>
      </c>
      <c r="DD29" s="1439" t="n">
        <f aca="false">'Cash Flow'!BM51</f>
        <v>54173400.9296542</v>
      </c>
      <c r="DE29" s="1440" t="n">
        <f aca="false">'Cash Flow'!BN51</f>
        <v>102460676.595165</v>
      </c>
      <c r="DF29" s="1167"/>
      <c r="DG29" s="1139"/>
      <c r="DH29" s="1252" t="str">
        <f aca="false">CZ29</f>
        <v>Beginning Cash</v>
      </c>
      <c r="DI29" s="1441" t="n">
        <f aca="false">'Cash Flow'!B51</f>
        <v>0</v>
      </c>
      <c r="DJ29" s="1442" t="n">
        <f aca="false">'Cash Flow'!C51</f>
        <v>9994578.0003863</v>
      </c>
      <c r="DK29" s="1442" t="n">
        <f aca="false">'Cash Flow'!D51</f>
        <v>9598538.38475069</v>
      </c>
      <c r="DL29" s="1442" t="n">
        <f aca="false">'Cash Flow'!E51</f>
        <v>9185561.36421327</v>
      </c>
      <c r="DM29" s="1442" t="n">
        <f aca="false">'Cash Flow'!F51</f>
        <v>8764811.18322942</v>
      </c>
      <c r="DN29" s="1442" t="n">
        <f aca="false">'Cash Flow'!G51</f>
        <v>8381318.22669959</v>
      </c>
      <c r="DO29" s="1442" t="n">
        <f aca="false">'Cash Flow'!H51</f>
        <v>8035430.23064539</v>
      </c>
      <c r="DP29" s="1442" t="n">
        <f aca="false">'Cash Flow'!I51</f>
        <v>7711016.57141172</v>
      </c>
      <c r="DQ29" s="1442" t="n">
        <f aca="false">'Cash Flow'!J51</f>
        <v>7371571.85376486</v>
      </c>
      <c r="DR29" s="1442" t="n">
        <f aca="false">'Cash Flow'!K51</f>
        <v>7050502.8255245</v>
      </c>
      <c r="DS29" s="1442" t="n">
        <f aca="false">'Cash Flow'!L51</f>
        <v>6770955.57916217</v>
      </c>
      <c r="DT29" s="1443" t="n">
        <f aca="false">'Cash Flow'!M51</f>
        <v>6535843.4593412</v>
      </c>
      <c r="DU29" s="1167"/>
      <c r="DV29" s="1157"/>
      <c r="DW29" s="1235" t="str">
        <f aca="false">'Balance Sheet'!A29</f>
        <v>Earnings</v>
      </c>
      <c r="DX29" s="1432" t="n">
        <f aca="false">'Balance Sheet'!BJ29</f>
        <v>-3831207.37527624</v>
      </c>
      <c r="DY29" s="1250" t="n">
        <f aca="false">'Balance Sheet'!BK29</f>
        <v>8408716.91682543</v>
      </c>
      <c r="DZ29" s="1250" t="n">
        <f aca="false">'Balance Sheet'!BL29</f>
        <v>42095422.6414667</v>
      </c>
      <c r="EA29" s="1250" t="n">
        <f aca="false">'Balance Sheet'!BM29</f>
        <v>48489992.1730687</v>
      </c>
      <c r="EB29" s="1251" t="n">
        <f aca="false">'Balance Sheet'!BN29</f>
        <v>54856792.4462355</v>
      </c>
      <c r="EC29" s="1167"/>
      <c r="ED29" s="1157"/>
      <c r="EE29" s="1235" t="str">
        <f aca="false">'Balance Sheet'!A29</f>
        <v>Earnings</v>
      </c>
      <c r="EF29" s="1245" t="n">
        <f aca="false">'Balance Sheet'!B29</f>
        <v>-395805.9718</v>
      </c>
      <c r="EG29" s="1246" t="n">
        <f aca="false">'Balance Sheet'!C29</f>
        <v>-808667.9436</v>
      </c>
      <c r="EH29" s="1246" t="n">
        <f aca="false">'Balance Sheet'!D29</f>
        <v>-1229928.47323143</v>
      </c>
      <c r="EI29" s="1246" t="n">
        <f aca="false">'Balance Sheet'!E29</f>
        <v>-1613933.55158924</v>
      </c>
      <c r="EJ29" s="1246" t="n">
        <f aca="false">'Balance Sheet'!F29</f>
        <v>-1960553.73650486</v>
      </c>
      <c r="EK29" s="1246" t="n">
        <f aca="false">'Balance Sheet'!G29</f>
        <v>-2253724.13453611</v>
      </c>
      <c r="EL29" s="1246" t="n">
        <f aca="false">'Balance Sheet'!H29</f>
        <v>-2583226.34568298</v>
      </c>
      <c r="EM29" s="1246" t="n">
        <f aca="false">'Balance Sheet'!I29</f>
        <v>-2906610.03940064</v>
      </c>
      <c r="EN29" s="1246" t="n">
        <f aca="false">'Balance Sheet'!J29</f>
        <v>-3193191.47925125</v>
      </c>
      <c r="EO29" s="1246" t="n">
        <f aca="false">'Balance Sheet'!K29</f>
        <v>-3445744.94985351</v>
      </c>
      <c r="EP29" s="1246" t="n">
        <f aca="false">'Balance Sheet'!L29</f>
        <v>-3655576.36417759</v>
      </c>
      <c r="EQ29" s="1247" t="n">
        <f aca="false">'Balance Sheet'!M29</f>
        <v>-3831207.37527624</v>
      </c>
      <c r="ER29" s="1167"/>
      <c r="ES29" s="1174"/>
      <c r="ET29" s="1316"/>
      <c r="EU29" s="1167"/>
      <c r="EV29" s="1167"/>
      <c r="EW29" s="1167"/>
      <c r="EX29" s="1167"/>
      <c r="EY29" s="1167"/>
      <c r="EZ29" s="1167"/>
      <c r="FA29" s="1165"/>
      <c r="FB29" s="1337"/>
      <c r="FC29" s="1277"/>
      <c r="FD29" s="1277"/>
      <c r="FE29" s="1277"/>
      <c r="FF29" s="1277"/>
      <c r="FG29" s="1278"/>
      <c r="FH29" s="1167"/>
      <c r="FI29" s="1167"/>
      <c r="FJ29" s="1139"/>
      <c r="FK29" s="1216" t="s">
        <v>1935</v>
      </c>
      <c r="FL29" s="1217" t="n">
        <f aca="false">FL26+FL27+FL28</f>
        <v>0</v>
      </c>
      <c r="FM29" s="1217" t="n">
        <f aca="false">FM26+FM27+FM28</f>
        <v>0</v>
      </c>
      <c r="FN29" s="1218" t="n">
        <f aca="false">FN26+FN27+FN28</f>
        <v>0</v>
      </c>
      <c r="FO29" s="1167"/>
      <c r="FP29" s="1174"/>
      <c r="FQ29" s="1355"/>
      <c r="FR29" s="1167"/>
      <c r="FS29" s="1167"/>
      <c r="FT29" s="1167"/>
      <c r="FU29" s="1167"/>
      <c r="FV29" s="1167"/>
      <c r="FW29" s="1167"/>
      <c r="FX29" s="1173"/>
      <c r="FY29" s="1174"/>
      <c r="FZ29" s="1175"/>
      <c r="GA29" s="1258"/>
      <c r="GB29" s="1217"/>
      <c r="GC29" s="1217"/>
      <c r="GD29" s="1217"/>
      <c r="GE29" s="1217"/>
      <c r="GF29" s="1218"/>
      <c r="GG29" s="1189"/>
      <c r="GH29" s="1189"/>
      <c r="GI29" s="1174"/>
      <c r="GJ29" s="1355"/>
      <c r="GK29" s="1167"/>
      <c r="GL29" s="1167"/>
      <c r="GM29" s="1167"/>
      <c r="GN29" s="1167"/>
      <c r="GO29" s="1167"/>
      <c r="GP29" s="1167"/>
      <c r="GQ29" s="1167"/>
      <c r="GR29" s="1167"/>
      <c r="GS29" s="1174"/>
      <c r="GT29" s="1355"/>
      <c r="GU29" s="1167"/>
      <c r="GV29" s="1167"/>
      <c r="GW29" s="1167"/>
      <c r="GX29" s="1167"/>
      <c r="GY29" s="1167"/>
      <c r="GZ29" s="1167"/>
      <c r="HA29" s="1167"/>
      <c r="HB29" s="1167"/>
      <c r="HC29" s="1167"/>
      <c r="HD29" s="1167"/>
      <c r="HE29" s="1167"/>
      <c r="HF29" s="1167"/>
      <c r="HG29" s="1167"/>
      <c r="HH29" s="1167"/>
      <c r="HI29" s="1167"/>
      <c r="HJ29" s="1174"/>
      <c r="HK29" s="1174"/>
      <c r="HL29" s="1167"/>
      <c r="HM29" s="1167"/>
      <c r="HN29" s="1167"/>
      <c r="HO29" s="1167"/>
      <c r="HP29" s="1167"/>
      <c r="HQ29" s="1167"/>
    </row>
    <row r="30" customFormat="false" ht="12.75" hidden="false" customHeight="true" outlineLevel="0" collapsed="false">
      <c r="A30" s="1139"/>
      <c r="B30" s="1424" t="s">
        <v>1526</v>
      </c>
      <c r="C30" s="1425" t="n">
        <f aca="false">'Sources &amp; Uses'!B34+'Sources &amp; Uses'!B24</f>
        <v>33461850.4</v>
      </c>
      <c r="D30" s="1167"/>
      <c r="E30" s="1174"/>
      <c r="F30" s="1167"/>
      <c r="G30" s="1167"/>
      <c r="H30" s="1167"/>
      <c r="I30" s="1139"/>
      <c r="J30" s="1226" t="str">
        <f aca="false">Personnel!A30</f>
        <v>Trades</v>
      </c>
      <c r="K30" s="1236" t="n">
        <f aca="false">Personnel!BL30</f>
        <v>2412800</v>
      </c>
      <c r="L30" s="1217" t="n">
        <f aca="false">Personnel!BM30</f>
        <v>2533440</v>
      </c>
      <c r="M30" s="1217" t="n">
        <f aca="false">Personnel!BN30</f>
        <v>2660112</v>
      </c>
      <c r="N30" s="1217" t="n">
        <f aca="false">Personnel!BO30</f>
        <v>2793117.6</v>
      </c>
      <c r="O30" s="1218" t="n">
        <f aca="false">Personnel!BP30</f>
        <v>2932773.48</v>
      </c>
      <c r="P30" s="1189"/>
      <c r="Q30" s="1146"/>
      <c r="R30" s="1231" t="str">
        <f aca="false">Personnel!A30</f>
        <v>Trades</v>
      </c>
      <c r="S30" s="1245" t="n">
        <f aca="false">Personnel!D30</f>
        <v>41600</v>
      </c>
      <c r="T30" s="1246" t="n">
        <f aca="false">Personnel!E30</f>
        <v>83200</v>
      </c>
      <c r="U30" s="1246" t="n">
        <f aca="false">Personnel!F30</f>
        <v>104000</v>
      </c>
      <c r="V30" s="1246" t="n">
        <f aca="false">Personnel!G30</f>
        <v>104000</v>
      </c>
      <c r="W30" s="1246" t="n">
        <f aca="false">Personnel!H30</f>
        <v>104000</v>
      </c>
      <c r="X30" s="1246" t="n">
        <f aca="false">Personnel!I30</f>
        <v>156000</v>
      </c>
      <c r="Y30" s="1246" t="n">
        <f aca="false">Personnel!J30</f>
        <v>260000</v>
      </c>
      <c r="Z30" s="1246" t="n">
        <f aca="false">Personnel!K30</f>
        <v>312000</v>
      </c>
      <c r="AA30" s="1246" t="n">
        <f aca="false">Personnel!L30</f>
        <v>312000</v>
      </c>
      <c r="AB30" s="1246" t="n">
        <f aca="false">Personnel!M30</f>
        <v>312000</v>
      </c>
      <c r="AC30" s="1246" t="n">
        <f aca="false">Personnel!N30</f>
        <v>312000</v>
      </c>
      <c r="AD30" s="1247" t="n">
        <f aca="false">Personnel!O30</f>
        <v>312000</v>
      </c>
      <c r="AE30" s="1167"/>
      <c r="AF30" s="1139"/>
      <c r="AG30" s="1194" t="str">
        <f aca="false">'P&amp;L'!A25</f>
        <v>Gross Margin</v>
      </c>
      <c r="AH30" s="1444"/>
      <c r="AI30" s="1201"/>
      <c r="AJ30" s="1201"/>
      <c r="AK30" s="1201"/>
      <c r="AL30" s="1202"/>
      <c r="AM30" s="1189"/>
      <c r="AN30" s="1139"/>
      <c r="AO30" s="1368" t="str">
        <f aca="false">AG30</f>
        <v>Gross Margin</v>
      </c>
      <c r="AP30" s="1221"/>
      <c r="AQ30" s="1221"/>
      <c r="AR30" s="1221"/>
      <c r="AS30" s="1221"/>
      <c r="AT30" s="1221"/>
      <c r="AU30" s="1221"/>
      <c r="AV30" s="1221"/>
      <c r="AW30" s="1221"/>
      <c r="AX30" s="1221"/>
      <c r="AY30" s="1221"/>
      <c r="AZ30" s="1221"/>
      <c r="BA30" s="1222"/>
      <c r="BB30" s="1189"/>
      <c r="BC30" s="1189"/>
      <c r="BD30" s="1139"/>
      <c r="BE30" s="1235"/>
      <c r="BF30" s="1236"/>
      <c r="BG30" s="1217"/>
      <c r="BH30" s="1217"/>
      <c r="BI30" s="1217"/>
      <c r="BJ30" s="1218"/>
      <c r="BK30" s="1198"/>
      <c r="BL30" s="1139"/>
      <c r="BM30" s="1386"/>
      <c r="BN30" s="1245"/>
      <c r="BO30" s="1246"/>
      <c r="BP30" s="1246"/>
      <c r="BQ30" s="1246"/>
      <c r="BR30" s="1246"/>
      <c r="BS30" s="1246"/>
      <c r="BT30" s="1246"/>
      <c r="BU30" s="1246"/>
      <c r="BV30" s="1246"/>
      <c r="BW30" s="1246"/>
      <c r="BX30" s="1246"/>
      <c r="BY30" s="1247"/>
      <c r="BZ30" s="1189"/>
      <c r="CA30" s="1189"/>
      <c r="CB30" s="1445"/>
      <c r="CC30" s="1446"/>
      <c r="CD30" s="1167"/>
      <c r="CE30" s="1167"/>
      <c r="CF30" s="1167"/>
      <c r="CG30" s="1167"/>
      <c r="CH30" s="1167"/>
      <c r="CI30" s="1167"/>
      <c r="CJ30" s="1174"/>
      <c r="CK30" s="1167"/>
      <c r="CL30" s="1198"/>
      <c r="CM30" s="1198"/>
      <c r="CN30" s="1198"/>
      <c r="CO30" s="1198"/>
      <c r="CP30" s="1198"/>
      <c r="CQ30" s="1198"/>
      <c r="CR30" s="1198"/>
      <c r="CS30" s="1198"/>
      <c r="CT30" s="1198"/>
      <c r="CU30" s="1198"/>
      <c r="CV30" s="1198"/>
      <c r="CW30" s="1198"/>
      <c r="CX30" s="1167"/>
      <c r="CY30" s="1157"/>
      <c r="CZ30" s="1312" t="str">
        <f aca="false">'Cash Flow'!A52</f>
        <v>Ending Cash</v>
      </c>
      <c r="DA30" s="1447" t="n">
        <f aca="false">'Cash Flow'!BJ52</f>
        <v>6344386.38122366</v>
      </c>
      <c r="DB30" s="1448" t="n">
        <f aca="false">'Cash Flow'!BK52</f>
        <v>13935660.5086761</v>
      </c>
      <c r="DC30" s="1448" t="n">
        <f aca="false">'Cash Flow'!BL52</f>
        <v>54173400.9296542</v>
      </c>
      <c r="DD30" s="1448" t="n">
        <f aca="false">'Cash Flow'!BM52</f>
        <v>102460676.595165</v>
      </c>
      <c r="DE30" s="1449" t="n">
        <f aca="false">'Cash Flow'!BN52</f>
        <v>156992240.958111</v>
      </c>
      <c r="DF30" s="1167"/>
      <c r="DG30" s="1139"/>
      <c r="DH30" s="1312" t="str">
        <f aca="false">CZ30</f>
        <v>Ending Cash</v>
      </c>
      <c r="DI30" s="1450" t="n">
        <f aca="false">'Cash Flow'!B52</f>
        <v>9994578.0003863</v>
      </c>
      <c r="DJ30" s="1451" t="n">
        <f aca="false">'Cash Flow'!C52</f>
        <v>9598538.38475069</v>
      </c>
      <c r="DK30" s="1451" t="n">
        <f aca="false">'Cash Flow'!D52</f>
        <v>9185561.36421327</v>
      </c>
      <c r="DL30" s="1451" t="n">
        <f aca="false">'Cash Flow'!E52</f>
        <v>8764811.18322942</v>
      </c>
      <c r="DM30" s="1451" t="n">
        <f aca="false">'Cash Flow'!F52</f>
        <v>8381318.22669959</v>
      </c>
      <c r="DN30" s="1451" t="n">
        <f aca="false">'Cash Flow'!G52</f>
        <v>8035430.23064539</v>
      </c>
      <c r="DO30" s="1451" t="n">
        <f aca="false">'Cash Flow'!H52</f>
        <v>7711016.57141172</v>
      </c>
      <c r="DP30" s="1451" t="n">
        <f aca="false">'Cash Flow'!I52</f>
        <v>7371571.85376486</v>
      </c>
      <c r="DQ30" s="1451" t="n">
        <f aca="false">'Cash Flow'!J52</f>
        <v>7050502.8255245</v>
      </c>
      <c r="DR30" s="1451" t="n">
        <f aca="false">'Cash Flow'!K52</f>
        <v>6770955.57916217</v>
      </c>
      <c r="DS30" s="1451" t="n">
        <f aca="false">'Cash Flow'!L52</f>
        <v>6535843.4593412</v>
      </c>
      <c r="DT30" s="1452" t="n">
        <f aca="false">'Cash Flow'!M52</f>
        <v>6344386.38122366</v>
      </c>
      <c r="DU30" s="1167"/>
      <c r="DV30" s="1157"/>
      <c r="DW30" s="1358" t="s">
        <v>1806</v>
      </c>
      <c r="DX30" s="1418" t="n">
        <f aca="false">'Balance Sheet'!BJ30</f>
        <v>6168792.62472376</v>
      </c>
      <c r="DY30" s="1310" t="n">
        <f aca="false">'Balance Sheet'!BK30</f>
        <v>14577509.5415492</v>
      </c>
      <c r="DZ30" s="1310" t="n">
        <f aca="false">'Balance Sheet'!BL30</f>
        <v>56672932.1830159</v>
      </c>
      <c r="EA30" s="1310" t="n">
        <f aca="false">'Balance Sheet'!BM30</f>
        <v>105162924.356085</v>
      </c>
      <c r="EB30" s="1311" t="n">
        <f aca="false">'Balance Sheet'!BN30</f>
        <v>160019716.80232</v>
      </c>
      <c r="EC30" s="1167"/>
      <c r="ED30" s="1157"/>
      <c r="EE30" s="1358" t="str">
        <f aca="false">'Balance Sheet'!A30</f>
        <v>Total Capital</v>
      </c>
      <c r="EF30" s="1296" t="n">
        <f aca="false">'Balance Sheet'!B30</f>
        <v>9604194.0282</v>
      </c>
      <c r="EG30" s="1297" t="n">
        <f aca="false">'Balance Sheet'!C30</f>
        <v>9191332.0564</v>
      </c>
      <c r="EH30" s="1297" t="n">
        <f aca="false">'Balance Sheet'!D30</f>
        <v>8770071.52676857</v>
      </c>
      <c r="EI30" s="1297" t="n">
        <f aca="false">'Balance Sheet'!E30</f>
        <v>8386066.44841076</v>
      </c>
      <c r="EJ30" s="1297" t="n">
        <f aca="false">'Balance Sheet'!F30</f>
        <v>8039446.26349514</v>
      </c>
      <c r="EK30" s="1297" t="n">
        <f aca="false">'Balance Sheet'!G30</f>
        <v>7746275.86546389</v>
      </c>
      <c r="EL30" s="1297" t="n">
        <f aca="false">'Balance Sheet'!H30</f>
        <v>7416773.65431702</v>
      </c>
      <c r="EM30" s="1297" t="n">
        <f aca="false">'Balance Sheet'!I30</f>
        <v>7093389.96059936</v>
      </c>
      <c r="EN30" s="1297" t="n">
        <f aca="false">'Balance Sheet'!J30</f>
        <v>6806808.52074875</v>
      </c>
      <c r="EO30" s="1297" t="n">
        <f aca="false">'Balance Sheet'!K30</f>
        <v>6554255.05014649</v>
      </c>
      <c r="EP30" s="1297" t="n">
        <f aca="false">'Balance Sheet'!L30</f>
        <v>6344423.63582241</v>
      </c>
      <c r="EQ30" s="1298" t="n">
        <f aca="false">'Balance Sheet'!M30</f>
        <v>6168792.62472376</v>
      </c>
      <c r="ER30" s="1167"/>
      <c r="ES30" s="1174"/>
      <c r="ET30" s="1316"/>
      <c r="EU30" s="1167"/>
      <c r="EV30" s="1167"/>
      <c r="EW30" s="1167"/>
      <c r="EX30" s="1167"/>
      <c r="EY30" s="1167"/>
      <c r="EZ30" s="1167"/>
      <c r="FA30" s="1356"/>
      <c r="FB30" s="1355"/>
      <c r="FC30" s="1167"/>
      <c r="FD30" s="1167"/>
      <c r="FE30" s="1167"/>
      <c r="FF30" s="1167"/>
      <c r="FG30" s="1167"/>
      <c r="FH30" s="1167"/>
      <c r="FI30" s="1167"/>
      <c r="FJ30" s="1139"/>
      <c r="FK30" s="1216"/>
      <c r="FL30" s="1217"/>
      <c r="FM30" s="1217"/>
      <c r="FN30" s="1218"/>
      <c r="FO30" s="1167"/>
      <c r="FP30" s="1174"/>
      <c r="FQ30" s="1355"/>
      <c r="FR30" s="1167"/>
      <c r="FS30" s="1167"/>
      <c r="FT30" s="1167"/>
      <c r="FU30" s="1167"/>
      <c r="FV30" s="1167"/>
      <c r="FW30" s="1167"/>
      <c r="FX30" s="1173"/>
      <c r="FY30" s="1174"/>
      <c r="FZ30" s="1175"/>
      <c r="GA30" s="1258"/>
      <c r="GB30" s="1217"/>
      <c r="GC30" s="1217"/>
      <c r="GD30" s="1217"/>
      <c r="GE30" s="1217"/>
      <c r="GF30" s="1218"/>
      <c r="GG30" s="1189"/>
      <c r="GH30" s="1189"/>
      <c r="GI30" s="1174"/>
      <c r="GJ30" s="1355"/>
      <c r="GK30" s="1167"/>
      <c r="GL30" s="1167"/>
      <c r="GM30" s="1167"/>
      <c r="GN30" s="1167"/>
      <c r="GO30" s="1167"/>
      <c r="GP30" s="1167"/>
      <c r="GQ30" s="1167"/>
      <c r="GR30" s="1167"/>
      <c r="GS30" s="1174"/>
      <c r="GT30" s="1355"/>
      <c r="GU30" s="1167"/>
      <c r="GV30" s="1167"/>
      <c r="GW30" s="1167"/>
      <c r="GX30" s="1167"/>
      <c r="GY30" s="1167"/>
      <c r="GZ30" s="1167"/>
      <c r="HA30" s="1167"/>
      <c r="HB30" s="1167"/>
      <c r="HC30" s="1167"/>
      <c r="HD30" s="1167"/>
      <c r="HE30" s="1167"/>
      <c r="HF30" s="1167"/>
      <c r="HG30" s="1167"/>
      <c r="HH30" s="1167"/>
      <c r="HI30" s="1167"/>
      <c r="HJ30" s="1174"/>
      <c r="HK30" s="1174"/>
      <c r="HL30" s="1167"/>
      <c r="HM30" s="1167"/>
      <c r="HN30" s="1167"/>
      <c r="HO30" s="1167"/>
      <c r="HP30" s="1167"/>
      <c r="HQ30" s="1167"/>
    </row>
    <row r="31" customFormat="false" ht="12.75" hidden="false" customHeight="true" outlineLevel="0" collapsed="false">
      <c r="A31" s="1453"/>
      <c r="B31" s="1167"/>
      <c r="C31" s="1167"/>
      <c r="D31" s="1167"/>
      <c r="E31" s="1453"/>
      <c r="F31" s="1167"/>
      <c r="G31" s="1167"/>
      <c r="H31" s="1167"/>
      <c r="I31" s="1139"/>
      <c r="J31" s="1226" t="str">
        <f aca="false">Personnel!A31</f>
        <v>Admin</v>
      </c>
      <c r="K31" s="1236" t="n">
        <f aca="false">Personnel!BL31</f>
        <v>499999.76</v>
      </c>
      <c r="L31" s="1217" t="n">
        <f aca="false">Personnel!BM31</f>
        <v>524999.748</v>
      </c>
      <c r="M31" s="1217" t="n">
        <f aca="false">Personnel!BN31</f>
        <v>551249.7354</v>
      </c>
      <c r="N31" s="1217" t="n">
        <f aca="false">Personnel!BO31</f>
        <v>578812.22217</v>
      </c>
      <c r="O31" s="1218" t="n">
        <f aca="false">Personnel!BP31</f>
        <v>607752.8332785</v>
      </c>
      <c r="P31" s="1189"/>
      <c r="Q31" s="1146"/>
      <c r="R31" s="1231" t="str">
        <f aca="false">Personnel!A31</f>
        <v>Admin</v>
      </c>
      <c r="S31" s="1245" t="n">
        <f aca="false">Personnel!D31</f>
        <v>41666.6466666667</v>
      </c>
      <c r="T31" s="1246" t="n">
        <f aca="false">Personnel!E31</f>
        <v>41666.6466666667</v>
      </c>
      <c r="U31" s="1246" t="n">
        <f aca="false">Personnel!F31</f>
        <v>41666.6466666667</v>
      </c>
      <c r="V31" s="1246" t="n">
        <f aca="false">Personnel!G31</f>
        <v>41666.6466666667</v>
      </c>
      <c r="W31" s="1246" t="n">
        <f aca="false">Personnel!H31</f>
        <v>41666.6466666667</v>
      </c>
      <c r="X31" s="1246" t="n">
        <f aca="false">Personnel!I31</f>
        <v>41666.6466666667</v>
      </c>
      <c r="Y31" s="1246" t="n">
        <f aca="false">Personnel!J31</f>
        <v>41666.6466666667</v>
      </c>
      <c r="Z31" s="1246" t="n">
        <f aca="false">Personnel!K31</f>
        <v>41666.6466666667</v>
      </c>
      <c r="AA31" s="1246" t="n">
        <f aca="false">Personnel!L31</f>
        <v>41666.6466666667</v>
      </c>
      <c r="AB31" s="1246" t="n">
        <f aca="false">Personnel!M31</f>
        <v>41666.6466666667</v>
      </c>
      <c r="AC31" s="1246" t="n">
        <f aca="false">Personnel!N31</f>
        <v>41666.6466666667</v>
      </c>
      <c r="AD31" s="1247" t="n">
        <f aca="false">Personnel!O31</f>
        <v>41666.6466666667</v>
      </c>
      <c r="AE31" s="1167"/>
      <c r="AF31" s="1139"/>
      <c r="AG31" s="1358" t="str">
        <f aca="false">'P&amp;L'!A26</f>
        <v>Gross Margin/Revenue</v>
      </c>
      <c r="AH31" s="1454"/>
      <c r="AI31" s="1434"/>
      <c r="AJ31" s="1434"/>
      <c r="AK31" s="1434"/>
      <c r="AL31" s="1435"/>
      <c r="AM31" s="1189"/>
      <c r="AN31" s="1139"/>
      <c r="AO31" s="1455" t="str">
        <f aca="false">AG31</f>
        <v>Gross Margin/Revenue</v>
      </c>
      <c r="AP31" s="1456"/>
      <c r="AQ31" s="1456"/>
      <c r="AR31" s="1456"/>
      <c r="AS31" s="1456"/>
      <c r="AT31" s="1456"/>
      <c r="AU31" s="1456"/>
      <c r="AV31" s="1456"/>
      <c r="AW31" s="1456"/>
      <c r="AX31" s="1456"/>
      <c r="AY31" s="1456"/>
      <c r="AZ31" s="1456"/>
      <c r="BA31" s="1457"/>
      <c r="BB31" s="1189"/>
      <c r="BC31" s="1189"/>
      <c r="BD31" s="1139"/>
      <c r="BE31" s="1235"/>
      <c r="BF31" s="1236"/>
      <c r="BG31" s="1217"/>
      <c r="BH31" s="1217"/>
      <c r="BI31" s="1217"/>
      <c r="BJ31" s="1218"/>
      <c r="BK31" s="1198"/>
      <c r="BL31" s="1139"/>
      <c r="BM31" s="1386"/>
      <c r="BN31" s="1245"/>
      <c r="BO31" s="1246"/>
      <c r="BP31" s="1246"/>
      <c r="BQ31" s="1246"/>
      <c r="BR31" s="1246"/>
      <c r="BS31" s="1246"/>
      <c r="BT31" s="1246"/>
      <c r="BU31" s="1246"/>
      <c r="BV31" s="1246"/>
      <c r="BW31" s="1246"/>
      <c r="BX31" s="1246"/>
      <c r="BY31" s="1247"/>
      <c r="BZ31" s="1189"/>
      <c r="CA31" s="1189"/>
      <c r="CB31" s="1445"/>
      <c r="CC31" s="1446"/>
      <c r="CD31" s="1167"/>
      <c r="CE31" s="1167"/>
      <c r="CF31" s="1167"/>
      <c r="CG31" s="1167"/>
      <c r="CH31" s="1167"/>
      <c r="CI31" s="1167"/>
      <c r="CJ31" s="1174"/>
      <c r="CK31" s="1167"/>
      <c r="CL31" s="1198"/>
      <c r="CM31" s="1198"/>
      <c r="CN31" s="1198"/>
      <c r="CO31" s="1198"/>
      <c r="CP31" s="1198"/>
      <c r="CQ31" s="1198"/>
      <c r="CR31" s="1198"/>
      <c r="CS31" s="1198"/>
      <c r="CT31" s="1198"/>
      <c r="CU31" s="1198"/>
      <c r="CV31" s="1198"/>
      <c r="CW31" s="1198"/>
      <c r="CX31" s="1167"/>
      <c r="CY31" s="1458"/>
      <c r="CZ31" s="1459" t="str">
        <f aca="false">'Cash Flow'!A53</f>
        <v>Months of Cash</v>
      </c>
      <c r="DA31" s="1460" t="n">
        <f aca="false">'Cash Flow'!BJ53</f>
        <v>7.13307457125027</v>
      </c>
      <c r="DB31" s="1460" t="n">
        <f aca="false">'Cash Flow'!BK53</f>
        <v>6.54049577661294</v>
      </c>
      <c r="DC31" s="1460" t="n">
        <f aca="false">'Cash Flow'!BL53</f>
        <v>18.559008998361</v>
      </c>
      <c r="DD31" s="1460" t="n">
        <f aca="false">'Cash Flow'!BM53</f>
        <v>33.034965771164</v>
      </c>
      <c r="DE31" s="1461" t="n">
        <f aca="false">'Cash Flow'!BN53</f>
        <v>47.754141012655</v>
      </c>
      <c r="DF31" s="1167"/>
      <c r="DG31" s="1139"/>
      <c r="DH31" s="1462" t="str">
        <f aca="false">'Cash Flow'!A53</f>
        <v>Months of Cash</v>
      </c>
      <c r="DI31" s="1463" t="n">
        <f aca="false">'Cash Flow'!B53</f>
        <v>25.2512056726535</v>
      </c>
      <c r="DJ31" s="1463" t="n">
        <f aca="false">'Cash Flow'!C53</f>
        <v>23.2487829840634</v>
      </c>
      <c r="DK31" s="1463" t="n">
        <f aca="false">'Cash Flow'!D53</f>
        <v>21.7935005806444</v>
      </c>
      <c r="DL31" s="1463" t="n">
        <f aca="false">'Cash Flow'!E53</f>
        <v>20.1578107134708</v>
      </c>
      <c r="DM31" s="1463" t="n">
        <f aca="false">'Cash Flow'!F53</f>
        <v>18.6987255328832</v>
      </c>
      <c r="DN31" s="1463" t="n">
        <f aca="false">'Cash Flow'!G53</f>
        <v>16.1877751734263</v>
      </c>
      <c r="DO31" s="1463" t="n">
        <f aca="false">'Cash Flow'!H53</f>
        <v>12.6689091995345</v>
      </c>
      <c r="DP31" s="1463" t="n">
        <f aca="false">'Cash Flow'!I53</f>
        <v>10.7379664893889</v>
      </c>
      <c r="DQ31" s="1463" t="n">
        <f aca="false">'Cash Flow'!J53</f>
        <v>9.5634854240008</v>
      </c>
      <c r="DR31" s="1463" t="n">
        <f aca="false">'Cash Flow'!K53</f>
        <v>8.57347362584738</v>
      </c>
      <c r="DS31" s="1463" t="n">
        <f aca="false">'Cash Flow'!L53</f>
        <v>7.80951855977797</v>
      </c>
      <c r="DT31" s="1464" t="n">
        <f aca="false">'Cash Flow'!M53</f>
        <v>7.13307457125027</v>
      </c>
      <c r="DU31" s="1167"/>
      <c r="DV31" s="1157"/>
      <c r="DW31" s="1285" t="s">
        <v>1807</v>
      </c>
      <c r="DX31" s="1381" t="n">
        <f aca="false">'Balance Sheet'!BJ31</f>
        <v>27983681.0756914</v>
      </c>
      <c r="DY31" s="1382" t="n">
        <f aca="false">'Balance Sheet'!BK31</f>
        <v>41614784.1368189</v>
      </c>
      <c r="DZ31" s="1382" t="n">
        <f aca="false">'Balance Sheet'!BL31</f>
        <v>86048055.6206542</v>
      </c>
      <c r="EA31" s="1382" t="n">
        <f aca="false">'Balance Sheet'!BM31</f>
        <v>133133946.564165</v>
      </c>
      <c r="EB31" s="1383" t="n">
        <f aca="false">'Balance Sheet'!BN31</f>
        <v>186464126.205111</v>
      </c>
      <c r="EC31" s="1167"/>
      <c r="ED31" s="1157"/>
      <c r="EE31" s="1285" t="str">
        <f aca="false">'Balance Sheet'!A31</f>
        <v>Total Liabilities and Capital</v>
      </c>
      <c r="EF31" s="1303" t="n">
        <f aca="false">'Balance Sheet'!B31</f>
        <v>9994578.0003863</v>
      </c>
      <c r="EG31" s="1304" t="n">
        <f aca="false">'Balance Sheet'!C31</f>
        <v>9598538.38475069</v>
      </c>
      <c r="EH31" s="1304" t="n">
        <f aca="false">'Balance Sheet'!D31</f>
        <v>9186465.94065162</v>
      </c>
      <c r="EI31" s="1304" t="n">
        <f aca="false">'Balance Sheet'!E31</f>
        <v>8897169.92819616</v>
      </c>
      <c r="EJ31" s="1304" t="n">
        <f aca="false">'Balance Sheet'!F31</f>
        <v>8646035.71663305</v>
      </c>
      <c r="EK31" s="1304" t="n">
        <f aca="false">'Balance Sheet'!G31</f>
        <v>8564865.21051232</v>
      </c>
      <c r="EL31" s="1304" t="n">
        <f aca="false">'Balance Sheet'!H31</f>
        <v>13597000.5412121</v>
      </c>
      <c r="EM31" s="1304" t="n">
        <f aca="false">'Balance Sheet'!I31</f>
        <v>17011399.4584987</v>
      </c>
      <c r="EN31" s="1304" t="n">
        <f aca="false">'Balance Sheet'!J31</f>
        <v>19726206.4401918</v>
      </c>
      <c r="EO31" s="1304" t="n">
        <f aca="false">'Balance Sheet'!K31</f>
        <v>22671582.538763</v>
      </c>
      <c r="EP31" s="1304" t="n">
        <f aca="false">'Balance Sheet'!L31</f>
        <v>24996211.8188754</v>
      </c>
      <c r="EQ31" s="1305" t="n">
        <f aca="false">'Balance Sheet'!M31</f>
        <v>27983681.0756914</v>
      </c>
      <c r="ER31" s="1167"/>
      <c r="ES31" s="1465"/>
      <c r="ET31" s="1316"/>
      <c r="EU31" s="1167"/>
      <c r="EV31" s="1167"/>
      <c r="EW31" s="1167"/>
      <c r="EX31" s="1167"/>
      <c r="EY31" s="1167"/>
      <c r="EZ31" s="1167"/>
      <c r="FA31" s="1167"/>
      <c r="FB31" s="1466"/>
      <c r="FC31" s="1167"/>
      <c r="FD31" s="1167"/>
      <c r="FE31" s="1167"/>
      <c r="FF31" s="1167"/>
      <c r="FG31" s="1167"/>
      <c r="FH31" s="1167"/>
      <c r="FI31" s="1167"/>
      <c r="FJ31" s="1139"/>
      <c r="FK31" s="1467" t="str">
        <f aca="false">Existing!A26</f>
        <v>Long-term Liabilities</v>
      </c>
      <c r="FL31" s="1217" t="n">
        <f aca="false">Existing!B26</f>
        <v>0</v>
      </c>
      <c r="FM31" s="1217" t="n">
        <f aca="false">Existing!C26</f>
        <v>0</v>
      </c>
      <c r="FN31" s="1218" t="n">
        <f aca="false">Existing!D26</f>
        <v>0</v>
      </c>
      <c r="FO31" s="1167"/>
      <c r="FP31" s="1453"/>
      <c r="FQ31" s="1466"/>
      <c r="FR31" s="1167"/>
      <c r="FS31" s="1167"/>
      <c r="FT31" s="1167"/>
      <c r="FU31" s="1167"/>
      <c r="FV31" s="1167"/>
      <c r="FW31" s="1167"/>
      <c r="FX31" s="1173"/>
      <c r="FY31" s="1167"/>
      <c r="FZ31" s="1175"/>
      <c r="GA31" s="1216"/>
      <c r="GB31" s="1373"/>
      <c r="GC31" s="1373"/>
      <c r="GD31" s="1373"/>
      <c r="GE31" s="1373"/>
      <c r="GF31" s="1374"/>
      <c r="GG31" s="1189"/>
      <c r="GH31" s="1150"/>
      <c r="GI31" s="1167"/>
      <c r="GJ31" s="1167"/>
      <c r="GK31" s="1167"/>
      <c r="GL31" s="1167"/>
      <c r="GM31" s="1167"/>
      <c r="GN31" s="1167"/>
      <c r="GO31" s="1167"/>
      <c r="GP31" s="1167"/>
      <c r="GQ31" s="1167"/>
      <c r="GR31" s="1167"/>
      <c r="GS31" s="1174"/>
      <c r="GT31" s="1355"/>
      <c r="GU31" s="1167"/>
      <c r="GV31" s="1167"/>
      <c r="GW31" s="1167"/>
      <c r="GX31" s="1167"/>
      <c r="GY31" s="1167"/>
      <c r="GZ31" s="1167"/>
      <c r="HA31" s="1167"/>
      <c r="HB31" s="1167"/>
      <c r="HC31" s="1167"/>
      <c r="HD31" s="1167"/>
      <c r="HE31" s="1167"/>
      <c r="HF31" s="1167"/>
      <c r="HG31" s="1167"/>
      <c r="HH31" s="1167"/>
      <c r="HI31" s="1167"/>
      <c r="HJ31" s="1167"/>
      <c r="HK31" s="1167"/>
      <c r="HL31" s="1167"/>
      <c r="HM31" s="1167"/>
      <c r="HN31" s="1167"/>
      <c r="HO31" s="1167"/>
      <c r="HP31" s="1167"/>
      <c r="HQ31" s="1167"/>
    </row>
    <row r="32" customFormat="false" ht="12.75" hidden="false" customHeight="true" outlineLevel="0" collapsed="false">
      <c r="A32" s="1453"/>
      <c r="B32" s="1167"/>
      <c r="C32" s="1167"/>
      <c r="D32" s="1167"/>
      <c r="E32" s="1453"/>
      <c r="F32" s="1167"/>
      <c r="G32" s="1167"/>
      <c r="H32" s="1167"/>
      <c r="I32" s="1139"/>
      <c r="J32" s="1226" t="str">
        <f aca="false">Personnel!A32</f>
        <v>Trades -2</v>
      </c>
      <c r="K32" s="1236" t="n">
        <f aca="false">Personnel!BL32</f>
        <v>0</v>
      </c>
      <c r="L32" s="1217" t="n">
        <f aca="false">Personnel!BM32</f>
        <v>8044400</v>
      </c>
      <c r="M32" s="1217" t="n">
        <f aca="false">Personnel!BN32</f>
        <v>11924640</v>
      </c>
      <c r="N32" s="1217" t="n">
        <f aca="false">Personnel!BO32</f>
        <v>12520872</v>
      </c>
      <c r="O32" s="1218" t="n">
        <f aca="false">Personnel!BP32</f>
        <v>13146915.6</v>
      </c>
      <c r="P32" s="1189"/>
      <c r="Q32" s="1146"/>
      <c r="R32" s="1231" t="str">
        <f aca="false">Personnel!A32</f>
        <v>Trades -2</v>
      </c>
      <c r="S32" s="1245" t="n">
        <f aca="false">Personnel!D32</f>
        <v>0</v>
      </c>
      <c r="T32" s="1246" t="n">
        <f aca="false">Personnel!E32</f>
        <v>0</v>
      </c>
      <c r="U32" s="1246" t="n">
        <f aca="false">Personnel!F32</f>
        <v>0</v>
      </c>
      <c r="V32" s="1246" t="n">
        <f aca="false">Personnel!G32</f>
        <v>0</v>
      </c>
      <c r="W32" s="1246" t="n">
        <f aca="false">Personnel!H32</f>
        <v>0</v>
      </c>
      <c r="X32" s="1246" t="n">
        <f aca="false">Personnel!I32</f>
        <v>0</v>
      </c>
      <c r="Y32" s="1246" t="n">
        <f aca="false">Personnel!J32</f>
        <v>0</v>
      </c>
      <c r="Z32" s="1246" t="n">
        <f aca="false">Personnel!K32</f>
        <v>0</v>
      </c>
      <c r="AA32" s="1246" t="n">
        <f aca="false">Personnel!L32</f>
        <v>0</v>
      </c>
      <c r="AB32" s="1246" t="n">
        <f aca="false">Personnel!M32</f>
        <v>0</v>
      </c>
      <c r="AC32" s="1246" t="n">
        <f aca="false">Personnel!N32</f>
        <v>0</v>
      </c>
      <c r="AD32" s="1247" t="n">
        <f aca="false">Personnel!O32</f>
        <v>0</v>
      </c>
      <c r="AE32" s="1167"/>
      <c r="AF32" s="1174"/>
      <c r="AG32" s="1468"/>
      <c r="AH32" s="1198"/>
      <c r="AI32" s="1198"/>
      <c r="AJ32" s="1198"/>
      <c r="AK32" s="1198"/>
      <c r="AL32" s="1198"/>
      <c r="AM32" s="1189"/>
      <c r="AN32" s="1445"/>
      <c r="AO32" s="1468"/>
      <c r="AP32" s="1198"/>
      <c r="AQ32" s="1198"/>
      <c r="AR32" s="1198"/>
      <c r="AS32" s="1198"/>
      <c r="AT32" s="1198"/>
      <c r="AU32" s="1198"/>
      <c r="AV32" s="1167"/>
      <c r="AW32" s="1167"/>
      <c r="AX32" s="1167"/>
      <c r="AY32" s="1167"/>
      <c r="AZ32" s="1167"/>
      <c r="BA32" s="1167"/>
      <c r="BB32" s="1189"/>
      <c r="BC32" s="1189"/>
      <c r="BD32" s="1139"/>
      <c r="BE32" s="1235"/>
      <c r="BF32" s="1236"/>
      <c r="BG32" s="1217"/>
      <c r="BH32" s="1217"/>
      <c r="BI32" s="1217"/>
      <c r="BJ32" s="1218"/>
      <c r="BK32" s="1198"/>
      <c r="BL32" s="1139"/>
      <c r="BM32" s="1386"/>
      <c r="BN32" s="1245"/>
      <c r="BO32" s="1246"/>
      <c r="BP32" s="1246"/>
      <c r="BQ32" s="1246"/>
      <c r="BR32" s="1246"/>
      <c r="BS32" s="1246"/>
      <c r="BT32" s="1246"/>
      <c r="BU32" s="1246"/>
      <c r="BV32" s="1246"/>
      <c r="BW32" s="1246"/>
      <c r="BX32" s="1246"/>
      <c r="BY32" s="1247"/>
      <c r="BZ32" s="1189"/>
      <c r="CA32" s="1189"/>
      <c r="CB32" s="1445"/>
      <c r="CC32" s="1446"/>
      <c r="CD32" s="1167"/>
      <c r="CE32" s="1167"/>
      <c r="CF32" s="1167"/>
      <c r="CG32" s="1167"/>
      <c r="CH32" s="1167"/>
      <c r="CI32" s="1167"/>
      <c r="CJ32" s="1174"/>
      <c r="CK32" s="1167"/>
      <c r="CL32" s="1198"/>
      <c r="CM32" s="1198"/>
      <c r="CN32" s="1198"/>
      <c r="CO32" s="1198"/>
      <c r="CP32" s="1198"/>
      <c r="CQ32" s="1198"/>
      <c r="CR32" s="1198"/>
      <c r="CS32" s="1198"/>
      <c r="CT32" s="1198"/>
      <c r="CU32" s="1198"/>
      <c r="CV32" s="1198"/>
      <c r="CW32" s="1198"/>
      <c r="CX32" s="1167"/>
      <c r="CY32" s="1167"/>
      <c r="CZ32" s="1167"/>
      <c r="DA32" s="1321"/>
      <c r="DB32" s="1198"/>
      <c r="DC32" s="1198"/>
      <c r="DD32" s="1198"/>
      <c r="DE32" s="1198"/>
      <c r="DF32" s="1167"/>
      <c r="DG32" s="1174"/>
      <c r="DH32" s="1355"/>
      <c r="DI32" s="1198"/>
      <c r="DJ32" s="1198"/>
      <c r="DK32" s="1198"/>
      <c r="DL32" s="1198"/>
      <c r="DM32" s="1198"/>
      <c r="DN32" s="1198"/>
      <c r="DO32" s="1198"/>
      <c r="DP32" s="1198"/>
      <c r="DQ32" s="1198"/>
      <c r="DR32" s="1198"/>
      <c r="DS32" s="1198"/>
      <c r="DT32" s="1198"/>
      <c r="DU32" s="1167"/>
      <c r="DV32" s="1174"/>
      <c r="DW32" s="1355"/>
      <c r="DX32" s="1198"/>
      <c r="DY32" s="1198"/>
      <c r="DZ32" s="1198"/>
      <c r="EA32" s="1198"/>
      <c r="EB32" s="1198"/>
      <c r="EC32" s="1167"/>
      <c r="ED32" s="1174"/>
      <c r="EE32" s="1355"/>
      <c r="EF32" s="1262"/>
      <c r="EG32" s="1262"/>
      <c r="EH32" s="1262"/>
      <c r="EI32" s="1262"/>
      <c r="EJ32" s="1262"/>
      <c r="EK32" s="1262"/>
      <c r="EL32" s="1262"/>
      <c r="EM32" s="1262"/>
      <c r="EN32" s="1262"/>
      <c r="EO32" s="1262"/>
      <c r="EP32" s="1262"/>
      <c r="EQ32" s="1262"/>
      <c r="ER32" s="1167"/>
      <c r="ES32" s="1465"/>
      <c r="ET32" s="1316"/>
      <c r="EU32" s="1167"/>
      <c r="EV32" s="1167"/>
      <c r="EW32" s="1167"/>
      <c r="EX32" s="1167"/>
      <c r="EY32" s="1167"/>
      <c r="EZ32" s="1167"/>
      <c r="FA32" s="1167"/>
      <c r="FB32" s="1466"/>
      <c r="FC32" s="1167"/>
      <c r="FD32" s="1167"/>
      <c r="FE32" s="1167"/>
      <c r="FF32" s="1167"/>
      <c r="FG32" s="1167"/>
      <c r="FH32" s="1167"/>
      <c r="FI32" s="1167"/>
      <c r="FJ32" s="1139"/>
      <c r="FK32" s="1467" t="s">
        <v>1805</v>
      </c>
      <c r="FL32" s="1217" t="n">
        <f aca="false">FL31+FL29</f>
        <v>0</v>
      </c>
      <c r="FM32" s="1217" t="n">
        <f aca="false">FM31+FM29</f>
        <v>0</v>
      </c>
      <c r="FN32" s="1218" t="n">
        <f aca="false">FN31+FN29</f>
        <v>0</v>
      </c>
      <c r="FO32" s="1167"/>
      <c r="FP32" s="1453"/>
      <c r="FQ32" s="1466"/>
      <c r="FR32" s="1167"/>
      <c r="FS32" s="1167"/>
      <c r="FT32" s="1167"/>
      <c r="FU32" s="1167"/>
      <c r="FV32" s="1167"/>
      <c r="FW32" s="1167"/>
      <c r="FX32" s="1173"/>
      <c r="FY32" s="1167"/>
      <c r="FZ32" s="1175"/>
      <c r="GA32" s="1469"/>
      <c r="GB32" s="1217"/>
      <c r="GC32" s="1217"/>
      <c r="GD32" s="1217"/>
      <c r="GE32" s="1217"/>
      <c r="GF32" s="1218"/>
      <c r="GG32" s="1189"/>
      <c r="GH32" s="1189"/>
      <c r="GI32" s="1167"/>
      <c r="GJ32" s="1167"/>
      <c r="GK32" s="1167"/>
      <c r="GL32" s="1167"/>
      <c r="GM32" s="1167"/>
      <c r="GN32" s="1167"/>
      <c r="GO32" s="1167"/>
      <c r="GP32" s="1167"/>
      <c r="GQ32" s="1167"/>
      <c r="GR32" s="1167"/>
      <c r="GS32" s="1174"/>
      <c r="GT32" s="1355"/>
      <c r="GU32" s="1167"/>
      <c r="GV32" s="1167"/>
      <c r="GW32" s="1167"/>
      <c r="GX32" s="1167"/>
      <c r="GY32" s="1167"/>
      <c r="GZ32" s="1167"/>
      <c r="HA32" s="1167"/>
      <c r="HB32" s="1167"/>
      <c r="HC32" s="1167"/>
      <c r="HD32" s="1167"/>
      <c r="HE32" s="1167"/>
      <c r="HF32" s="1167"/>
      <c r="HG32" s="1167"/>
      <c r="HH32" s="1167"/>
      <c r="HI32" s="1167"/>
      <c r="HJ32" s="1167"/>
      <c r="HK32" s="1167"/>
      <c r="HL32" s="1167"/>
      <c r="HM32" s="1167"/>
      <c r="HN32" s="1167"/>
      <c r="HO32" s="1167"/>
      <c r="HP32" s="1167"/>
      <c r="HQ32" s="1167"/>
    </row>
    <row r="33" customFormat="false" ht="12.75" hidden="false" customHeight="true" outlineLevel="0" collapsed="false">
      <c r="A33" s="1453"/>
      <c r="B33" s="1167"/>
      <c r="C33" s="1167"/>
      <c r="D33" s="1167"/>
      <c r="E33" s="1453"/>
      <c r="F33" s="1167"/>
      <c r="G33" s="1167"/>
      <c r="H33" s="1167"/>
      <c r="I33" s="1139"/>
      <c r="J33" s="1226" t="str">
        <f aca="false">Personnel!A33</f>
        <v>Admin-2</v>
      </c>
      <c r="K33" s="1236" t="n">
        <f aca="false">Personnel!BL33</f>
        <v>0</v>
      </c>
      <c r="L33" s="1217" t="n">
        <f aca="false">Personnel!BM33</f>
        <v>0</v>
      </c>
      <c r="M33" s="1217" t="n">
        <f aca="false">Personnel!BN33</f>
        <v>0</v>
      </c>
      <c r="N33" s="1217" t="n">
        <f aca="false">Personnel!BO33</f>
        <v>0</v>
      </c>
      <c r="O33" s="1218" t="n">
        <f aca="false">Personnel!BP33</f>
        <v>0</v>
      </c>
      <c r="P33" s="1189"/>
      <c r="Q33" s="1146"/>
      <c r="R33" s="1231" t="str">
        <f aca="false">Personnel!A33</f>
        <v>Admin-2</v>
      </c>
      <c r="S33" s="1245" t="n">
        <f aca="false">Personnel!D33</f>
        <v>0</v>
      </c>
      <c r="T33" s="1246" t="n">
        <f aca="false">Personnel!E33</f>
        <v>0</v>
      </c>
      <c r="U33" s="1246" t="n">
        <f aca="false">Personnel!F33</f>
        <v>0</v>
      </c>
      <c r="V33" s="1246" t="n">
        <f aca="false">Personnel!G33</f>
        <v>0</v>
      </c>
      <c r="W33" s="1246" t="n">
        <f aca="false">Personnel!H33</f>
        <v>0</v>
      </c>
      <c r="X33" s="1246" t="n">
        <f aca="false">Personnel!I33</f>
        <v>0</v>
      </c>
      <c r="Y33" s="1246" t="n">
        <f aca="false">Personnel!J33</f>
        <v>0</v>
      </c>
      <c r="Z33" s="1246" t="n">
        <f aca="false">Personnel!K33</f>
        <v>0</v>
      </c>
      <c r="AA33" s="1246" t="n">
        <f aca="false">Personnel!L33</f>
        <v>0</v>
      </c>
      <c r="AB33" s="1246" t="n">
        <f aca="false">Personnel!M33</f>
        <v>0</v>
      </c>
      <c r="AC33" s="1246" t="n">
        <f aca="false">Personnel!N33</f>
        <v>0</v>
      </c>
      <c r="AD33" s="1247" t="n">
        <f aca="false">Personnel!O33</f>
        <v>0</v>
      </c>
      <c r="AE33" s="1167"/>
      <c r="AF33" s="1174"/>
      <c r="AG33" s="1468"/>
      <c r="AH33" s="1198"/>
      <c r="AI33" s="1198"/>
      <c r="AJ33" s="1198"/>
      <c r="AK33" s="1198"/>
      <c r="AL33" s="1198"/>
      <c r="AM33" s="1189"/>
      <c r="AN33" s="1445"/>
      <c r="AO33" s="1468"/>
      <c r="AP33" s="1198"/>
      <c r="AQ33" s="1198"/>
      <c r="AR33" s="1198"/>
      <c r="AS33" s="1198"/>
      <c r="AT33" s="1198"/>
      <c r="AU33" s="1198"/>
      <c r="AV33" s="1167"/>
      <c r="AW33" s="1167"/>
      <c r="AX33" s="1167"/>
      <c r="AY33" s="1167"/>
      <c r="AZ33" s="1167"/>
      <c r="BA33" s="1167"/>
      <c r="BB33" s="1189"/>
      <c r="BC33" s="1189"/>
      <c r="BD33" s="1139"/>
      <c r="BE33" s="1235"/>
      <c r="BF33" s="1236"/>
      <c r="BG33" s="1217"/>
      <c r="BH33" s="1217"/>
      <c r="BI33" s="1217"/>
      <c r="BJ33" s="1218"/>
      <c r="BK33" s="1198"/>
      <c r="BL33" s="1139"/>
      <c r="BM33" s="1386"/>
      <c r="BN33" s="1245"/>
      <c r="BO33" s="1246"/>
      <c r="BP33" s="1246"/>
      <c r="BQ33" s="1246"/>
      <c r="BR33" s="1246"/>
      <c r="BS33" s="1246"/>
      <c r="BT33" s="1246"/>
      <c r="BU33" s="1246"/>
      <c r="BV33" s="1246"/>
      <c r="BW33" s="1246"/>
      <c r="BX33" s="1246"/>
      <c r="BY33" s="1247"/>
      <c r="BZ33" s="1189"/>
      <c r="CA33" s="1189"/>
      <c r="CB33" s="1445"/>
      <c r="CC33" s="1446"/>
      <c r="CD33" s="1167"/>
      <c r="CE33" s="1167"/>
      <c r="CF33" s="1167"/>
      <c r="CG33" s="1167"/>
      <c r="CH33" s="1167"/>
      <c r="CI33" s="1167"/>
      <c r="CJ33" s="1174"/>
      <c r="CK33" s="1167"/>
      <c r="CL33" s="1198"/>
      <c r="CM33" s="1198"/>
      <c r="CN33" s="1198"/>
      <c r="CO33" s="1198"/>
      <c r="CP33" s="1198"/>
      <c r="CQ33" s="1198"/>
      <c r="CR33" s="1198"/>
      <c r="CS33" s="1198"/>
      <c r="CT33" s="1198"/>
      <c r="CU33" s="1198"/>
      <c r="CV33" s="1198"/>
      <c r="CW33" s="1198"/>
      <c r="CX33" s="1167"/>
      <c r="CY33" s="1167"/>
      <c r="CZ33" s="1167"/>
      <c r="DA33" s="1321"/>
      <c r="DB33" s="1198"/>
      <c r="DC33" s="1198"/>
      <c r="DD33" s="1198"/>
      <c r="DE33" s="1198"/>
      <c r="DF33" s="1167"/>
      <c r="DG33" s="1174"/>
      <c r="DH33" s="1355"/>
      <c r="DI33" s="1198"/>
      <c r="DJ33" s="1198"/>
      <c r="DK33" s="1198"/>
      <c r="DL33" s="1198"/>
      <c r="DM33" s="1198"/>
      <c r="DN33" s="1198"/>
      <c r="DO33" s="1198"/>
      <c r="DP33" s="1198"/>
      <c r="DQ33" s="1198"/>
      <c r="DR33" s="1198"/>
      <c r="DS33" s="1198"/>
      <c r="DT33" s="1198"/>
      <c r="DU33" s="1167"/>
      <c r="DV33" s="1174"/>
      <c r="DW33" s="1355"/>
      <c r="DX33" s="1198"/>
      <c r="DY33" s="1198"/>
      <c r="DZ33" s="1198"/>
      <c r="EA33" s="1198"/>
      <c r="EB33" s="1198"/>
      <c r="EC33" s="1167"/>
      <c r="ED33" s="1174"/>
      <c r="EE33" s="1355"/>
      <c r="EF33" s="1262"/>
      <c r="EG33" s="1262"/>
      <c r="EH33" s="1262"/>
      <c r="EI33" s="1262"/>
      <c r="EJ33" s="1262"/>
      <c r="EK33" s="1262"/>
      <c r="EL33" s="1262"/>
      <c r="EM33" s="1262"/>
      <c r="EN33" s="1262"/>
      <c r="EO33" s="1262"/>
      <c r="EP33" s="1262"/>
      <c r="EQ33" s="1262"/>
      <c r="ER33" s="1167"/>
      <c r="ES33" s="1465"/>
      <c r="ET33" s="1316"/>
      <c r="EU33" s="1167"/>
      <c r="EV33" s="1167"/>
      <c r="EW33" s="1167"/>
      <c r="EX33" s="1167"/>
      <c r="EY33" s="1167"/>
      <c r="EZ33" s="1167"/>
      <c r="FA33" s="1167"/>
      <c r="FB33" s="1466"/>
      <c r="FC33" s="1167"/>
      <c r="FD33" s="1167"/>
      <c r="FE33" s="1167"/>
      <c r="FF33" s="1167"/>
      <c r="FG33" s="1167"/>
      <c r="FH33" s="1167"/>
      <c r="FI33" s="1167"/>
      <c r="FJ33" s="1139"/>
      <c r="FK33" s="1467"/>
      <c r="FL33" s="1217"/>
      <c r="FM33" s="1217"/>
      <c r="FN33" s="1218"/>
      <c r="FO33" s="1167"/>
      <c r="FP33" s="1453"/>
      <c r="FQ33" s="1466"/>
      <c r="FR33" s="1167"/>
      <c r="FS33" s="1167"/>
      <c r="FT33" s="1167"/>
      <c r="FU33" s="1167"/>
      <c r="FV33" s="1167"/>
      <c r="FW33" s="1167"/>
      <c r="FX33" s="1173"/>
      <c r="FY33" s="1167"/>
      <c r="FZ33" s="1175"/>
      <c r="GA33" s="1467"/>
      <c r="GB33" s="1217"/>
      <c r="GC33" s="1217"/>
      <c r="GD33" s="1217"/>
      <c r="GE33" s="1217"/>
      <c r="GF33" s="1218"/>
      <c r="GG33" s="1189"/>
      <c r="GH33" s="1189"/>
      <c r="GI33" s="1167"/>
      <c r="GJ33" s="1167"/>
      <c r="GK33" s="1167"/>
      <c r="GL33" s="1167"/>
      <c r="GM33" s="1167"/>
      <c r="GN33" s="1167"/>
      <c r="GO33" s="1167"/>
      <c r="GP33" s="1167"/>
      <c r="GQ33" s="1167"/>
      <c r="GR33" s="1167"/>
      <c r="GS33" s="1174"/>
      <c r="GT33" s="1355"/>
      <c r="GU33" s="1167"/>
      <c r="GV33" s="1167"/>
      <c r="GW33" s="1167"/>
      <c r="GX33" s="1167"/>
      <c r="GY33" s="1167"/>
      <c r="GZ33" s="1167"/>
      <c r="HA33" s="1167"/>
      <c r="HB33" s="1167"/>
      <c r="HC33" s="1167"/>
      <c r="HD33" s="1167"/>
      <c r="HE33" s="1167"/>
      <c r="HF33" s="1167"/>
      <c r="HG33" s="1167"/>
      <c r="HH33" s="1167"/>
      <c r="HI33" s="1167"/>
      <c r="HJ33" s="1167"/>
      <c r="HK33" s="1167"/>
      <c r="HL33" s="1167"/>
      <c r="HM33" s="1167"/>
      <c r="HN33" s="1167"/>
      <c r="HO33" s="1167"/>
      <c r="HP33" s="1167"/>
      <c r="HQ33" s="1167"/>
    </row>
    <row r="34" customFormat="false" ht="12.75" hidden="false" customHeight="true" outlineLevel="0" collapsed="false">
      <c r="A34" s="1453"/>
      <c r="B34" s="1167"/>
      <c r="C34" s="1167"/>
      <c r="D34" s="1167"/>
      <c r="E34" s="1453"/>
      <c r="F34" s="1167"/>
      <c r="G34" s="1167"/>
      <c r="H34" s="1167"/>
      <c r="I34" s="1139"/>
      <c r="J34" s="1226" t="str">
        <f aca="false">Personnel!A34</f>
        <v>Trades-3</v>
      </c>
      <c r="K34" s="1236" t="n">
        <f aca="false">Personnel!BL34</f>
        <v>0</v>
      </c>
      <c r="L34" s="1217" t="n">
        <f aca="false">Personnel!BM34</f>
        <v>0</v>
      </c>
      <c r="M34" s="1217" t="n">
        <f aca="false">Personnel!BN34</f>
        <v>0</v>
      </c>
      <c r="N34" s="1217" t="n">
        <f aca="false">Personnel!BO34</f>
        <v>0</v>
      </c>
      <c r="O34" s="1218" t="n">
        <f aca="false">Personnel!BP34</f>
        <v>0</v>
      </c>
      <c r="P34" s="1189"/>
      <c r="Q34" s="1146"/>
      <c r="R34" s="1231" t="str">
        <f aca="false">Personnel!A34</f>
        <v>Trades-3</v>
      </c>
      <c r="S34" s="1245" t="n">
        <f aca="false">Personnel!D34</f>
        <v>0</v>
      </c>
      <c r="T34" s="1246" t="n">
        <f aca="false">Personnel!E34</f>
        <v>0</v>
      </c>
      <c r="U34" s="1246" t="n">
        <f aca="false">Personnel!F34</f>
        <v>0</v>
      </c>
      <c r="V34" s="1246" t="n">
        <f aca="false">Personnel!G34</f>
        <v>0</v>
      </c>
      <c r="W34" s="1246" t="n">
        <f aca="false">Personnel!H34</f>
        <v>0</v>
      </c>
      <c r="X34" s="1246" t="n">
        <f aca="false">Personnel!I34</f>
        <v>0</v>
      </c>
      <c r="Y34" s="1246" t="n">
        <f aca="false">Personnel!J34</f>
        <v>0</v>
      </c>
      <c r="Z34" s="1246" t="n">
        <f aca="false">Personnel!K34</f>
        <v>0</v>
      </c>
      <c r="AA34" s="1246" t="n">
        <f aca="false">Personnel!L34</f>
        <v>0</v>
      </c>
      <c r="AB34" s="1246" t="n">
        <f aca="false">Personnel!M34</f>
        <v>0</v>
      </c>
      <c r="AC34" s="1246" t="n">
        <f aca="false">Personnel!N34</f>
        <v>0</v>
      </c>
      <c r="AD34" s="1247" t="n">
        <f aca="false">Personnel!O34</f>
        <v>0</v>
      </c>
      <c r="AE34" s="1167"/>
      <c r="AF34" s="1174"/>
      <c r="AG34" s="1468"/>
      <c r="AH34" s="1198"/>
      <c r="AI34" s="1198"/>
      <c r="AJ34" s="1198"/>
      <c r="AK34" s="1198"/>
      <c r="AL34" s="1198"/>
      <c r="AM34" s="1189"/>
      <c r="AN34" s="1445"/>
      <c r="AO34" s="1468"/>
      <c r="AP34" s="1198"/>
      <c r="AQ34" s="1198"/>
      <c r="AR34" s="1198"/>
      <c r="AS34" s="1198"/>
      <c r="AT34" s="1198"/>
      <c r="AU34" s="1198"/>
      <c r="AV34" s="1167"/>
      <c r="AW34" s="1167"/>
      <c r="AX34" s="1167"/>
      <c r="AY34" s="1167"/>
      <c r="AZ34" s="1167"/>
      <c r="BA34" s="1167"/>
      <c r="BB34" s="1189"/>
      <c r="BC34" s="1189"/>
      <c r="BD34" s="1139"/>
      <c r="BE34" s="1235"/>
      <c r="BF34" s="1236"/>
      <c r="BG34" s="1217"/>
      <c r="BH34" s="1217"/>
      <c r="BI34" s="1217"/>
      <c r="BJ34" s="1218"/>
      <c r="BK34" s="1198"/>
      <c r="BL34" s="1139"/>
      <c r="BM34" s="1386"/>
      <c r="BN34" s="1245"/>
      <c r="BO34" s="1246"/>
      <c r="BP34" s="1246"/>
      <c r="BQ34" s="1246"/>
      <c r="BR34" s="1246"/>
      <c r="BS34" s="1246"/>
      <c r="BT34" s="1246"/>
      <c r="BU34" s="1246"/>
      <c r="BV34" s="1246"/>
      <c r="BW34" s="1246"/>
      <c r="BX34" s="1246"/>
      <c r="BY34" s="1247"/>
      <c r="BZ34" s="1189"/>
      <c r="CA34" s="1189"/>
      <c r="CB34" s="1445"/>
      <c r="CC34" s="1446"/>
      <c r="CD34" s="1167"/>
      <c r="CE34" s="1167"/>
      <c r="CF34" s="1167"/>
      <c r="CG34" s="1167"/>
      <c r="CH34" s="1167"/>
      <c r="CI34" s="1167"/>
      <c r="CJ34" s="1174"/>
      <c r="CK34" s="1167"/>
      <c r="CL34" s="1198"/>
      <c r="CM34" s="1198"/>
      <c r="CN34" s="1198"/>
      <c r="CO34" s="1198"/>
      <c r="CP34" s="1198"/>
      <c r="CQ34" s="1198"/>
      <c r="CR34" s="1198"/>
      <c r="CS34" s="1198"/>
      <c r="CT34" s="1198"/>
      <c r="CU34" s="1198"/>
      <c r="CV34" s="1198"/>
      <c r="CW34" s="1198"/>
      <c r="CX34" s="1167"/>
      <c r="CY34" s="1167"/>
      <c r="CZ34" s="1167"/>
      <c r="DA34" s="1321"/>
      <c r="DB34" s="1198"/>
      <c r="DC34" s="1198"/>
      <c r="DD34" s="1198"/>
      <c r="DE34" s="1198"/>
      <c r="DF34" s="1167"/>
      <c r="DG34" s="1174"/>
      <c r="DH34" s="1355"/>
      <c r="DI34" s="1198"/>
      <c r="DJ34" s="1198"/>
      <c r="DK34" s="1198"/>
      <c r="DL34" s="1198"/>
      <c r="DM34" s="1198"/>
      <c r="DN34" s="1198"/>
      <c r="DO34" s="1198"/>
      <c r="DP34" s="1198"/>
      <c r="DQ34" s="1198"/>
      <c r="DR34" s="1198"/>
      <c r="DS34" s="1198"/>
      <c r="DT34" s="1198"/>
      <c r="DU34" s="1167"/>
      <c r="DV34" s="1174"/>
      <c r="DW34" s="1355"/>
      <c r="DX34" s="1198"/>
      <c r="DY34" s="1198"/>
      <c r="DZ34" s="1198"/>
      <c r="EA34" s="1198"/>
      <c r="EB34" s="1198"/>
      <c r="EC34" s="1167"/>
      <c r="ED34" s="1174"/>
      <c r="EE34" s="1355"/>
      <c r="EF34" s="1262"/>
      <c r="EG34" s="1262"/>
      <c r="EH34" s="1262"/>
      <c r="EI34" s="1262"/>
      <c r="EJ34" s="1262"/>
      <c r="EK34" s="1262"/>
      <c r="EL34" s="1262"/>
      <c r="EM34" s="1262"/>
      <c r="EN34" s="1262"/>
      <c r="EO34" s="1262"/>
      <c r="EP34" s="1262"/>
      <c r="EQ34" s="1262"/>
      <c r="ER34" s="1167"/>
      <c r="ES34" s="1465"/>
      <c r="ET34" s="1316"/>
      <c r="EU34" s="1167"/>
      <c r="EV34" s="1167"/>
      <c r="EW34" s="1167"/>
      <c r="EX34" s="1167"/>
      <c r="EY34" s="1167"/>
      <c r="EZ34" s="1167"/>
      <c r="FA34" s="1167"/>
      <c r="FB34" s="1466"/>
      <c r="FC34" s="1167"/>
      <c r="FD34" s="1167"/>
      <c r="FE34" s="1167"/>
      <c r="FF34" s="1167"/>
      <c r="FG34" s="1167"/>
      <c r="FH34" s="1167"/>
      <c r="FI34" s="1167"/>
      <c r="FJ34" s="1139"/>
      <c r="FK34" s="1469" t="str">
        <f aca="false">Existing!A28</f>
        <v>Paid-in Capital</v>
      </c>
      <c r="FL34" s="1217" t="n">
        <f aca="false">Existing!B28</f>
        <v>0</v>
      </c>
      <c r="FM34" s="1217" t="n">
        <f aca="false">Existing!C28</f>
        <v>0</v>
      </c>
      <c r="FN34" s="1218" t="n">
        <f aca="false">Existing!D28</f>
        <v>0</v>
      </c>
      <c r="FO34" s="1167"/>
      <c r="FP34" s="1453"/>
      <c r="FQ34" s="1466"/>
      <c r="FR34" s="1167"/>
      <c r="FS34" s="1167"/>
      <c r="FT34" s="1167"/>
      <c r="FU34" s="1167"/>
      <c r="FV34" s="1167"/>
      <c r="FW34" s="1167"/>
      <c r="FX34" s="1173"/>
      <c r="FY34" s="1167"/>
      <c r="FZ34" s="1175"/>
      <c r="GA34" s="1467"/>
      <c r="GB34" s="1217"/>
      <c r="GC34" s="1217"/>
      <c r="GD34" s="1217"/>
      <c r="GE34" s="1217"/>
      <c r="GF34" s="1218"/>
      <c r="GG34" s="1189"/>
      <c r="GH34" s="1189"/>
      <c r="GI34" s="1167"/>
      <c r="GJ34" s="1167"/>
      <c r="GK34" s="1167"/>
      <c r="GL34" s="1167"/>
      <c r="GM34" s="1167"/>
      <c r="GN34" s="1167"/>
      <c r="GO34" s="1167"/>
      <c r="GP34" s="1167"/>
      <c r="GQ34" s="1167"/>
      <c r="GR34" s="1167"/>
      <c r="GS34" s="1174"/>
      <c r="GT34" s="1355"/>
      <c r="GU34" s="1167"/>
      <c r="GV34" s="1167"/>
      <c r="GW34" s="1167"/>
      <c r="GX34" s="1167"/>
      <c r="GY34" s="1167"/>
      <c r="GZ34" s="1167"/>
      <c r="HA34" s="1167"/>
      <c r="HB34" s="1167"/>
      <c r="HC34" s="1167"/>
      <c r="HD34" s="1167"/>
      <c r="HE34" s="1167"/>
      <c r="HF34" s="1167"/>
      <c r="HG34" s="1167"/>
      <c r="HH34" s="1167"/>
      <c r="HI34" s="1167"/>
      <c r="HJ34" s="1167"/>
      <c r="HK34" s="1167"/>
      <c r="HL34" s="1167"/>
      <c r="HM34" s="1167"/>
      <c r="HN34" s="1167"/>
      <c r="HO34" s="1167"/>
      <c r="HP34" s="1167"/>
      <c r="HQ34" s="1167"/>
    </row>
    <row r="35" customFormat="false" ht="12.75" hidden="false" customHeight="true" outlineLevel="0" collapsed="false">
      <c r="A35" s="1453"/>
      <c r="B35" s="1167"/>
      <c r="C35" s="1167"/>
      <c r="D35" s="1167"/>
      <c r="E35" s="1453"/>
      <c r="F35" s="1167"/>
      <c r="G35" s="1167"/>
      <c r="H35" s="1167"/>
      <c r="I35" s="1139"/>
      <c r="J35" s="1226" t="str">
        <f aca="false">Personnel!A35</f>
        <v>Admin-3</v>
      </c>
      <c r="K35" s="1236" t="n">
        <f aca="false">Personnel!BL35</f>
        <v>0</v>
      </c>
      <c r="L35" s="1217" t="n">
        <f aca="false">Personnel!BM35</f>
        <v>0</v>
      </c>
      <c r="M35" s="1217" t="n">
        <f aca="false">Personnel!BN35</f>
        <v>0</v>
      </c>
      <c r="N35" s="1217" t="n">
        <f aca="false">Personnel!BO35</f>
        <v>0</v>
      </c>
      <c r="O35" s="1218" t="n">
        <f aca="false">Personnel!BP35</f>
        <v>0</v>
      </c>
      <c r="P35" s="1189"/>
      <c r="Q35" s="1146"/>
      <c r="R35" s="1231" t="str">
        <f aca="false">Personnel!A35</f>
        <v>Admin-3</v>
      </c>
      <c r="S35" s="1245" t="n">
        <f aca="false">Personnel!D35</f>
        <v>0</v>
      </c>
      <c r="T35" s="1246" t="n">
        <f aca="false">Personnel!E35</f>
        <v>0</v>
      </c>
      <c r="U35" s="1246" t="n">
        <f aca="false">Personnel!F35</f>
        <v>0</v>
      </c>
      <c r="V35" s="1246" t="n">
        <f aca="false">Personnel!G35</f>
        <v>0</v>
      </c>
      <c r="W35" s="1246" t="n">
        <f aca="false">Personnel!H35</f>
        <v>0</v>
      </c>
      <c r="X35" s="1246" t="n">
        <f aca="false">Personnel!I35</f>
        <v>0</v>
      </c>
      <c r="Y35" s="1246" t="n">
        <f aca="false">Personnel!J35</f>
        <v>0</v>
      </c>
      <c r="Z35" s="1246" t="n">
        <f aca="false">Personnel!K35</f>
        <v>0</v>
      </c>
      <c r="AA35" s="1246" t="n">
        <f aca="false">Personnel!L35</f>
        <v>0</v>
      </c>
      <c r="AB35" s="1246" t="n">
        <f aca="false">Personnel!M35</f>
        <v>0</v>
      </c>
      <c r="AC35" s="1246" t="n">
        <f aca="false">Personnel!N35</f>
        <v>0</v>
      </c>
      <c r="AD35" s="1247" t="n">
        <f aca="false">Personnel!O35</f>
        <v>0</v>
      </c>
      <c r="AE35" s="1167"/>
      <c r="AF35" s="1174"/>
      <c r="AG35" s="1468"/>
      <c r="AH35" s="1198"/>
      <c r="AI35" s="1198"/>
      <c r="AJ35" s="1198"/>
      <c r="AK35" s="1198"/>
      <c r="AL35" s="1198"/>
      <c r="AM35" s="1189"/>
      <c r="AN35" s="1445"/>
      <c r="AO35" s="1468"/>
      <c r="AP35" s="1198"/>
      <c r="AQ35" s="1198"/>
      <c r="AR35" s="1198"/>
      <c r="AS35" s="1198"/>
      <c r="AT35" s="1198"/>
      <c r="AU35" s="1198"/>
      <c r="AV35" s="1167"/>
      <c r="AW35" s="1167"/>
      <c r="AX35" s="1167"/>
      <c r="AY35" s="1167"/>
      <c r="AZ35" s="1167"/>
      <c r="BA35" s="1167"/>
      <c r="BB35" s="1189"/>
      <c r="BC35" s="1189"/>
      <c r="BD35" s="1139"/>
      <c r="BE35" s="1235"/>
      <c r="BF35" s="1236"/>
      <c r="BG35" s="1217"/>
      <c r="BH35" s="1217"/>
      <c r="BI35" s="1217"/>
      <c r="BJ35" s="1218"/>
      <c r="BK35" s="1198"/>
      <c r="BL35" s="1139"/>
      <c r="BM35" s="1386"/>
      <c r="BN35" s="1245"/>
      <c r="BO35" s="1246"/>
      <c r="BP35" s="1246"/>
      <c r="BQ35" s="1246"/>
      <c r="BR35" s="1246"/>
      <c r="BS35" s="1246"/>
      <c r="BT35" s="1246"/>
      <c r="BU35" s="1246"/>
      <c r="BV35" s="1246"/>
      <c r="BW35" s="1246"/>
      <c r="BX35" s="1246"/>
      <c r="BY35" s="1247"/>
      <c r="BZ35" s="1189"/>
      <c r="CA35" s="1189"/>
      <c r="CB35" s="1445"/>
      <c r="CC35" s="1446"/>
      <c r="CD35" s="1167"/>
      <c r="CE35" s="1167"/>
      <c r="CF35" s="1167"/>
      <c r="CG35" s="1167"/>
      <c r="CH35" s="1167"/>
      <c r="CI35" s="1167"/>
      <c r="CJ35" s="1174"/>
      <c r="CK35" s="1167"/>
      <c r="CL35" s="1198"/>
      <c r="CM35" s="1198"/>
      <c r="CN35" s="1198"/>
      <c r="CO35" s="1198"/>
      <c r="CP35" s="1198"/>
      <c r="CQ35" s="1198"/>
      <c r="CR35" s="1198"/>
      <c r="CS35" s="1198"/>
      <c r="CT35" s="1198"/>
      <c r="CU35" s="1198"/>
      <c r="CV35" s="1198"/>
      <c r="CW35" s="1198"/>
      <c r="CX35" s="1167"/>
      <c r="CY35" s="1167"/>
      <c r="CZ35" s="1167"/>
      <c r="DA35" s="1321"/>
      <c r="DB35" s="1198"/>
      <c r="DC35" s="1198"/>
      <c r="DD35" s="1198"/>
      <c r="DE35" s="1198"/>
      <c r="DF35" s="1167"/>
      <c r="DG35" s="1174"/>
      <c r="DH35" s="1355"/>
      <c r="DI35" s="1198"/>
      <c r="DJ35" s="1198"/>
      <c r="DK35" s="1198"/>
      <c r="DL35" s="1198"/>
      <c r="DM35" s="1198"/>
      <c r="DN35" s="1198"/>
      <c r="DO35" s="1198"/>
      <c r="DP35" s="1198"/>
      <c r="DQ35" s="1198"/>
      <c r="DR35" s="1198"/>
      <c r="DS35" s="1198"/>
      <c r="DT35" s="1198"/>
      <c r="DU35" s="1167"/>
      <c r="DV35" s="1174"/>
      <c r="DW35" s="1355"/>
      <c r="DX35" s="1198"/>
      <c r="DY35" s="1198"/>
      <c r="DZ35" s="1198"/>
      <c r="EA35" s="1198"/>
      <c r="EB35" s="1198"/>
      <c r="EC35" s="1167"/>
      <c r="ED35" s="1174"/>
      <c r="EE35" s="1355"/>
      <c r="EF35" s="1262"/>
      <c r="EG35" s="1262"/>
      <c r="EH35" s="1262"/>
      <c r="EI35" s="1262"/>
      <c r="EJ35" s="1262"/>
      <c r="EK35" s="1262"/>
      <c r="EL35" s="1262"/>
      <c r="EM35" s="1262"/>
      <c r="EN35" s="1262"/>
      <c r="EO35" s="1262"/>
      <c r="EP35" s="1262"/>
      <c r="EQ35" s="1262"/>
      <c r="ER35" s="1167"/>
      <c r="ES35" s="1465"/>
      <c r="ET35" s="1316"/>
      <c r="EU35" s="1167"/>
      <c r="EV35" s="1167"/>
      <c r="EW35" s="1167"/>
      <c r="EX35" s="1167"/>
      <c r="EY35" s="1167"/>
      <c r="EZ35" s="1167"/>
      <c r="FA35" s="1167"/>
      <c r="FB35" s="1466"/>
      <c r="FC35" s="1167"/>
      <c r="FD35" s="1167"/>
      <c r="FE35" s="1167"/>
      <c r="FF35" s="1167"/>
      <c r="FG35" s="1167"/>
      <c r="FH35" s="1167"/>
      <c r="FI35" s="1167"/>
      <c r="FJ35" s="1139"/>
      <c r="FK35" s="1469" t="str">
        <f aca="false">Existing!A29</f>
        <v>Retained Earnings</v>
      </c>
      <c r="FL35" s="1217" t="n">
        <f aca="false">Existing!B29</f>
        <v>-50744159.8678398</v>
      </c>
      <c r="FM35" s="1217" t="n">
        <f aca="false">Existing!C29</f>
        <v>-8408716.91682543</v>
      </c>
      <c r="FN35" s="1218" t="n">
        <f aca="false">Existing!D29</f>
        <v>3831206.37527624</v>
      </c>
      <c r="FO35" s="1167"/>
      <c r="FP35" s="1453"/>
      <c r="FQ35" s="1466"/>
      <c r="FR35" s="1167"/>
      <c r="FS35" s="1167"/>
      <c r="FT35" s="1167"/>
      <c r="FU35" s="1167"/>
      <c r="FV35" s="1167"/>
      <c r="FW35" s="1167"/>
      <c r="FX35" s="1173"/>
      <c r="FY35" s="1167"/>
      <c r="FZ35" s="1175"/>
      <c r="GA35" s="1467"/>
      <c r="GB35" s="1217"/>
      <c r="GC35" s="1217"/>
      <c r="GD35" s="1217"/>
      <c r="GE35" s="1217"/>
      <c r="GF35" s="1218"/>
      <c r="GG35" s="1189"/>
      <c r="GH35" s="1189"/>
      <c r="GI35" s="1167"/>
      <c r="GJ35" s="1167"/>
      <c r="GK35" s="1167"/>
      <c r="GL35" s="1167"/>
      <c r="GM35" s="1167"/>
      <c r="GN35" s="1167"/>
      <c r="GO35" s="1167"/>
      <c r="GP35" s="1167"/>
      <c r="GQ35" s="1167"/>
      <c r="GR35" s="1167"/>
      <c r="GS35" s="1174"/>
      <c r="GT35" s="1355"/>
      <c r="GU35" s="1167"/>
      <c r="GV35" s="1167"/>
      <c r="GW35" s="1167"/>
      <c r="GX35" s="1167"/>
      <c r="GY35" s="1167"/>
      <c r="GZ35" s="1167"/>
      <c r="HA35" s="1167"/>
      <c r="HB35" s="1167"/>
      <c r="HC35" s="1167"/>
      <c r="HD35" s="1167"/>
      <c r="HE35" s="1167"/>
      <c r="HF35" s="1167"/>
      <c r="HG35" s="1167"/>
      <c r="HH35" s="1167"/>
      <c r="HI35" s="1167"/>
      <c r="HJ35" s="1167"/>
      <c r="HK35" s="1167"/>
      <c r="HL35" s="1167"/>
      <c r="HM35" s="1167"/>
      <c r="HN35" s="1167"/>
      <c r="HO35" s="1167"/>
      <c r="HP35" s="1167"/>
      <c r="HQ35" s="1167"/>
    </row>
    <row r="36" customFormat="false" ht="12.75" hidden="false" customHeight="true" outlineLevel="0" collapsed="false">
      <c r="A36" s="1453"/>
      <c r="B36" s="1167"/>
      <c r="C36" s="1167"/>
      <c r="D36" s="1167"/>
      <c r="E36" s="1453"/>
      <c r="F36" s="1167"/>
      <c r="G36" s="1167"/>
      <c r="H36" s="1167"/>
      <c r="I36" s="1139"/>
      <c r="J36" s="1226" t="n">
        <f aca="false">Personnel!A36</f>
        <v>0</v>
      </c>
      <c r="K36" s="1236" t="n">
        <f aca="false">Personnel!BL36</f>
        <v>0</v>
      </c>
      <c r="L36" s="1217" t="n">
        <f aca="false">Personnel!BM36</f>
        <v>0</v>
      </c>
      <c r="M36" s="1217" t="n">
        <f aca="false">Personnel!BN36</f>
        <v>0</v>
      </c>
      <c r="N36" s="1217" t="n">
        <f aca="false">Personnel!BO36</f>
        <v>0</v>
      </c>
      <c r="O36" s="1218" t="n">
        <f aca="false">Personnel!BP36</f>
        <v>0</v>
      </c>
      <c r="P36" s="1189"/>
      <c r="Q36" s="1146"/>
      <c r="R36" s="1231" t="n">
        <f aca="false">Personnel!A36</f>
        <v>0</v>
      </c>
      <c r="S36" s="1245" t="n">
        <f aca="false">Personnel!D36</f>
        <v>0</v>
      </c>
      <c r="T36" s="1246" t="n">
        <f aca="false">Personnel!E36</f>
        <v>0</v>
      </c>
      <c r="U36" s="1246" t="n">
        <f aca="false">Personnel!F36</f>
        <v>0</v>
      </c>
      <c r="V36" s="1246" t="n">
        <f aca="false">Personnel!G36</f>
        <v>0</v>
      </c>
      <c r="W36" s="1246" t="n">
        <f aca="false">Personnel!H36</f>
        <v>0</v>
      </c>
      <c r="X36" s="1246" t="n">
        <f aca="false">Personnel!I36</f>
        <v>0</v>
      </c>
      <c r="Y36" s="1246" t="n">
        <f aca="false">Personnel!J36</f>
        <v>0</v>
      </c>
      <c r="Z36" s="1246" t="n">
        <f aca="false">Personnel!K36</f>
        <v>0</v>
      </c>
      <c r="AA36" s="1246" t="n">
        <f aca="false">Personnel!L36</f>
        <v>0</v>
      </c>
      <c r="AB36" s="1246" t="n">
        <f aca="false">Personnel!M36</f>
        <v>0</v>
      </c>
      <c r="AC36" s="1246" t="n">
        <f aca="false">Personnel!N36</f>
        <v>0</v>
      </c>
      <c r="AD36" s="1247" t="n">
        <f aca="false">Personnel!O36</f>
        <v>0</v>
      </c>
      <c r="AE36" s="1167"/>
      <c r="AF36" s="1174"/>
      <c r="AG36" s="1468"/>
      <c r="AH36" s="1198"/>
      <c r="AI36" s="1198"/>
      <c r="AJ36" s="1198"/>
      <c r="AK36" s="1198"/>
      <c r="AL36" s="1198"/>
      <c r="AM36" s="1189"/>
      <c r="AN36" s="1445"/>
      <c r="AO36" s="1468"/>
      <c r="AP36" s="1198"/>
      <c r="AQ36" s="1198"/>
      <c r="AR36" s="1198"/>
      <c r="AS36" s="1198"/>
      <c r="AT36" s="1198"/>
      <c r="AU36" s="1198"/>
      <c r="AV36" s="1167"/>
      <c r="AW36" s="1167"/>
      <c r="AX36" s="1167"/>
      <c r="AY36" s="1167"/>
      <c r="AZ36" s="1167"/>
      <c r="BA36" s="1167"/>
      <c r="BB36" s="1189"/>
      <c r="BC36" s="1189"/>
      <c r="BD36" s="1139"/>
      <c r="BE36" s="1295"/>
      <c r="BF36" s="1276"/>
      <c r="BG36" s="1277"/>
      <c r="BH36" s="1277"/>
      <c r="BI36" s="1277"/>
      <c r="BJ36" s="1278"/>
      <c r="BK36" s="1198"/>
      <c r="BL36" s="1139"/>
      <c r="BM36" s="1417"/>
      <c r="BN36" s="1296"/>
      <c r="BO36" s="1297"/>
      <c r="BP36" s="1297"/>
      <c r="BQ36" s="1297"/>
      <c r="BR36" s="1297"/>
      <c r="BS36" s="1297"/>
      <c r="BT36" s="1297"/>
      <c r="BU36" s="1297"/>
      <c r="BV36" s="1297"/>
      <c r="BW36" s="1297"/>
      <c r="BX36" s="1297"/>
      <c r="BY36" s="1298"/>
      <c r="BZ36" s="1189"/>
      <c r="CA36" s="1189"/>
      <c r="CB36" s="1445"/>
      <c r="CC36" s="1446"/>
      <c r="CD36" s="1167"/>
      <c r="CE36" s="1167"/>
      <c r="CF36" s="1167"/>
      <c r="CG36" s="1167"/>
      <c r="CH36" s="1167"/>
      <c r="CI36" s="1167"/>
      <c r="CJ36" s="1174"/>
      <c r="CK36" s="1167"/>
      <c r="CL36" s="1198"/>
      <c r="CM36" s="1198"/>
      <c r="CN36" s="1198"/>
      <c r="CO36" s="1198"/>
      <c r="CP36" s="1198"/>
      <c r="CQ36" s="1198"/>
      <c r="CR36" s="1198"/>
      <c r="CS36" s="1198"/>
      <c r="CT36" s="1198"/>
      <c r="CU36" s="1198"/>
      <c r="CV36" s="1198"/>
      <c r="CW36" s="1198"/>
      <c r="CX36" s="1167"/>
      <c r="CY36" s="1167"/>
      <c r="CZ36" s="1167"/>
      <c r="DA36" s="1321"/>
      <c r="DB36" s="1198"/>
      <c r="DC36" s="1198"/>
      <c r="DD36" s="1198"/>
      <c r="DE36" s="1198"/>
      <c r="DF36" s="1167"/>
      <c r="DG36" s="1174"/>
      <c r="DH36" s="1355"/>
      <c r="DI36" s="1198"/>
      <c r="DJ36" s="1198"/>
      <c r="DK36" s="1198"/>
      <c r="DL36" s="1198"/>
      <c r="DM36" s="1198"/>
      <c r="DN36" s="1198"/>
      <c r="DO36" s="1198"/>
      <c r="DP36" s="1198"/>
      <c r="DQ36" s="1198"/>
      <c r="DR36" s="1198"/>
      <c r="DS36" s="1198"/>
      <c r="DT36" s="1198"/>
      <c r="DU36" s="1167"/>
      <c r="DV36" s="1174"/>
      <c r="DW36" s="1355"/>
      <c r="DX36" s="1198"/>
      <c r="DY36" s="1198"/>
      <c r="DZ36" s="1198"/>
      <c r="EA36" s="1198"/>
      <c r="EB36" s="1198"/>
      <c r="EC36" s="1167"/>
      <c r="ED36" s="1174"/>
      <c r="EE36" s="1355"/>
      <c r="EF36" s="1262"/>
      <c r="EG36" s="1262"/>
      <c r="EH36" s="1262"/>
      <c r="EI36" s="1262"/>
      <c r="EJ36" s="1262"/>
      <c r="EK36" s="1262"/>
      <c r="EL36" s="1262"/>
      <c r="EM36" s="1262"/>
      <c r="EN36" s="1262"/>
      <c r="EO36" s="1262"/>
      <c r="EP36" s="1262"/>
      <c r="EQ36" s="1262"/>
      <c r="ER36" s="1167"/>
      <c r="ES36" s="1465"/>
      <c r="ET36" s="1316"/>
      <c r="EU36" s="1167"/>
      <c r="EV36" s="1167"/>
      <c r="EW36" s="1167"/>
      <c r="EX36" s="1167"/>
      <c r="EY36" s="1167"/>
      <c r="EZ36" s="1167"/>
      <c r="FA36" s="1167"/>
      <c r="FB36" s="1466"/>
      <c r="FC36" s="1167"/>
      <c r="FD36" s="1167"/>
      <c r="FE36" s="1167"/>
      <c r="FF36" s="1167"/>
      <c r="FG36" s="1167"/>
      <c r="FH36" s="1167"/>
      <c r="FI36" s="1167"/>
      <c r="FJ36" s="1139"/>
      <c r="FK36" s="1469" t="str">
        <f aca="false">Existing!A30</f>
        <v>Current Year Earnings</v>
      </c>
      <c r="FL36" s="1217" t="n">
        <f aca="false">Existing!B30</f>
        <v>50744159.8678398</v>
      </c>
      <c r="FM36" s="1217" t="n">
        <f aca="false">Existing!C30</f>
        <v>8408716.91682543</v>
      </c>
      <c r="FN36" s="1218" t="n">
        <f aca="false">Existing!D30</f>
        <v>-3831207.37527624</v>
      </c>
      <c r="FO36" s="1167"/>
      <c r="FP36" s="1453"/>
      <c r="FQ36" s="1466"/>
      <c r="FR36" s="1167"/>
      <c r="FS36" s="1167"/>
      <c r="FT36" s="1167"/>
      <c r="FU36" s="1167"/>
      <c r="FV36" s="1167"/>
      <c r="FW36" s="1167"/>
      <c r="FX36" s="1173"/>
      <c r="FY36" s="1167"/>
      <c r="FZ36" s="1175"/>
      <c r="GA36" s="1467"/>
      <c r="GB36" s="1217"/>
      <c r="GC36" s="1217"/>
      <c r="GD36" s="1217"/>
      <c r="GE36" s="1217"/>
      <c r="GF36" s="1218"/>
      <c r="GG36" s="1189"/>
      <c r="GH36" s="1189"/>
      <c r="GI36" s="1167"/>
      <c r="GJ36" s="1167"/>
      <c r="GK36" s="1167"/>
      <c r="GL36" s="1167"/>
      <c r="GM36" s="1167"/>
      <c r="GN36" s="1167"/>
      <c r="GO36" s="1167"/>
      <c r="GP36" s="1167"/>
      <c r="GQ36" s="1167"/>
      <c r="GR36" s="1167"/>
      <c r="GS36" s="1174"/>
      <c r="GT36" s="1355"/>
      <c r="GU36" s="1167"/>
      <c r="GV36" s="1167"/>
      <c r="GW36" s="1167"/>
      <c r="GX36" s="1167"/>
      <c r="GY36" s="1167"/>
      <c r="GZ36" s="1167"/>
      <c r="HA36" s="1167"/>
      <c r="HB36" s="1167"/>
      <c r="HC36" s="1167"/>
      <c r="HD36" s="1167"/>
      <c r="HE36" s="1167"/>
      <c r="HF36" s="1167"/>
      <c r="HG36" s="1167"/>
      <c r="HH36" s="1167"/>
      <c r="HI36" s="1167"/>
      <c r="HJ36" s="1167"/>
      <c r="HK36" s="1167"/>
      <c r="HL36" s="1167"/>
      <c r="HM36" s="1167"/>
      <c r="HN36" s="1167"/>
      <c r="HO36" s="1167"/>
      <c r="HP36" s="1167"/>
      <c r="HQ36" s="1167"/>
    </row>
    <row r="37" customFormat="false" ht="12.75" hidden="false" customHeight="true" outlineLevel="0" collapsed="false">
      <c r="A37" s="1453"/>
      <c r="B37" s="1167"/>
      <c r="C37" s="1167"/>
      <c r="D37" s="1167"/>
      <c r="E37" s="1453"/>
      <c r="F37" s="1167"/>
      <c r="G37" s="1167"/>
      <c r="H37" s="1167"/>
      <c r="I37" s="1139"/>
      <c r="J37" s="1226" t="n">
        <f aca="false">Personnel!A37</f>
        <v>0</v>
      </c>
      <c r="K37" s="1236" t="n">
        <f aca="false">Personnel!BL37</f>
        <v>0</v>
      </c>
      <c r="L37" s="1217" t="n">
        <f aca="false">Personnel!BM37</f>
        <v>0</v>
      </c>
      <c r="M37" s="1217" t="n">
        <f aca="false">Personnel!BN37</f>
        <v>0</v>
      </c>
      <c r="N37" s="1217" t="n">
        <f aca="false">Personnel!BO37</f>
        <v>0</v>
      </c>
      <c r="O37" s="1218" t="n">
        <f aca="false">Personnel!BP37</f>
        <v>0</v>
      </c>
      <c r="P37" s="1189"/>
      <c r="Q37" s="1146"/>
      <c r="R37" s="1231" t="n">
        <f aca="false">Personnel!A37</f>
        <v>0</v>
      </c>
      <c r="S37" s="1245" t="n">
        <f aca="false">Personnel!D37</f>
        <v>0</v>
      </c>
      <c r="T37" s="1246" t="n">
        <f aca="false">Personnel!E37</f>
        <v>0</v>
      </c>
      <c r="U37" s="1246" t="n">
        <f aca="false">Personnel!F37</f>
        <v>0</v>
      </c>
      <c r="V37" s="1246" t="n">
        <f aca="false">Personnel!G37</f>
        <v>0</v>
      </c>
      <c r="W37" s="1246" t="n">
        <f aca="false">Personnel!H37</f>
        <v>0</v>
      </c>
      <c r="X37" s="1246" t="n">
        <f aca="false">Personnel!I37</f>
        <v>0</v>
      </c>
      <c r="Y37" s="1246" t="n">
        <f aca="false">Personnel!J37</f>
        <v>0</v>
      </c>
      <c r="Z37" s="1246" t="n">
        <f aca="false">Personnel!K37</f>
        <v>0</v>
      </c>
      <c r="AA37" s="1246" t="n">
        <f aca="false">Personnel!L37</f>
        <v>0</v>
      </c>
      <c r="AB37" s="1246" t="n">
        <f aca="false">Personnel!M37</f>
        <v>0</v>
      </c>
      <c r="AC37" s="1246" t="n">
        <f aca="false">Personnel!N37</f>
        <v>0</v>
      </c>
      <c r="AD37" s="1247" t="n">
        <f aca="false">Personnel!O37</f>
        <v>0</v>
      </c>
      <c r="AE37" s="1167"/>
      <c r="AF37" s="1174"/>
      <c r="AG37" s="1468"/>
      <c r="AH37" s="1198"/>
      <c r="AI37" s="1198"/>
      <c r="AJ37" s="1198"/>
      <c r="AK37" s="1198"/>
      <c r="AL37" s="1198"/>
      <c r="AM37" s="1189"/>
      <c r="AN37" s="1445"/>
      <c r="AO37" s="1468"/>
      <c r="AP37" s="1198"/>
      <c r="AQ37" s="1198"/>
      <c r="AR37" s="1198"/>
      <c r="AS37" s="1198"/>
      <c r="AT37" s="1198"/>
      <c r="AU37" s="1198"/>
      <c r="AV37" s="1167"/>
      <c r="AW37" s="1167"/>
      <c r="AX37" s="1167"/>
      <c r="AY37" s="1167"/>
      <c r="AZ37" s="1167"/>
      <c r="BA37" s="1167"/>
      <c r="BB37" s="1189"/>
      <c r="BC37" s="1189"/>
      <c r="BD37" s="1445"/>
      <c r="BE37" s="1150"/>
      <c r="BF37" s="1189"/>
      <c r="BG37" s="1189"/>
      <c r="BH37" s="1189"/>
      <c r="BI37" s="1189"/>
      <c r="BJ37" s="1189"/>
      <c r="BK37" s="1198"/>
      <c r="BL37" s="1445"/>
      <c r="BM37" s="1150"/>
      <c r="BN37" s="1262"/>
      <c r="BO37" s="1262"/>
      <c r="BP37" s="1262"/>
      <c r="BQ37" s="1262"/>
      <c r="BR37" s="1262"/>
      <c r="BS37" s="1262"/>
      <c r="BT37" s="1262"/>
      <c r="BU37" s="1262"/>
      <c r="BV37" s="1262"/>
      <c r="BW37" s="1262"/>
      <c r="BX37" s="1262"/>
      <c r="BY37" s="1262"/>
      <c r="BZ37" s="1189"/>
      <c r="CA37" s="1189"/>
      <c r="CB37" s="1445"/>
      <c r="CC37" s="1446"/>
      <c r="CD37" s="1167"/>
      <c r="CE37" s="1167"/>
      <c r="CF37" s="1167"/>
      <c r="CG37" s="1167"/>
      <c r="CH37" s="1167"/>
      <c r="CI37" s="1167"/>
      <c r="CJ37" s="1174"/>
      <c r="CK37" s="1167"/>
      <c r="CL37" s="1198"/>
      <c r="CM37" s="1198"/>
      <c r="CN37" s="1198"/>
      <c r="CO37" s="1198"/>
      <c r="CP37" s="1198"/>
      <c r="CQ37" s="1198"/>
      <c r="CR37" s="1198"/>
      <c r="CS37" s="1198"/>
      <c r="CT37" s="1198"/>
      <c r="CU37" s="1198"/>
      <c r="CV37" s="1198"/>
      <c r="CW37" s="1198"/>
      <c r="CX37" s="1167"/>
      <c r="CY37" s="1167"/>
      <c r="CZ37" s="1167"/>
      <c r="DA37" s="1321"/>
      <c r="DB37" s="1198"/>
      <c r="DC37" s="1198"/>
      <c r="DD37" s="1198"/>
      <c r="DE37" s="1198"/>
      <c r="DF37" s="1167"/>
      <c r="DG37" s="1174"/>
      <c r="DH37" s="1355"/>
      <c r="DI37" s="1198"/>
      <c r="DJ37" s="1198"/>
      <c r="DK37" s="1198"/>
      <c r="DL37" s="1198"/>
      <c r="DM37" s="1198"/>
      <c r="DN37" s="1198"/>
      <c r="DO37" s="1198"/>
      <c r="DP37" s="1198"/>
      <c r="DQ37" s="1198"/>
      <c r="DR37" s="1198"/>
      <c r="DS37" s="1198"/>
      <c r="DT37" s="1198"/>
      <c r="DU37" s="1167"/>
      <c r="DV37" s="1174"/>
      <c r="DW37" s="1355"/>
      <c r="DX37" s="1198"/>
      <c r="DY37" s="1198"/>
      <c r="DZ37" s="1198"/>
      <c r="EA37" s="1198"/>
      <c r="EB37" s="1198"/>
      <c r="EC37" s="1167"/>
      <c r="ED37" s="1174"/>
      <c r="EE37" s="1355"/>
      <c r="EF37" s="1262"/>
      <c r="EG37" s="1262"/>
      <c r="EH37" s="1262"/>
      <c r="EI37" s="1262"/>
      <c r="EJ37" s="1262"/>
      <c r="EK37" s="1262"/>
      <c r="EL37" s="1262"/>
      <c r="EM37" s="1262"/>
      <c r="EN37" s="1262"/>
      <c r="EO37" s="1262"/>
      <c r="EP37" s="1262"/>
      <c r="EQ37" s="1262"/>
      <c r="ER37" s="1167"/>
      <c r="ES37" s="1465"/>
      <c r="ET37" s="1316"/>
      <c r="EU37" s="1167"/>
      <c r="EV37" s="1167"/>
      <c r="EW37" s="1167"/>
      <c r="EX37" s="1167"/>
      <c r="EY37" s="1167"/>
      <c r="EZ37" s="1167"/>
      <c r="FA37" s="1167"/>
      <c r="FB37" s="1466"/>
      <c r="FC37" s="1167"/>
      <c r="FD37" s="1167"/>
      <c r="FE37" s="1167"/>
      <c r="FF37" s="1167"/>
      <c r="FG37" s="1167"/>
      <c r="FH37" s="1167"/>
      <c r="FI37" s="1167"/>
      <c r="FJ37" s="1139"/>
      <c r="FK37" s="1467" t="s">
        <v>1806</v>
      </c>
      <c r="FL37" s="1217" t="n">
        <f aca="false">FL36+FL35+FL34</f>
        <v>0</v>
      </c>
      <c r="FM37" s="1217" t="n">
        <f aca="false">FM36+FM35+FM34</f>
        <v>0</v>
      </c>
      <c r="FN37" s="1218" t="n">
        <f aca="false">FN36+FN35+FN34</f>
        <v>-1</v>
      </c>
      <c r="FO37" s="1167"/>
      <c r="FP37" s="1453"/>
      <c r="FQ37" s="1466"/>
      <c r="FR37" s="1167"/>
      <c r="FS37" s="1167"/>
      <c r="FT37" s="1167"/>
      <c r="FU37" s="1167"/>
      <c r="FV37" s="1167"/>
      <c r="FW37" s="1167"/>
      <c r="FX37" s="1173"/>
      <c r="FY37" s="1167"/>
      <c r="FZ37" s="1175"/>
      <c r="GA37" s="1467"/>
      <c r="GB37" s="1217"/>
      <c r="GC37" s="1217"/>
      <c r="GD37" s="1217"/>
      <c r="GE37" s="1217"/>
      <c r="GF37" s="1218"/>
      <c r="GG37" s="1189"/>
      <c r="GH37" s="1189"/>
      <c r="GI37" s="1167"/>
      <c r="GJ37" s="1167"/>
      <c r="GK37" s="1167"/>
      <c r="GL37" s="1167"/>
      <c r="GM37" s="1167"/>
      <c r="GN37" s="1167"/>
      <c r="GO37" s="1167"/>
      <c r="GP37" s="1167"/>
      <c r="GQ37" s="1167"/>
      <c r="GR37" s="1167"/>
      <c r="GS37" s="1174"/>
      <c r="GT37" s="1355"/>
      <c r="GU37" s="1167"/>
      <c r="GV37" s="1167"/>
      <c r="GW37" s="1167"/>
      <c r="GX37" s="1167"/>
      <c r="GY37" s="1167"/>
      <c r="GZ37" s="1167"/>
      <c r="HA37" s="1167"/>
      <c r="HB37" s="1167"/>
      <c r="HC37" s="1167"/>
      <c r="HD37" s="1167"/>
      <c r="HE37" s="1167"/>
      <c r="HF37" s="1167"/>
      <c r="HG37" s="1167"/>
      <c r="HH37" s="1167"/>
      <c r="HI37" s="1167"/>
      <c r="HJ37" s="1167"/>
      <c r="HK37" s="1167"/>
      <c r="HL37" s="1167"/>
      <c r="HM37" s="1167"/>
      <c r="HN37" s="1167"/>
      <c r="HO37" s="1167"/>
      <c r="HP37" s="1167"/>
      <c r="HQ37" s="1167"/>
    </row>
    <row r="38" customFormat="false" ht="12.75" hidden="false" customHeight="true" outlineLevel="0" collapsed="false">
      <c r="A38" s="1453"/>
      <c r="B38" s="1167"/>
      <c r="C38" s="1167"/>
      <c r="D38" s="1167"/>
      <c r="E38" s="1453"/>
      <c r="F38" s="1167"/>
      <c r="G38" s="1167"/>
      <c r="H38" s="1167"/>
      <c r="I38" s="1139"/>
      <c r="J38" s="1226" t="n">
        <f aca="false">Personnel!A38</f>
        <v>0</v>
      </c>
      <c r="K38" s="1236" t="n">
        <f aca="false">Personnel!BL38</f>
        <v>0</v>
      </c>
      <c r="L38" s="1217" t="n">
        <f aca="false">Personnel!BM38</f>
        <v>0</v>
      </c>
      <c r="M38" s="1217" t="n">
        <f aca="false">Personnel!BN38</f>
        <v>0</v>
      </c>
      <c r="N38" s="1217" t="n">
        <f aca="false">Personnel!BO38</f>
        <v>0</v>
      </c>
      <c r="O38" s="1218" t="n">
        <f aca="false">Personnel!BP38</f>
        <v>0</v>
      </c>
      <c r="P38" s="1189"/>
      <c r="Q38" s="1146"/>
      <c r="R38" s="1231" t="n">
        <f aca="false">Personnel!A38</f>
        <v>0</v>
      </c>
      <c r="S38" s="1245" t="n">
        <f aca="false">Personnel!D38</f>
        <v>0</v>
      </c>
      <c r="T38" s="1246" t="n">
        <f aca="false">Personnel!E38</f>
        <v>0</v>
      </c>
      <c r="U38" s="1246" t="n">
        <f aca="false">Personnel!F38</f>
        <v>0</v>
      </c>
      <c r="V38" s="1246" t="n">
        <f aca="false">Personnel!G38</f>
        <v>0</v>
      </c>
      <c r="W38" s="1246" t="n">
        <f aca="false">Personnel!H38</f>
        <v>0</v>
      </c>
      <c r="X38" s="1246" t="n">
        <f aca="false">Personnel!I38</f>
        <v>0</v>
      </c>
      <c r="Y38" s="1246" t="n">
        <f aca="false">Personnel!J38</f>
        <v>0</v>
      </c>
      <c r="Z38" s="1246" t="n">
        <f aca="false">Personnel!K38</f>
        <v>0</v>
      </c>
      <c r="AA38" s="1246" t="n">
        <f aca="false">Personnel!L38</f>
        <v>0</v>
      </c>
      <c r="AB38" s="1246" t="n">
        <f aca="false">Personnel!M38</f>
        <v>0</v>
      </c>
      <c r="AC38" s="1246" t="n">
        <f aca="false">Personnel!N38</f>
        <v>0</v>
      </c>
      <c r="AD38" s="1247" t="n">
        <f aca="false">Personnel!O38</f>
        <v>0</v>
      </c>
      <c r="AE38" s="1167"/>
      <c r="AF38" s="1174"/>
      <c r="AG38" s="1468"/>
      <c r="AH38" s="1198"/>
      <c r="AI38" s="1198"/>
      <c r="AJ38" s="1198"/>
      <c r="AK38" s="1198"/>
      <c r="AL38" s="1198"/>
      <c r="AM38" s="1189"/>
      <c r="AN38" s="1445"/>
      <c r="AO38" s="1468"/>
      <c r="AP38" s="1198"/>
      <c r="AQ38" s="1198"/>
      <c r="AR38" s="1198"/>
      <c r="AS38" s="1198"/>
      <c r="AT38" s="1198"/>
      <c r="AU38" s="1198"/>
      <c r="AV38" s="1167"/>
      <c r="AW38" s="1167"/>
      <c r="AX38" s="1167"/>
      <c r="AY38" s="1167"/>
      <c r="AZ38" s="1167"/>
      <c r="BA38" s="1167"/>
      <c r="BB38" s="1189"/>
      <c r="BC38" s="1189"/>
      <c r="BD38" s="1445"/>
      <c r="BE38" s="1150"/>
      <c r="BF38" s="1189"/>
      <c r="BG38" s="1189"/>
      <c r="BH38" s="1189"/>
      <c r="BI38" s="1189"/>
      <c r="BJ38" s="1189"/>
      <c r="BK38" s="1189"/>
      <c r="BL38" s="1445"/>
      <c r="BM38" s="1150"/>
      <c r="BN38" s="1262"/>
      <c r="BO38" s="1262"/>
      <c r="BP38" s="1262"/>
      <c r="BQ38" s="1262"/>
      <c r="BR38" s="1262"/>
      <c r="BS38" s="1262"/>
      <c r="BT38" s="1262"/>
      <c r="BU38" s="1262"/>
      <c r="BV38" s="1262"/>
      <c r="BW38" s="1262"/>
      <c r="BX38" s="1262"/>
      <c r="BY38" s="1262"/>
      <c r="BZ38" s="1189"/>
      <c r="CA38" s="1189"/>
      <c r="CB38" s="1445"/>
      <c r="CC38" s="1446"/>
      <c r="CD38" s="1167"/>
      <c r="CE38" s="1167"/>
      <c r="CF38" s="1167"/>
      <c r="CG38" s="1167"/>
      <c r="CH38" s="1167"/>
      <c r="CI38" s="1167"/>
      <c r="CJ38" s="1174"/>
      <c r="CK38" s="1167"/>
      <c r="CL38" s="1198"/>
      <c r="CM38" s="1198"/>
      <c r="CN38" s="1198"/>
      <c r="CO38" s="1198"/>
      <c r="CP38" s="1198"/>
      <c r="CQ38" s="1198"/>
      <c r="CR38" s="1198"/>
      <c r="CS38" s="1198"/>
      <c r="CT38" s="1198"/>
      <c r="CU38" s="1198"/>
      <c r="CV38" s="1198"/>
      <c r="CW38" s="1198"/>
      <c r="CX38" s="1167"/>
      <c r="CY38" s="1167"/>
      <c r="CZ38" s="1167"/>
      <c r="DA38" s="1321"/>
      <c r="DB38" s="1198"/>
      <c r="DC38" s="1198"/>
      <c r="DD38" s="1198"/>
      <c r="DE38" s="1198"/>
      <c r="DF38" s="1167"/>
      <c r="DG38" s="1174"/>
      <c r="DH38" s="1355"/>
      <c r="DI38" s="1198"/>
      <c r="DJ38" s="1198"/>
      <c r="DK38" s="1198"/>
      <c r="DL38" s="1198"/>
      <c r="DM38" s="1198"/>
      <c r="DN38" s="1198"/>
      <c r="DO38" s="1198"/>
      <c r="DP38" s="1198"/>
      <c r="DQ38" s="1198"/>
      <c r="DR38" s="1198"/>
      <c r="DS38" s="1198"/>
      <c r="DT38" s="1198"/>
      <c r="DU38" s="1167"/>
      <c r="DV38" s="1174"/>
      <c r="DW38" s="1355"/>
      <c r="DX38" s="1198"/>
      <c r="DY38" s="1198"/>
      <c r="DZ38" s="1198"/>
      <c r="EA38" s="1198"/>
      <c r="EB38" s="1198"/>
      <c r="EC38" s="1167"/>
      <c r="ED38" s="1174"/>
      <c r="EE38" s="1355"/>
      <c r="EF38" s="1262"/>
      <c r="EG38" s="1262"/>
      <c r="EH38" s="1262"/>
      <c r="EI38" s="1262"/>
      <c r="EJ38" s="1262"/>
      <c r="EK38" s="1262"/>
      <c r="EL38" s="1262"/>
      <c r="EM38" s="1262"/>
      <c r="EN38" s="1262"/>
      <c r="EO38" s="1262"/>
      <c r="EP38" s="1262"/>
      <c r="EQ38" s="1262"/>
      <c r="ER38" s="1167"/>
      <c r="ES38" s="1465"/>
      <c r="ET38" s="1316"/>
      <c r="EU38" s="1167"/>
      <c r="EV38" s="1167"/>
      <c r="EW38" s="1167"/>
      <c r="EX38" s="1167"/>
      <c r="EY38" s="1167"/>
      <c r="EZ38" s="1167"/>
      <c r="FA38" s="1167"/>
      <c r="FB38" s="1466"/>
      <c r="FC38" s="1167"/>
      <c r="FD38" s="1167"/>
      <c r="FE38" s="1167"/>
      <c r="FF38" s="1167"/>
      <c r="FG38" s="1167"/>
      <c r="FH38" s="1167"/>
      <c r="FI38" s="1167"/>
      <c r="FJ38" s="1139"/>
      <c r="FK38" s="1470" t="s">
        <v>1936</v>
      </c>
      <c r="FL38" s="1277" t="n">
        <f aca="false">FL32+FL37</f>
        <v>0</v>
      </c>
      <c r="FM38" s="1277" t="n">
        <f aca="false">FM32+FM37</f>
        <v>0</v>
      </c>
      <c r="FN38" s="1278" t="n">
        <f aca="false">FN32+FN37</f>
        <v>-1</v>
      </c>
      <c r="FO38" s="1167"/>
      <c r="FP38" s="1453"/>
      <c r="FQ38" s="1466"/>
      <c r="FR38" s="1167"/>
      <c r="FS38" s="1167"/>
      <c r="FT38" s="1167"/>
      <c r="FU38" s="1167"/>
      <c r="FV38" s="1167"/>
      <c r="FW38" s="1167"/>
      <c r="FX38" s="1173"/>
      <c r="FY38" s="1167"/>
      <c r="FZ38" s="1175"/>
      <c r="GA38" s="1469"/>
      <c r="GB38" s="1217"/>
      <c r="GC38" s="1217"/>
      <c r="GD38" s="1217"/>
      <c r="GE38" s="1217"/>
      <c r="GF38" s="1218"/>
      <c r="GG38" s="1189"/>
      <c r="GH38" s="1471"/>
      <c r="GI38" s="1167"/>
      <c r="GJ38" s="1167"/>
      <c r="GK38" s="1167"/>
      <c r="GL38" s="1167"/>
      <c r="GM38" s="1167"/>
      <c r="GN38" s="1167"/>
      <c r="GO38" s="1167"/>
      <c r="GP38" s="1167"/>
      <c r="GQ38" s="1167"/>
      <c r="GR38" s="1167"/>
      <c r="GS38" s="1174"/>
      <c r="GT38" s="1355"/>
      <c r="GU38" s="1167"/>
      <c r="GV38" s="1167"/>
      <c r="GW38" s="1167"/>
      <c r="GX38" s="1167"/>
      <c r="GY38" s="1167"/>
      <c r="GZ38" s="1167"/>
      <c r="HA38" s="1167"/>
      <c r="HB38" s="1167"/>
      <c r="HC38" s="1167"/>
      <c r="HD38" s="1167"/>
      <c r="HE38" s="1167"/>
      <c r="HF38" s="1167"/>
      <c r="HG38" s="1167"/>
      <c r="HH38" s="1167"/>
      <c r="HI38" s="1167"/>
      <c r="HJ38" s="1167"/>
      <c r="HK38" s="1167"/>
      <c r="HL38" s="1167"/>
      <c r="HM38" s="1167"/>
      <c r="HN38" s="1167"/>
      <c r="HO38" s="1167"/>
      <c r="HP38" s="1167"/>
      <c r="HQ38" s="1167"/>
    </row>
    <row r="39" customFormat="false" ht="12.75" hidden="false" customHeight="true" outlineLevel="0" collapsed="false">
      <c r="A39" s="1453"/>
      <c r="B39" s="1167"/>
      <c r="C39" s="1167"/>
      <c r="D39" s="1167"/>
      <c r="E39" s="1453"/>
      <c r="F39" s="1167"/>
      <c r="G39" s="1167"/>
      <c r="H39" s="1167"/>
      <c r="I39" s="1139"/>
      <c r="J39" s="1226" t="n">
        <f aca="false">Personnel!A39</f>
        <v>0</v>
      </c>
      <c r="K39" s="1236" t="n">
        <f aca="false">Personnel!BL39</f>
        <v>0</v>
      </c>
      <c r="L39" s="1217" t="n">
        <f aca="false">Personnel!BM39</f>
        <v>0</v>
      </c>
      <c r="M39" s="1217" t="n">
        <f aca="false">Personnel!BN39</f>
        <v>0</v>
      </c>
      <c r="N39" s="1217" t="n">
        <f aca="false">Personnel!BO39</f>
        <v>0</v>
      </c>
      <c r="O39" s="1218" t="n">
        <f aca="false">Personnel!BP39</f>
        <v>0</v>
      </c>
      <c r="P39" s="1189"/>
      <c r="Q39" s="1146"/>
      <c r="R39" s="1231" t="n">
        <f aca="false">Personnel!A39</f>
        <v>0</v>
      </c>
      <c r="S39" s="1245" t="n">
        <f aca="false">Personnel!D39</f>
        <v>0</v>
      </c>
      <c r="T39" s="1246" t="n">
        <f aca="false">Personnel!E39</f>
        <v>0</v>
      </c>
      <c r="U39" s="1246" t="n">
        <f aca="false">Personnel!F39</f>
        <v>0</v>
      </c>
      <c r="V39" s="1246" t="n">
        <f aca="false">Personnel!G39</f>
        <v>0</v>
      </c>
      <c r="W39" s="1246" t="n">
        <f aca="false">Personnel!H39</f>
        <v>0</v>
      </c>
      <c r="X39" s="1246" t="n">
        <f aca="false">Personnel!I39</f>
        <v>0</v>
      </c>
      <c r="Y39" s="1246" t="n">
        <f aca="false">Personnel!J39</f>
        <v>0</v>
      </c>
      <c r="Z39" s="1246" t="n">
        <f aca="false">Personnel!K39</f>
        <v>0</v>
      </c>
      <c r="AA39" s="1246" t="n">
        <f aca="false">Personnel!L39</f>
        <v>0</v>
      </c>
      <c r="AB39" s="1246" t="n">
        <f aca="false">Personnel!M39</f>
        <v>0</v>
      </c>
      <c r="AC39" s="1246" t="n">
        <f aca="false">Personnel!N39</f>
        <v>0</v>
      </c>
      <c r="AD39" s="1247" t="n">
        <f aca="false">Personnel!O39</f>
        <v>0</v>
      </c>
      <c r="AE39" s="1167"/>
      <c r="AF39" s="1174"/>
      <c r="AG39" s="1468"/>
      <c r="AH39" s="1198"/>
      <c r="AI39" s="1198"/>
      <c r="AJ39" s="1198"/>
      <c r="AK39" s="1198"/>
      <c r="AL39" s="1198"/>
      <c r="AM39" s="1150"/>
      <c r="AN39" s="1445"/>
      <c r="AO39" s="1468"/>
      <c r="AP39" s="1198"/>
      <c r="AQ39" s="1198"/>
      <c r="AR39" s="1198"/>
      <c r="AS39" s="1198"/>
      <c r="AT39" s="1198"/>
      <c r="AU39" s="1198"/>
      <c r="AV39" s="1167"/>
      <c r="AW39" s="1167"/>
      <c r="AX39" s="1167"/>
      <c r="AY39" s="1167"/>
      <c r="AZ39" s="1167"/>
      <c r="BA39" s="1167"/>
      <c r="BB39" s="1189"/>
      <c r="BC39" s="1189"/>
      <c r="BD39" s="1445"/>
      <c r="BE39" s="1150"/>
      <c r="BF39" s="1189"/>
      <c r="BG39" s="1189"/>
      <c r="BH39" s="1189"/>
      <c r="BI39" s="1189"/>
      <c r="BJ39" s="1189"/>
      <c r="BK39" s="1189"/>
      <c r="BL39" s="1445"/>
      <c r="BM39" s="1150"/>
      <c r="BN39" s="1262"/>
      <c r="BO39" s="1262"/>
      <c r="BP39" s="1262"/>
      <c r="BQ39" s="1262"/>
      <c r="BR39" s="1262"/>
      <c r="BS39" s="1262"/>
      <c r="BT39" s="1262"/>
      <c r="BU39" s="1262"/>
      <c r="BV39" s="1262"/>
      <c r="BW39" s="1262"/>
      <c r="BX39" s="1262"/>
      <c r="BY39" s="1262"/>
      <c r="BZ39" s="1189"/>
      <c r="CA39" s="1189"/>
      <c r="CB39" s="1445"/>
      <c r="CC39" s="1446"/>
      <c r="CD39" s="1167"/>
      <c r="CE39" s="1167"/>
      <c r="CF39" s="1167"/>
      <c r="CG39" s="1167"/>
      <c r="CH39" s="1167"/>
      <c r="CI39" s="1167"/>
      <c r="CJ39" s="1174"/>
      <c r="CK39" s="1167"/>
      <c r="CL39" s="1198"/>
      <c r="CM39" s="1198"/>
      <c r="CN39" s="1198"/>
      <c r="CO39" s="1198"/>
      <c r="CP39" s="1198"/>
      <c r="CQ39" s="1198"/>
      <c r="CR39" s="1198"/>
      <c r="CS39" s="1198"/>
      <c r="CT39" s="1198"/>
      <c r="CU39" s="1198"/>
      <c r="CV39" s="1198"/>
      <c r="CW39" s="1198"/>
      <c r="CX39" s="1167"/>
      <c r="CY39" s="1167"/>
      <c r="CZ39" s="1167"/>
      <c r="DA39" s="1321"/>
      <c r="DB39" s="1198"/>
      <c r="DC39" s="1198"/>
      <c r="DD39" s="1198"/>
      <c r="DE39" s="1198"/>
      <c r="DF39" s="1167"/>
      <c r="DG39" s="1174"/>
      <c r="DH39" s="1355"/>
      <c r="DI39" s="1198"/>
      <c r="DJ39" s="1198"/>
      <c r="DK39" s="1198"/>
      <c r="DL39" s="1198"/>
      <c r="DM39" s="1198"/>
      <c r="DN39" s="1198"/>
      <c r="DO39" s="1198"/>
      <c r="DP39" s="1198"/>
      <c r="DQ39" s="1198"/>
      <c r="DR39" s="1198"/>
      <c r="DS39" s="1198"/>
      <c r="DT39" s="1198"/>
      <c r="DU39" s="1167"/>
      <c r="DV39" s="1174"/>
      <c r="DW39" s="1355"/>
      <c r="DX39" s="1198"/>
      <c r="DY39" s="1198"/>
      <c r="DZ39" s="1198"/>
      <c r="EA39" s="1198"/>
      <c r="EB39" s="1198"/>
      <c r="EC39" s="1167"/>
      <c r="ED39" s="1174"/>
      <c r="EE39" s="1355"/>
      <c r="EF39" s="1262"/>
      <c r="EG39" s="1262"/>
      <c r="EH39" s="1262"/>
      <c r="EI39" s="1262"/>
      <c r="EJ39" s="1262"/>
      <c r="EK39" s="1262"/>
      <c r="EL39" s="1262"/>
      <c r="EM39" s="1262"/>
      <c r="EN39" s="1262"/>
      <c r="EO39" s="1262"/>
      <c r="EP39" s="1262"/>
      <c r="EQ39" s="1262"/>
      <c r="ER39" s="1167"/>
      <c r="ES39" s="1465"/>
      <c r="ET39" s="1316"/>
      <c r="EU39" s="1167"/>
      <c r="EV39" s="1167"/>
      <c r="EW39" s="1167"/>
      <c r="EX39" s="1167"/>
      <c r="EY39" s="1167"/>
      <c r="EZ39" s="1167"/>
      <c r="FA39" s="1167"/>
      <c r="FB39" s="1466"/>
      <c r="FC39" s="1167"/>
      <c r="FD39" s="1167"/>
      <c r="FE39" s="1167"/>
      <c r="FF39" s="1167"/>
      <c r="FG39" s="1167"/>
      <c r="FH39" s="1167"/>
      <c r="FI39" s="1167"/>
      <c r="FJ39" s="1174"/>
      <c r="FK39" s="1466"/>
      <c r="FL39" s="1167"/>
      <c r="FM39" s="1167"/>
      <c r="FN39" s="1167"/>
      <c r="FO39" s="1167"/>
      <c r="FP39" s="1453"/>
      <c r="FQ39" s="1466"/>
      <c r="FR39" s="1167"/>
      <c r="FS39" s="1167"/>
      <c r="FT39" s="1167"/>
      <c r="FU39" s="1167"/>
      <c r="FV39" s="1167"/>
      <c r="FW39" s="1167"/>
      <c r="FX39" s="1173"/>
      <c r="FY39" s="1167"/>
      <c r="FZ39" s="1175"/>
      <c r="GA39" s="1469"/>
      <c r="GB39" s="1217"/>
      <c r="GC39" s="1217"/>
      <c r="GD39" s="1217"/>
      <c r="GE39" s="1217"/>
      <c r="GF39" s="1218"/>
      <c r="GG39" s="1189"/>
      <c r="GH39" s="1189"/>
      <c r="GI39" s="1167"/>
      <c r="GJ39" s="1167"/>
      <c r="GK39" s="1167"/>
      <c r="GL39" s="1167"/>
      <c r="GM39" s="1167"/>
      <c r="GN39" s="1167"/>
      <c r="GO39" s="1167"/>
      <c r="GP39" s="1167"/>
      <c r="GQ39" s="1167"/>
      <c r="GR39" s="1167"/>
      <c r="GS39" s="1174"/>
      <c r="GT39" s="1355"/>
      <c r="GU39" s="1167"/>
      <c r="GV39" s="1167"/>
      <c r="GW39" s="1167"/>
      <c r="GX39" s="1167"/>
      <c r="GY39" s="1167"/>
      <c r="GZ39" s="1167"/>
      <c r="HA39" s="1167"/>
      <c r="HB39" s="1167"/>
      <c r="HC39" s="1167"/>
      <c r="HD39" s="1167"/>
      <c r="HE39" s="1167"/>
      <c r="HF39" s="1167"/>
      <c r="HG39" s="1167"/>
      <c r="HH39" s="1167"/>
      <c r="HI39" s="1167"/>
      <c r="HJ39" s="1167"/>
      <c r="HK39" s="1167"/>
      <c r="HL39" s="1167"/>
      <c r="HM39" s="1167"/>
      <c r="HN39" s="1167"/>
      <c r="HO39" s="1167"/>
      <c r="HP39" s="1167"/>
      <c r="HQ39" s="1167"/>
    </row>
    <row r="40" customFormat="false" ht="12.75" hidden="false" customHeight="true" outlineLevel="0" collapsed="false">
      <c r="A40" s="1453"/>
      <c r="B40" s="1167"/>
      <c r="C40" s="1167"/>
      <c r="D40" s="1167"/>
      <c r="E40" s="1453"/>
      <c r="F40" s="1167"/>
      <c r="G40" s="1167"/>
      <c r="H40" s="1167"/>
      <c r="I40" s="1139"/>
      <c r="J40" s="1472" t="n">
        <f aca="false">Personnel!A40</f>
        <v>0</v>
      </c>
      <c r="K40" s="1276" t="n">
        <f aca="false">Personnel!BL40</f>
        <v>0</v>
      </c>
      <c r="L40" s="1277" t="n">
        <f aca="false">Personnel!BM40</f>
        <v>0</v>
      </c>
      <c r="M40" s="1277" t="n">
        <f aca="false">Personnel!BN40</f>
        <v>0</v>
      </c>
      <c r="N40" s="1277" t="n">
        <f aca="false">Personnel!BO40</f>
        <v>0</v>
      </c>
      <c r="O40" s="1278" t="n">
        <f aca="false">Personnel!BP40</f>
        <v>0</v>
      </c>
      <c r="P40" s="1189"/>
      <c r="Q40" s="1146"/>
      <c r="R40" s="1473" t="n">
        <f aca="false">Personnel!A40</f>
        <v>0</v>
      </c>
      <c r="S40" s="1296" t="n">
        <f aca="false">Personnel!D40</f>
        <v>0</v>
      </c>
      <c r="T40" s="1297" t="n">
        <f aca="false">Personnel!E40</f>
        <v>0</v>
      </c>
      <c r="U40" s="1297" t="n">
        <f aca="false">Personnel!F40</f>
        <v>0</v>
      </c>
      <c r="V40" s="1297" t="n">
        <f aca="false">Personnel!G40</f>
        <v>0</v>
      </c>
      <c r="W40" s="1297" t="n">
        <f aca="false">Personnel!H40</f>
        <v>0</v>
      </c>
      <c r="X40" s="1297" t="n">
        <f aca="false">Personnel!I40</f>
        <v>0</v>
      </c>
      <c r="Y40" s="1297" t="n">
        <f aca="false">Personnel!J40</f>
        <v>0</v>
      </c>
      <c r="Z40" s="1297" t="n">
        <f aca="false">Personnel!K40</f>
        <v>0</v>
      </c>
      <c r="AA40" s="1297" t="n">
        <f aca="false">Personnel!L40</f>
        <v>0</v>
      </c>
      <c r="AB40" s="1297" t="n">
        <f aca="false">Personnel!M40</f>
        <v>0</v>
      </c>
      <c r="AC40" s="1297" t="n">
        <f aca="false">Personnel!N40</f>
        <v>0</v>
      </c>
      <c r="AD40" s="1298" t="n">
        <f aca="false">Personnel!O40</f>
        <v>0</v>
      </c>
      <c r="AE40" s="1167"/>
      <c r="AF40" s="1174"/>
      <c r="AG40" s="1468"/>
      <c r="AH40" s="1198"/>
      <c r="AI40" s="1198"/>
      <c r="AJ40" s="1198"/>
      <c r="AK40" s="1198"/>
      <c r="AL40" s="1198"/>
      <c r="AM40" s="1198"/>
      <c r="AN40" s="1474"/>
      <c r="AO40" s="1468"/>
      <c r="AP40" s="1198"/>
      <c r="AQ40" s="1198"/>
      <c r="AR40" s="1198"/>
      <c r="AS40" s="1198"/>
      <c r="AT40" s="1198"/>
      <c r="AU40" s="1198"/>
      <c r="AV40" s="1167"/>
      <c r="AW40" s="1167"/>
      <c r="AX40" s="1167"/>
      <c r="AY40" s="1167"/>
      <c r="AZ40" s="1167"/>
      <c r="BA40" s="1167"/>
      <c r="BB40" s="1189"/>
      <c r="BC40" s="1189"/>
      <c r="BD40" s="1445"/>
      <c r="BE40" s="1150"/>
      <c r="BF40" s="1189"/>
      <c r="BG40" s="1189"/>
      <c r="BH40" s="1189"/>
      <c r="BI40" s="1189"/>
      <c r="BJ40" s="1189"/>
      <c r="BK40" s="1189"/>
      <c r="BL40" s="1445"/>
      <c r="BM40" s="1150"/>
      <c r="BN40" s="1262"/>
      <c r="BO40" s="1262"/>
      <c r="BP40" s="1262"/>
      <c r="BQ40" s="1262"/>
      <c r="BR40" s="1262"/>
      <c r="BS40" s="1262"/>
      <c r="BT40" s="1262"/>
      <c r="BU40" s="1262"/>
      <c r="BV40" s="1262"/>
      <c r="BW40" s="1262"/>
      <c r="BX40" s="1262"/>
      <c r="BY40" s="1262"/>
      <c r="BZ40" s="1189"/>
      <c r="CA40" s="1189"/>
      <c r="CB40" s="1445"/>
      <c r="CC40" s="1446"/>
      <c r="CD40" s="1167"/>
      <c r="CE40" s="1167"/>
      <c r="CF40" s="1167"/>
      <c r="CG40" s="1167"/>
      <c r="CH40" s="1167"/>
      <c r="CI40" s="1167"/>
      <c r="CJ40" s="1174"/>
      <c r="CK40" s="1167"/>
      <c r="CL40" s="1198"/>
      <c r="CM40" s="1198"/>
      <c r="CN40" s="1198"/>
      <c r="CO40" s="1198"/>
      <c r="CP40" s="1198"/>
      <c r="CQ40" s="1198"/>
      <c r="CR40" s="1198"/>
      <c r="CS40" s="1198"/>
      <c r="CT40" s="1198"/>
      <c r="CU40" s="1198"/>
      <c r="CV40" s="1198"/>
      <c r="CW40" s="1198"/>
      <c r="CX40" s="1167"/>
      <c r="CY40" s="1167"/>
      <c r="CZ40" s="1167"/>
      <c r="DA40" s="1321"/>
      <c r="DB40" s="1198"/>
      <c r="DC40" s="1198"/>
      <c r="DD40" s="1198"/>
      <c r="DE40" s="1198"/>
      <c r="DF40" s="1167"/>
      <c r="DG40" s="1174"/>
      <c r="DH40" s="1355"/>
      <c r="DI40" s="1198"/>
      <c r="DJ40" s="1198"/>
      <c r="DK40" s="1198"/>
      <c r="DL40" s="1198"/>
      <c r="DM40" s="1198"/>
      <c r="DN40" s="1198"/>
      <c r="DO40" s="1198"/>
      <c r="DP40" s="1198"/>
      <c r="DQ40" s="1198"/>
      <c r="DR40" s="1198"/>
      <c r="DS40" s="1198"/>
      <c r="DT40" s="1198"/>
      <c r="DU40" s="1167"/>
      <c r="DV40" s="1174"/>
      <c r="DW40" s="1355"/>
      <c r="DX40" s="1198"/>
      <c r="DY40" s="1198"/>
      <c r="DZ40" s="1198"/>
      <c r="EA40" s="1198"/>
      <c r="EB40" s="1198"/>
      <c r="EC40" s="1167"/>
      <c r="ED40" s="1174"/>
      <c r="EE40" s="1355"/>
      <c r="EF40" s="1262"/>
      <c r="EG40" s="1262"/>
      <c r="EH40" s="1262"/>
      <c r="EI40" s="1262"/>
      <c r="EJ40" s="1262"/>
      <c r="EK40" s="1262"/>
      <c r="EL40" s="1262"/>
      <c r="EM40" s="1262"/>
      <c r="EN40" s="1262"/>
      <c r="EO40" s="1262"/>
      <c r="EP40" s="1262"/>
      <c r="EQ40" s="1262"/>
      <c r="ER40" s="1475"/>
      <c r="ES40" s="1465"/>
      <c r="ET40" s="1316"/>
      <c r="EU40" s="1167"/>
      <c r="EV40" s="1167"/>
      <c r="EW40" s="1167"/>
      <c r="EX40" s="1167"/>
      <c r="EY40" s="1167"/>
      <c r="EZ40" s="1167"/>
      <c r="FA40" s="1167"/>
      <c r="FB40" s="1466"/>
      <c r="FC40" s="1167"/>
      <c r="FD40" s="1167"/>
      <c r="FE40" s="1167"/>
      <c r="FF40" s="1167"/>
      <c r="FG40" s="1167"/>
      <c r="FH40" s="1167"/>
      <c r="FI40" s="1167"/>
      <c r="FJ40" s="1174"/>
      <c r="FK40" s="1466"/>
      <c r="FL40" s="1167"/>
      <c r="FM40" s="1167"/>
      <c r="FN40" s="1167"/>
      <c r="FO40" s="1167"/>
      <c r="FP40" s="1453"/>
      <c r="FQ40" s="1466"/>
      <c r="FR40" s="1167"/>
      <c r="FS40" s="1167"/>
      <c r="FT40" s="1167"/>
      <c r="FU40" s="1167"/>
      <c r="FV40" s="1167"/>
      <c r="FW40" s="1167"/>
      <c r="FX40" s="1173"/>
      <c r="FY40" s="1167"/>
      <c r="FZ40" s="1175"/>
      <c r="GA40" s="1469"/>
      <c r="GB40" s="1217"/>
      <c r="GC40" s="1217"/>
      <c r="GD40" s="1217"/>
      <c r="GE40" s="1217"/>
      <c r="GF40" s="1218"/>
      <c r="GG40" s="1189"/>
      <c r="GH40" s="1167"/>
      <c r="GI40" s="1167"/>
      <c r="GJ40" s="1167"/>
      <c r="GK40" s="1167"/>
      <c r="GL40" s="1167"/>
      <c r="GM40" s="1167"/>
      <c r="GN40" s="1167"/>
      <c r="GO40" s="1167"/>
      <c r="GP40" s="1167"/>
      <c r="GQ40" s="1167"/>
      <c r="GR40" s="1167"/>
      <c r="GS40" s="1174"/>
      <c r="GT40" s="1355"/>
      <c r="GU40" s="1167"/>
      <c r="GV40" s="1167"/>
      <c r="GW40" s="1167"/>
      <c r="GX40" s="1167"/>
      <c r="GY40" s="1167"/>
      <c r="GZ40" s="1167"/>
      <c r="HA40" s="1167"/>
      <c r="HB40" s="1167"/>
      <c r="HC40" s="1167"/>
      <c r="HD40" s="1167"/>
      <c r="HE40" s="1167"/>
      <c r="HF40" s="1167"/>
      <c r="HG40" s="1167"/>
      <c r="HH40" s="1167"/>
      <c r="HI40" s="1167"/>
      <c r="HJ40" s="1167"/>
      <c r="HK40" s="1167"/>
      <c r="HL40" s="1167"/>
      <c r="HM40" s="1167"/>
      <c r="HN40" s="1167"/>
      <c r="HO40" s="1167"/>
      <c r="HP40" s="1167"/>
      <c r="HQ40" s="1167"/>
    </row>
    <row r="41" customFormat="false" ht="12.75" hidden="false" customHeight="true" outlineLevel="0" collapsed="false">
      <c r="A41" s="1453"/>
      <c r="B41" s="1167"/>
      <c r="C41" s="1167"/>
      <c r="D41" s="1167"/>
      <c r="E41" s="1453"/>
      <c r="F41" s="1167"/>
      <c r="G41" s="1167"/>
      <c r="H41" s="1167"/>
      <c r="I41" s="1139"/>
      <c r="J41" s="1404" t="str">
        <f aca="false">R41</f>
        <v>Total Payroll</v>
      </c>
      <c r="K41" s="1476" t="n">
        <f aca="false">Personnel!BL41</f>
        <v>2912799.76</v>
      </c>
      <c r="L41" s="1476" t="n">
        <f aca="false">Personnel!BM41</f>
        <v>11102839.748</v>
      </c>
      <c r="M41" s="1476" t="n">
        <f aca="false">Personnel!BN41</f>
        <v>15136001.7354</v>
      </c>
      <c r="N41" s="1476" t="n">
        <f aca="false">Personnel!BO41</f>
        <v>15892801.82217</v>
      </c>
      <c r="O41" s="1477" t="n">
        <f aca="false">Personnel!BP41</f>
        <v>16687441.9132785</v>
      </c>
      <c r="P41" s="1150"/>
      <c r="Q41" s="1146"/>
      <c r="R41" s="1478" t="str">
        <f aca="false">Personnel!A41</f>
        <v>Total Payroll</v>
      </c>
      <c r="S41" s="1479" t="n">
        <f aca="false">Personnel!D41</f>
        <v>83266.6466666667</v>
      </c>
      <c r="T41" s="1479" t="n">
        <f aca="false">Personnel!E41</f>
        <v>124866.646666667</v>
      </c>
      <c r="U41" s="1479" t="n">
        <f aca="false">Personnel!F41</f>
        <v>145666.646666667</v>
      </c>
      <c r="V41" s="1479" t="n">
        <f aca="false">Personnel!G41</f>
        <v>145666.646666667</v>
      </c>
      <c r="W41" s="1479" t="n">
        <f aca="false">Personnel!H41</f>
        <v>145666.646666667</v>
      </c>
      <c r="X41" s="1479" t="n">
        <f aca="false">Personnel!I41</f>
        <v>197666.646666667</v>
      </c>
      <c r="Y41" s="1479" t="n">
        <f aca="false">Personnel!J41</f>
        <v>301666.646666667</v>
      </c>
      <c r="Z41" s="1479" t="n">
        <f aca="false">Personnel!K41</f>
        <v>353666.646666667</v>
      </c>
      <c r="AA41" s="1479" t="n">
        <f aca="false">Personnel!L41</f>
        <v>353666.646666667</v>
      </c>
      <c r="AB41" s="1479" t="n">
        <f aca="false">Personnel!M41</f>
        <v>353666.646666667</v>
      </c>
      <c r="AC41" s="1479" t="n">
        <f aca="false">Personnel!N41</f>
        <v>353666.646666667</v>
      </c>
      <c r="AD41" s="1480" t="n">
        <f aca="false">Personnel!O41</f>
        <v>353666.646666667</v>
      </c>
      <c r="AE41" s="1167"/>
      <c r="AF41" s="1174"/>
      <c r="AG41" s="1468"/>
      <c r="AH41" s="1198"/>
      <c r="AI41" s="1198"/>
      <c r="AJ41" s="1198"/>
      <c r="AK41" s="1198"/>
      <c r="AL41" s="1198"/>
      <c r="AM41" s="1198"/>
      <c r="AN41" s="1474"/>
      <c r="AO41" s="1468"/>
      <c r="AP41" s="1198"/>
      <c r="AQ41" s="1198"/>
      <c r="AR41" s="1198"/>
      <c r="AS41" s="1198"/>
      <c r="AT41" s="1198"/>
      <c r="AU41" s="1198"/>
      <c r="AV41" s="1167"/>
      <c r="AW41" s="1167"/>
      <c r="AX41" s="1167"/>
      <c r="AY41" s="1167"/>
      <c r="AZ41" s="1167"/>
      <c r="BA41" s="1167"/>
      <c r="BB41" s="1189"/>
      <c r="BC41" s="1189"/>
      <c r="BD41" s="1445"/>
      <c r="BE41" s="1150"/>
      <c r="BF41" s="1189"/>
      <c r="BG41" s="1189"/>
      <c r="BH41" s="1189"/>
      <c r="BI41" s="1189"/>
      <c r="BJ41" s="1189"/>
      <c r="BK41" s="1189"/>
      <c r="BL41" s="1445"/>
      <c r="BM41" s="1150"/>
      <c r="BN41" s="1262"/>
      <c r="BO41" s="1262"/>
      <c r="BP41" s="1262"/>
      <c r="BQ41" s="1262"/>
      <c r="BR41" s="1262"/>
      <c r="BS41" s="1262"/>
      <c r="BT41" s="1262"/>
      <c r="BU41" s="1262"/>
      <c r="BV41" s="1262"/>
      <c r="BW41" s="1262"/>
      <c r="BX41" s="1262"/>
      <c r="BY41" s="1262"/>
      <c r="BZ41" s="1189"/>
      <c r="CA41" s="1189"/>
      <c r="CB41" s="1445"/>
      <c r="CC41" s="1446"/>
      <c r="CD41" s="1167"/>
      <c r="CE41" s="1167"/>
      <c r="CF41" s="1167"/>
      <c r="CG41" s="1167"/>
      <c r="CH41" s="1167"/>
      <c r="CI41" s="1167"/>
      <c r="CJ41" s="1174"/>
      <c r="CK41" s="1167"/>
      <c r="CL41" s="1198"/>
      <c r="CM41" s="1198"/>
      <c r="CN41" s="1198"/>
      <c r="CO41" s="1198"/>
      <c r="CP41" s="1198"/>
      <c r="CQ41" s="1198"/>
      <c r="CR41" s="1198"/>
      <c r="CS41" s="1198"/>
      <c r="CT41" s="1198"/>
      <c r="CU41" s="1198"/>
      <c r="CV41" s="1198"/>
      <c r="CW41" s="1198"/>
      <c r="CX41" s="1167"/>
      <c r="CY41" s="1167"/>
      <c r="CZ41" s="1167"/>
      <c r="DA41" s="1321"/>
      <c r="DB41" s="1198"/>
      <c r="DC41" s="1198"/>
      <c r="DD41" s="1198"/>
      <c r="DE41" s="1198"/>
      <c r="DF41" s="1167"/>
      <c r="DG41" s="1174"/>
      <c r="DH41" s="1355"/>
      <c r="DI41" s="1198"/>
      <c r="DJ41" s="1198"/>
      <c r="DK41" s="1198"/>
      <c r="DL41" s="1198"/>
      <c r="DM41" s="1198"/>
      <c r="DN41" s="1198"/>
      <c r="DO41" s="1198"/>
      <c r="DP41" s="1198"/>
      <c r="DQ41" s="1198"/>
      <c r="DR41" s="1198"/>
      <c r="DS41" s="1198"/>
      <c r="DT41" s="1198"/>
      <c r="DU41" s="1167"/>
      <c r="DW41" s="1355"/>
      <c r="DX41" s="1198"/>
      <c r="DY41" s="1198"/>
      <c r="DZ41" s="1198"/>
      <c r="EA41" s="1198"/>
      <c r="EB41" s="1198"/>
      <c r="EC41" s="1167"/>
      <c r="ED41" s="1174"/>
      <c r="EE41" s="1355"/>
      <c r="EF41" s="1262"/>
      <c r="EG41" s="1262"/>
      <c r="EH41" s="1262"/>
      <c r="EI41" s="1262"/>
      <c r="EJ41" s="1262"/>
      <c r="EK41" s="1262"/>
      <c r="EL41" s="1262"/>
      <c r="EM41" s="1262"/>
      <c r="EN41" s="1262"/>
      <c r="EO41" s="1262"/>
      <c r="EP41" s="1262"/>
      <c r="EQ41" s="1262"/>
      <c r="ER41" s="1475"/>
      <c r="ES41" s="1465"/>
      <c r="ET41" s="1316"/>
      <c r="EU41" s="1167"/>
      <c r="EV41" s="1167"/>
      <c r="EW41" s="1167"/>
      <c r="EX41" s="1167"/>
      <c r="EY41" s="1167"/>
      <c r="EZ41" s="1167"/>
      <c r="FA41" s="1167"/>
      <c r="FB41" s="1466"/>
      <c r="FC41" s="1167"/>
      <c r="FD41" s="1167"/>
      <c r="FE41" s="1167"/>
      <c r="FF41" s="1167"/>
      <c r="FG41" s="1167"/>
      <c r="FH41" s="1167"/>
      <c r="FI41" s="1167"/>
      <c r="FK41" s="1466"/>
      <c r="FL41" s="1167"/>
      <c r="FM41" s="1167"/>
      <c r="FN41" s="1167"/>
      <c r="FO41" s="1167"/>
      <c r="FP41" s="1453"/>
      <c r="FQ41" s="1466"/>
      <c r="FR41" s="1167"/>
      <c r="FS41" s="1167"/>
      <c r="FT41" s="1167"/>
      <c r="FU41" s="1167"/>
      <c r="FV41" s="1167"/>
      <c r="FW41" s="1167"/>
      <c r="FX41" s="1173"/>
      <c r="FY41" s="1167"/>
      <c r="FZ41" s="1175"/>
      <c r="GA41" s="1469"/>
      <c r="GB41" s="1217"/>
      <c r="GC41" s="1217"/>
      <c r="GD41" s="1217"/>
      <c r="GE41" s="1217"/>
      <c r="GF41" s="1218"/>
      <c r="GG41" s="1189"/>
      <c r="GH41" s="1167"/>
      <c r="GI41" s="1167"/>
      <c r="GJ41" s="1167"/>
      <c r="GK41" s="1167"/>
      <c r="GL41" s="1167"/>
      <c r="GM41" s="1167"/>
      <c r="GN41" s="1167"/>
      <c r="GO41" s="1167"/>
      <c r="GP41" s="1167"/>
      <c r="GQ41" s="1167"/>
      <c r="GR41" s="1167"/>
      <c r="GS41" s="1174"/>
      <c r="GT41" s="1355"/>
      <c r="GU41" s="1167"/>
      <c r="GV41" s="1167"/>
      <c r="GW41" s="1167"/>
      <c r="GX41" s="1167"/>
      <c r="GY41" s="1167"/>
      <c r="GZ41" s="1167"/>
      <c r="HA41" s="1167"/>
      <c r="HB41" s="1167"/>
      <c r="HC41" s="1167"/>
      <c r="HD41" s="1167"/>
      <c r="HE41" s="1167"/>
      <c r="HF41" s="1167"/>
      <c r="HG41" s="1167"/>
      <c r="HH41" s="1167"/>
      <c r="HI41" s="1167"/>
      <c r="HJ41" s="1167"/>
      <c r="HK41" s="1167"/>
      <c r="HL41" s="1167"/>
      <c r="HM41" s="1167"/>
      <c r="HN41" s="1167"/>
      <c r="HO41" s="1167"/>
      <c r="HP41" s="1167"/>
      <c r="HQ41" s="1167"/>
    </row>
    <row r="42" customFormat="false" ht="12.75" hidden="false" customHeight="true" outlineLevel="0" collapsed="false">
      <c r="A42" s="1453"/>
      <c r="B42" s="1167"/>
      <c r="C42" s="1167"/>
      <c r="D42" s="1167"/>
      <c r="E42" s="1453"/>
      <c r="F42" s="1167"/>
      <c r="G42" s="1167"/>
      <c r="H42" s="1167"/>
      <c r="I42" s="1453"/>
      <c r="J42" s="1167"/>
      <c r="K42" s="1167"/>
      <c r="L42" s="1167"/>
      <c r="M42" s="1167"/>
      <c r="N42" s="1167"/>
      <c r="O42" s="1167"/>
      <c r="P42" s="1167"/>
      <c r="Q42" s="1453"/>
      <c r="R42" s="1167"/>
      <c r="S42" s="1198"/>
      <c r="T42" s="1198"/>
      <c r="U42" s="1198"/>
      <c r="V42" s="1198"/>
      <c r="W42" s="1198"/>
      <c r="X42" s="1198"/>
      <c r="Y42" s="1198"/>
      <c r="Z42" s="1198"/>
      <c r="AA42" s="1198"/>
      <c r="AB42" s="1198"/>
      <c r="AC42" s="1198"/>
      <c r="AD42" s="1198"/>
      <c r="AE42" s="1167"/>
      <c r="AF42" s="1453"/>
      <c r="AG42" s="1468"/>
      <c r="AH42" s="1198"/>
      <c r="AI42" s="1198"/>
      <c r="AJ42" s="1198"/>
      <c r="AK42" s="1198"/>
      <c r="AL42" s="1198"/>
      <c r="AM42" s="1198"/>
      <c r="AN42" s="1481"/>
      <c r="AO42" s="1468"/>
      <c r="AP42" s="1198"/>
      <c r="AQ42" s="1198"/>
      <c r="AR42" s="1198"/>
      <c r="AS42" s="1198"/>
      <c r="AT42" s="1198"/>
      <c r="AU42" s="1198"/>
      <c r="AV42" s="1167"/>
      <c r="AW42" s="1167"/>
      <c r="AX42" s="1167"/>
      <c r="AY42" s="1167"/>
      <c r="AZ42" s="1167"/>
      <c r="BA42" s="1167"/>
      <c r="BB42" s="1189"/>
      <c r="BC42" s="1189"/>
      <c r="BD42" s="1189"/>
      <c r="BE42" s="1150"/>
      <c r="BF42" s="1189"/>
      <c r="BG42" s="1189"/>
      <c r="BH42" s="1189"/>
      <c r="BI42" s="1189"/>
      <c r="BJ42" s="1189"/>
      <c r="BK42" s="1189"/>
      <c r="BL42" s="1189"/>
      <c r="BM42" s="1150"/>
      <c r="BN42" s="1262"/>
      <c r="BO42" s="1262"/>
      <c r="BP42" s="1262"/>
      <c r="BQ42" s="1262"/>
      <c r="BR42" s="1262"/>
      <c r="BS42" s="1262"/>
      <c r="BT42" s="1262"/>
      <c r="BU42" s="1262"/>
      <c r="BV42" s="1262"/>
      <c r="BW42" s="1262"/>
      <c r="BX42" s="1262"/>
      <c r="BY42" s="1262"/>
      <c r="BZ42" s="1189"/>
      <c r="CA42" s="1189"/>
      <c r="CB42" s="1482"/>
      <c r="CC42" s="1446"/>
      <c r="CD42" s="1167"/>
      <c r="CE42" s="1167"/>
      <c r="CF42" s="1167"/>
      <c r="CG42" s="1167"/>
      <c r="CH42" s="1167"/>
      <c r="CI42" s="1167"/>
      <c r="CJ42" s="1453"/>
      <c r="CK42" s="1167"/>
      <c r="CL42" s="1198"/>
      <c r="CM42" s="1198"/>
      <c r="CN42" s="1198"/>
      <c r="CO42" s="1198"/>
      <c r="CP42" s="1198"/>
      <c r="CQ42" s="1198"/>
      <c r="CR42" s="1198"/>
      <c r="CS42" s="1198"/>
      <c r="CT42" s="1198"/>
      <c r="CU42" s="1198"/>
      <c r="CV42" s="1198"/>
      <c r="CW42" s="1198"/>
      <c r="CX42" s="1167"/>
      <c r="CY42" s="1167"/>
      <c r="CZ42" s="1167"/>
      <c r="DA42" s="1262"/>
      <c r="DB42" s="1198"/>
      <c r="DC42" s="1198"/>
      <c r="DD42" s="1198"/>
      <c r="DE42" s="1198"/>
      <c r="DF42" s="1167"/>
      <c r="DG42" s="1453"/>
      <c r="DH42" s="1466"/>
      <c r="DI42" s="1198"/>
      <c r="DJ42" s="1198"/>
      <c r="DK42" s="1198"/>
      <c r="DL42" s="1198"/>
      <c r="DM42" s="1198"/>
      <c r="DN42" s="1198"/>
      <c r="DO42" s="1198"/>
      <c r="DP42" s="1198"/>
      <c r="DQ42" s="1198"/>
      <c r="DR42" s="1198"/>
      <c r="DS42" s="1198"/>
      <c r="DT42" s="1198"/>
      <c r="DU42" s="1167"/>
      <c r="DV42" s="1453"/>
      <c r="DW42" s="1466"/>
      <c r="DX42" s="1198"/>
      <c r="DY42" s="1198"/>
      <c r="DZ42" s="1198"/>
      <c r="EA42" s="1198"/>
      <c r="EB42" s="1198"/>
      <c r="EC42" s="1167"/>
      <c r="ED42" s="1453"/>
      <c r="EE42" s="1466"/>
      <c r="EF42" s="1262"/>
      <c r="EG42" s="1262"/>
      <c r="EH42" s="1262"/>
      <c r="EI42" s="1262"/>
      <c r="EJ42" s="1262"/>
      <c r="EK42" s="1262"/>
      <c r="EL42" s="1262"/>
      <c r="EM42" s="1262"/>
      <c r="EN42" s="1262"/>
      <c r="EO42" s="1262"/>
      <c r="EP42" s="1262"/>
      <c r="EQ42" s="1262"/>
      <c r="ER42" s="1475"/>
      <c r="ES42" s="1465"/>
      <c r="ET42" s="1375"/>
      <c r="EU42" s="1167"/>
      <c r="EV42" s="1167"/>
      <c r="EW42" s="1167"/>
      <c r="EX42" s="1167"/>
      <c r="EY42" s="1167"/>
      <c r="EZ42" s="1167"/>
      <c r="FA42" s="1167"/>
      <c r="FB42" s="1466"/>
      <c r="FC42" s="1167"/>
      <c r="FD42" s="1167"/>
      <c r="FE42" s="1167"/>
      <c r="FF42" s="1167"/>
      <c r="FG42" s="1167"/>
      <c r="FH42" s="1167"/>
      <c r="FI42" s="1167"/>
      <c r="FJ42" s="1453"/>
      <c r="FK42" s="1466"/>
      <c r="FL42" s="1167"/>
      <c r="FM42" s="1167"/>
      <c r="FN42" s="1167"/>
      <c r="FO42" s="1167"/>
      <c r="FP42" s="1453"/>
      <c r="FQ42" s="1466"/>
      <c r="FR42" s="1167"/>
      <c r="FS42" s="1167"/>
      <c r="FT42" s="1167"/>
      <c r="FU42" s="1167"/>
      <c r="FV42" s="1167"/>
      <c r="FW42" s="1167"/>
      <c r="FX42" s="1173"/>
      <c r="FY42" s="1167"/>
      <c r="FZ42" s="1175"/>
      <c r="GA42" s="1469"/>
      <c r="GB42" s="1217"/>
      <c r="GC42" s="1217"/>
      <c r="GD42" s="1217"/>
      <c r="GE42" s="1217"/>
      <c r="GF42" s="1218"/>
      <c r="GG42" s="1189"/>
      <c r="GH42" s="1167"/>
      <c r="GI42" s="1167"/>
      <c r="GJ42" s="1167"/>
      <c r="GK42" s="1167"/>
      <c r="GL42" s="1167"/>
      <c r="GM42" s="1167"/>
      <c r="GN42" s="1167"/>
      <c r="GO42" s="1167"/>
      <c r="GP42" s="1167"/>
      <c r="GQ42" s="1167"/>
      <c r="GR42" s="1167"/>
      <c r="GS42" s="1167"/>
      <c r="GT42" s="1167"/>
      <c r="GU42" s="1167"/>
      <c r="GV42" s="1167"/>
      <c r="GW42" s="1167"/>
      <c r="GX42" s="1167"/>
      <c r="GY42" s="1167"/>
      <c r="GZ42" s="1167"/>
      <c r="HA42" s="1167"/>
      <c r="HB42" s="1167"/>
      <c r="HC42" s="1167"/>
      <c r="HD42" s="1167"/>
      <c r="HE42" s="1167"/>
      <c r="HF42" s="1167"/>
      <c r="HG42" s="1167"/>
      <c r="HH42" s="1167"/>
      <c r="HI42" s="1167"/>
      <c r="HJ42" s="1167"/>
      <c r="HK42" s="1167"/>
      <c r="HL42" s="1167"/>
      <c r="HM42" s="1167"/>
      <c r="HN42" s="1167"/>
      <c r="HO42" s="1167"/>
      <c r="HP42" s="1167"/>
      <c r="HQ42" s="1167"/>
    </row>
    <row r="43" customFormat="false" ht="12.75" hidden="false" customHeight="true" outlineLevel="0" collapsed="false">
      <c r="A43" s="1453"/>
      <c r="B43" s="1167"/>
      <c r="C43" s="1167"/>
      <c r="D43" s="1167"/>
      <c r="E43" s="1453"/>
      <c r="F43" s="1167"/>
      <c r="G43" s="1167"/>
      <c r="H43" s="1167"/>
      <c r="I43" s="1453"/>
      <c r="J43" s="1167"/>
      <c r="K43" s="1167"/>
      <c r="L43" s="1167"/>
      <c r="M43" s="1167"/>
      <c r="N43" s="1167"/>
      <c r="O43" s="1167"/>
      <c r="P43" s="1167"/>
      <c r="Q43" s="1453"/>
      <c r="R43" s="1167"/>
      <c r="S43" s="1198"/>
      <c r="T43" s="1198"/>
      <c r="U43" s="1198"/>
      <c r="V43" s="1198"/>
      <c r="W43" s="1198"/>
      <c r="X43" s="1198"/>
      <c r="Y43" s="1198"/>
      <c r="Z43" s="1198"/>
      <c r="AA43" s="1198"/>
      <c r="AB43" s="1198"/>
      <c r="AC43" s="1198"/>
      <c r="AD43" s="1198"/>
      <c r="AE43" s="1167"/>
      <c r="AF43" s="1453"/>
      <c r="AG43" s="1468"/>
      <c r="AH43" s="1198"/>
      <c r="AI43" s="1198"/>
      <c r="AJ43" s="1198"/>
      <c r="AK43" s="1198"/>
      <c r="AL43" s="1198"/>
      <c r="AM43" s="1198"/>
      <c r="AN43" s="1481"/>
      <c r="AO43" s="1468"/>
      <c r="AP43" s="1198"/>
      <c r="AQ43" s="1198"/>
      <c r="AR43" s="1198"/>
      <c r="AS43" s="1198"/>
      <c r="AT43" s="1198"/>
      <c r="AU43" s="1198"/>
      <c r="AV43" s="1167"/>
      <c r="AW43" s="1167"/>
      <c r="AX43" s="1167"/>
      <c r="AY43" s="1167"/>
      <c r="AZ43" s="1167"/>
      <c r="BA43" s="1167"/>
      <c r="BB43" s="1189"/>
      <c r="BC43" s="1189"/>
      <c r="BD43" s="1189"/>
      <c r="BE43" s="1150"/>
      <c r="BF43" s="1189"/>
      <c r="BG43" s="1189"/>
      <c r="BH43" s="1189"/>
      <c r="BI43" s="1189"/>
      <c r="BJ43" s="1189"/>
      <c r="BK43" s="1189"/>
      <c r="BL43" s="1189"/>
      <c r="BM43" s="1150"/>
      <c r="BN43" s="1262"/>
      <c r="BO43" s="1262"/>
      <c r="BP43" s="1262"/>
      <c r="BQ43" s="1262"/>
      <c r="BR43" s="1262"/>
      <c r="BS43" s="1262"/>
      <c r="BT43" s="1262"/>
      <c r="BU43" s="1262"/>
      <c r="BV43" s="1262"/>
      <c r="BW43" s="1262"/>
      <c r="BX43" s="1262"/>
      <c r="BY43" s="1262"/>
      <c r="BZ43" s="1189"/>
      <c r="CA43" s="1189"/>
      <c r="CB43" s="1482"/>
      <c r="CC43" s="1446"/>
      <c r="CD43" s="1167"/>
      <c r="CE43" s="1167"/>
      <c r="CF43" s="1167"/>
      <c r="CG43" s="1167"/>
      <c r="CH43" s="1167"/>
      <c r="CI43" s="1167"/>
      <c r="CJ43" s="1453"/>
      <c r="CK43" s="1167"/>
      <c r="CL43" s="1198"/>
      <c r="CM43" s="1198"/>
      <c r="CN43" s="1198"/>
      <c r="CO43" s="1198"/>
      <c r="CP43" s="1198"/>
      <c r="CQ43" s="1198"/>
      <c r="CR43" s="1198"/>
      <c r="CS43" s="1198"/>
      <c r="CT43" s="1198"/>
      <c r="CU43" s="1198"/>
      <c r="CV43" s="1198"/>
      <c r="CW43" s="1198"/>
      <c r="CX43" s="1167"/>
      <c r="CY43" s="1167"/>
      <c r="CZ43" s="1167"/>
      <c r="DA43" s="1262"/>
      <c r="DB43" s="1198"/>
      <c r="DC43" s="1198"/>
      <c r="DD43" s="1198"/>
      <c r="DE43" s="1198"/>
      <c r="DF43" s="1167"/>
      <c r="DG43" s="1453"/>
      <c r="DH43" s="1466"/>
      <c r="DI43" s="1198"/>
      <c r="DJ43" s="1198"/>
      <c r="DK43" s="1198"/>
      <c r="DL43" s="1198"/>
      <c r="DM43" s="1198"/>
      <c r="DN43" s="1198"/>
      <c r="DO43" s="1198"/>
      <c r="DP43" s="1198"/>
      <c r="DQ43" s="1198"/>
      <c r="DR43" s="1198"/>
      <c r="DS43" s="1198"/>
      <c r="DT43" s="1198"/>
      <c r="DU43" s="1167"/>
      <c r="DV43" s="1453"/>
      <c r="DW43" s="1466"/>
      <c r="DX43" s="1198"/>
      <c r="DY43" s="1198"/>
      <c r="DZ43" s="1198"/>
      <c r="EA43" s="1198"/>
      <c r="EB43" s="1198"/>
      <c r="EC43" s="1167"/>
      <c r="ED43" s="1453"/>
      <c r="EE43" s="1466"/>
      <c r="EF43" s="1262"/>
      <c r="EG43" s="1262"/>
      <c r="EH43" s="1262"/>
      <c r="EI43" s="1262"/>
      <c r="EJ43" s="1262"/>
      <c r="EK43" s="1262"/>
      <c r="EL43" s="1262"/>
      <c r="EM43" s="1262"/>
      <c r="EN43" s="1262"/>
      <c r="EO43" s="1262"/>
      <c r="EP43" s="1262"/>
      <c r="EQ43" s="1262"/>
      <c r="ER43" s="1475"/>
      <c r="ES43" s="1465"/>
      <c r="ET43" s="1375"/>
      <c r="EU43" s="1167"/>
      <c r="EV43" s="1167"/>
      <c r="EW43" s="1167"/>
      <c r="EX43" s="1167"/>
      <c r="EY43" s="1167"/>
      <c r="EZ43" s="1167"/>
      <c r="FA43" s="1167"/>
      <c r="FB43" s="1466"/>
      <c r="FC43" s="1167"/>
      <c r="FD43" s="1167"/>
      <c r="FE43" s="1167"/>
      <c r="FF43" s="1167"/>
      <c r="FG43" s="1167"/>
      <c r="FH43" s="1167"/>
      <c r="FI43" s="1167"/>
      <c r="FJ43" s="1453"/>
      <c r="FK43" s="1466"/>
      <c r="FL43" s="1167"/>
      <c r="FM43" s="1167"/>
      <c r="FN43" s="1167"/>
      <c r="FO43" s="1167"/>
      <c r="FP43" s="1453"/>
      <c r="FQ43" s="1466"/>
      <c r="FR43" s="1167"/>
      <c r="FS43" s="1167"/>
      <c r="FT43" s="1167"/>
      <c r="FU43" s="1167"/>
      <c r="FV43" s="1167"/>
      <c r="FW43" s="1167"/>
      <c r="FX43" s="1173"/>
      <c r="FY43" s="1167"/>
      <c r="FZ43" s="1175"/>
      <c r="GA43" s="1469"/>
      <c r="GB43" s="1217"/>
      <c r="GC43" s="1217"/>
      <c r="GD43" s="1217"/>
      <c r="GE43" s="1217"/>
      <c r="GF43" s="1218"/>
      <c r="GG43" s="1189"/>
      <c r="GH43" s="1167"/>
      <c r="GI43" s="1167"/>
      <c r="GJ43" s="1167"/>
      <c r="GK43" s="1167"/>
      <c r="GL43" s="1167"/>
      <c r="GM43" s="1167"/>
      <c r="GN43" s="1167"/>
      <c r="GO43" s="1167"/>
      <c r="GP43" s="1167"/>
      <c r="GQ43" s="1167"/>
      <c r="GR43" s="1167"/>
      <c r="GS43" s="1167"/>
      <c r="GT43" s="1167"/>
      <c r="GU43" s="1167"/>
      <c r="GV43" s="1167"/>
      <c r="GW43" s="1167"/>
      <c r="GX43" s="1167"/>
      <c r="GY43" s="1167"/>
      <c r="GZ43" s="1167"/>
      <c r="HA43" s="1167"/>
      <c r="HB43" s="1167"/>
      <c r="HC43" s="1167"/>
      <c r="HD43" s="1167"/>
      <c r="HE43" s="1167"/>
      <c r="HF43" s="1167"/>
      <c r="HG43" s="1167"/>
      <c r="HH43" s="1167"/>
      <c r="HI43" s="1167"/>
      <c r="HJ43" s="1167"/>
      <c r="HK43" s="1167"/>
      <c r="HL43" s="1167"/>
      <c r="HM43" s="1167"/>
      <c r="HN43" s="1167"/>
      <c r="HO43" s="1167"/>
      <c r="HP43" s="1167"/>
      <c r="HQ43" s="1167"/>
    </row>
    <row r="44" customFormat="false" ht="12.75" hidden="false" customHeight="true" outlineLevel="0" collapsed="false">
      <c r="A44" s="1453"/>
      <c r="B44" s="1167"/>
      <c r="C44" s="1167"/>
      <c r="D44" s="1167"/>
      <c r="E44" s="1453"/>
      <c r="F44" s="1167"/>
      <c r="G44" s="1167"/>
      <c r="H44" s="1167"/>
      <c r="I44" s="1453"/>
      <c r="J44" s="1167"/>
      <c r="K44" s="1167"/>
      <c r="L44" s="1167"/>
      <c r="M44" s="1167"/>
      <c r="N44" s="1167"/>
      <c r="O44" s="1167"/>
      <c r="P44" s="1167"/>
      <c r="Q44" s="1453"/>
      <c r="R44" s="1167"/>
      <c r="S44" s="1198"/>
      <c r="T44" s="1198"/>
      <c r="U44" s="1198"/>
      <c r="V44" s="1198"/>
      <c r="W44" s="1198"/>
      <c r="X44" s="1198"/>
      <c r="Y44" s="1198"/>
      <c r="Z44" s="1198"/>
      <c r="AA44" s="1198"/>
      <c r="AB44" s="1198"/>
      <c r="AC44" s="1198"/>
      <c r="AD44" s="1198"/>
      <c r="AE44" s="1167"/>
      <c r="AF44" s="1453"/>
      <c r="AG44" s="1468"/>
      <c r="AH44" s="1198"/>
      <c r="AI44" s="1198"/>
      <c r="AJ44" s="1198"/>
      <c r="AK44" s="1198"/>
      <c r="AL44" s="1198"/>
      <c r="AM44" s="1198"/>
      <c r="AN44" s="1481"/>
      <c r="AO44" s="1468"/>
      <c r="AP44" s="1198"/>
      <c r="AQ44" s="1198"/>
      <c r="AR44" s="1198"/>
      <c r="AS44" s="1198"/>
      <c r="AT44" s="1198"/>
      <c r="AU44" s="1198"/>
      <c r="AV44" s="1167"/>
      <c r="AW44" s="1167"/>
      <c r="AX44" s="1167"/>
      <c r="AY44" s="1167"/>
      <c r="AZ44" s="1167"/>
      <c r="BA44" s="1167"/>
      <c r="BB44" s="1189"/>
      <c r="BC44" s="1189"/>
      <c r="BD44" s="1189"/>
      <c r="BE44" s="1150"/>
      <c r="BF44" s="1189"/>
      <c r="BG44" s="1189"/>
      <c r="BH44" s="1189"/>
      <c r="BI44" s="1189"/>
      <c r="BJ44" s="1189"/>
      <c r="BK44" s="1189"/>
      <c r="BL44" s="1189"/>
      <c r="BM44" s="1150"/>
      <c r="BN44" s="1262"/>
      <c r="BO44" s="1262"/>
      <c r="BP44" s="1262"/>
      <c r="BQ44" s="1262"/>
      <c r="BR44" s="1262"/>
      <c r="BS44" s="1262"/>
      <c r="BT44" s="1262"/>
      <c r="BU44" s="1262"/>
      <c r="BV44" s="1262"/>
      <c r="BW44" s="1262"/>
      <c r="BX44" s="1262"/>
      <c r="BY44" s="1262"/>
      <c r="BZ44" s="1189"/>
      <c r="CA44" s="1189"/>
      <c r="CB44" s="1482"/>
      <c r="CC44" s="1446"/>
      <c r="CD44" s="1167"/>
      <c r="CE44" s="1167"/>
      <c r="CF44" s="1167"/>
      <c r="CG44" s="1167"/>
      <c r="CH44" s="1167"/>
      <c r="CI44" s="1167"/>
      <c r="CJ44" s="1453"/>
      <c r="CK44" s="1167"/>
      <c r="CL44" s="1198"/>
      <c r="CM44" s="1198"/>
      <c r="CN44" s="1198"/>
      <c r="CO44" s="1198"/>
      <c r="CP44" s="1198"/>
      <c r="CQ44" s="1198"/>
      <c r="CR44" s="1198"/>
      <c r="CS44" s="1198"/>
      <c r="CT44" s="1198"/>
      <c r="CU44" s="1198"/>
      <c r="CV44" s="1198"/>
      <c r="CW44" s="1198"/>
      <c r="CX44" s="1167"/>
      <c r="CY44" s="1167"/>
      <c r="CZ44" s="1167"/>
      <c r="DA44" s="1262"/>
      <c r="DB44" s="1198"/>
      <c r="DC44" s="1198"/>
      <c r="DD44" s="1198"/>
      <c r="DE44" s="1198"/>
      <c r="DF44" s="1167"/>
      <c r="DG44" s="1453"/>
      <c r="DH44" s="1466"/>
      <c r="DI44" s="1198"/>
      <c r="DJ44" s="1198"/>
      <c r="DK44" s="1198"/>
      <c r="DL44" s="1198"/>
      <c r="DM44" s="1198"/>
      <c r="DN44" s="1198"/>
      <c r="DO44" s="1198"/>
      <c r="DP44" s="1198"/>
      <c r="DQ44" s="1198"/>
      <c r="DR44" s="1198"/>
      <c r="DS44" s="1198"/>
      <c r="DT44" s="1198"/>
      <c r="DU44" s="1167"/>
      <c r="DV44" s="1453"/>
      <c r="DW44" s="1466"/>
      <c r="DX44" s="1198"/>
      <c r="DY44" s="1198"/>
      <c r="DZ44" s="1198"/>
      <c r="EA44" s="1198"/>
      <c r="EB44" s="1198"/>
      <c r="EC44" s="1167"/>
      <c r="ED44" s="1453"/>
      <c r="EE44" s="1466"/>
      <c r="EF44" s="1262"/>
      <c r="EG44" s="1262"/>
      <c r="EH44" s="1262"/>
      <c r="EI44" s="1262"/>
      <c r="EJ44" s="1262"/>
      <c r="EK44" s="1262"/>
      <c r="EL44" s="1262"/>
      <c r="EM44" s="1262"/>
      <c r="EN44" s="1262"/>
      <c r="EO44" s="1198"/>
      <c r="EP44" s="1198"/>
      <c r="EQ44" s="1198"/>
      <c r="ER44" s="1475"/>
      <c r="ES44" s="1465"/>
      <c r="ET44" s="1375"/>
      <c r="EU44" s="1167"/>
      <c r="EV44" s="1167"/>
      <c r="EW44" s="1167"/>
      <c r="EX44" s="1167"/>
      <c r="EY44" s="1167"/>
      <c r="EZ44" s="1167"/>
      <c r="FA44" s="1167"/>
      <c r="FB44" s="1466"/>
      <c r="FC44" s="1167"/>
      <c r="FD44" s="1167"/>
      <c r="FE44" s="1167"/>
      <c r="FF44" s="1167"/>
      <c r="FG44" s="1167"/>
      <c r="FH44" s="1167"/>
      <c r="FI44" s="1167"/>
      <c r="FJ44" s="1453"/>
      <c r="FK44" s="1466"/>
      <c r="FL44" s="1167"/>
      <c r="FM44" s="1167"/>
      <c r="FN44" s="1167"/>
      <c r="FO44" s="1167"/>
      <c r="FP44" s="1453"/>
      <c r="FQ44" s="1466"/>
      <c r="FR44" s="1167"/>
      <c r="FS44" s="1167"/>
      <c r="FT44" s="1167"/>
      <c r="FU44" s="1167"/>
      <c r="FV44" s="1167"/>
      <c r="FW44" s="1167"/>
      <c r="FX44" s="1173"/>
      <c r="FY44" s="1167"/>
      <c r="FZ44" s="1175"/>
      <c r="GA44" s="1469"/>
      <c r="GB44" s="1217"/>
      <c r="GC44" s="1217"/>
      <c r="GD44" s="1217"/>
      <c r="GE44" s="1217"/>
      <c r="GF44" s="1218"/>
      <c r="GG44" s="1189"/>
      <c r="GH44" s="1167"/>
      <c r="GI44" s="1167"/>
      <c r="GJ44" s="1167"/>
      <c r="GK44" s="1167"/>
      <c r="GL44" s="1167"/>
      <c r="GM44" s="1167"/>
      <c r="GN44" s="1167"/>
      <c r="GO44" s="1167"/>
      <c r="GP44" s="1167"/>
      <c r="GQ44" s="1167"/>
      <c r="GR44" s="1167"/>
      <c r="GS44" s="1167"/>
      <c r="GT44" s="1167"/>
      <c r="GU44" s="1167"/>
      <c r="GV44" s="1167"/>
      <c r="GW44" s="1167"/>
      <c r="GX44" s="1167"/>
      <c r="GY44" s="1167"/>
      <c r="GZ44" s="1167"/>
      <c r="HA44" s="1167"/>
      <c r="HB44" s="1167"/>
      <c r="HC44" s="1167"/>
      <c r="HD44" s="1167"/>
      <c r="HE44" s="1167"/>
      <c r="HF44" s="1167"/>
      <c r="HG44" s="1167"/>
      <c r="HH44" s="1167"/>
      <c r="HI44" s="1167"/>
      <c r="HJ44" s="1167"/>
      <c r="HK44" s="1167"/>
      <c r="HL44" s="1167"/>
      <c r="HM44" s="1167"/>
      <c r="HN44" s="1167"/>
      <c r="HO44" s="1167"/>
      <c r="HP44" s="1167"/>
      <c r="HQ44" s="1167"/>
    </row>
    <row r="45" customFormat="false" ht="12.75" hidden="false" customHeight="true" outlineLevel="0" collapsed="false">
      <c r="A45" s="1453"/>
      <c r="B45" s="1167"/>
      <c r="C45" s="1167"/>
      <c r="D45" s="1167"/>
      <c r="E45" s="1453"/>
      <c r="F45" s="1167"/>
      <c r="G45" s="1167"/>
      <c r="H45" s="1167"/>
      <c r="I45" s="1453"/>
      <c r="J45" s="1167"/>
      <c r="K45" s="1167"/>
      <c r="L45" s="1167"/>
      <c r="M45" s="1167"/>
      <c r="N45" s="1167"/>
      <c r="O45" s="1167"/>
      <c r="P45" s="1167"/>
      <c r="Q45" s="1453"/>
      <c r="R45" s="1167"/>
      <c r="S45" s="1198"/>
      <c r="T45" s="1198"/>
      <c r="U45" s="1198"/>
      <c r="V45" s="1198"/>
      <c r="W45" s="1198"/>
      <c r="X45" s="1198"/>
      <c r="Y45" s="1198"/>
      <c r="Z45" s="1198"/>
      <c r="AA45" s="1198"/>
      <c r="AB45" s="1198"/>
      <c r="AC45" s="1198"/>
      <c r="AD45" s="1198"/>
      <c r="AE45" s="1167"/>
      <c r="AF45" s="1453"/>
      <c r="AG45" s="1468"/>
      <c r="AH45" s="1198"/>
      <c r="AI45" s="1198"/>
      <c r="AJ45" s="1198"/>
      <c r="AK45" s="1198"/>
      <c r="AL45" s="1198"/>
      <c r="AM45" s="1198"/>
      <c r="AN45" s="1481"/>
      <c r="AO45" s="1468"/>
      <c r="AP45" s="1198"/>
      <c r="AQ45" s="1198"/>
      <c r="AR45" s="1198"/>
      <c r="AS45" s="1198"/>
      <c r="AT45" s="1198"/>
      <c r="AU45" s="1198"/>
      <c r="AV45" s="1167"/>
      <c r="AW45" s="1167"/>
      <c r="AX45" s="1167"/>
      <c r="AY45" s="1167"/>
      <c r="AZ45" s="1167"/>
      <c r="BA45" s="1167"/>
      <c r="BB45" s="1189"/>
      <c r="BC45" s="1189"/>
      <c r="BD45" s="1189"/>
      <c r="BE45" s="1150"/>
      <c r="BF45" s="1189"/>
      <c r="BG45" s="1189"/>
      <c r="BH45" s="1189"/>
      <c r="BI45" s="1189"/>
      <c r="BJ45" s="1189"/>
      <c r="BK45" s="1189"/>
      <c r="BL45" s="1189"/>
      <c r="BM45" s="1150"/>
      <c r="BN45" s="1262"/>
      <c r="BO45" s="1262"/>
      <c r="BP45" s="1262"/>
      <c r="BQ45" s="1262"/>
      <c r="BR45" s="1262"/>
      <c r="BS45" s="1262"/>
      <c r="BT45" s="1262"/>
      <c r="BU45" s="1262"/>
      <c r="BV45" s="1262"/>
      <c r="BW45" s="1262"/>
      <c r="BX45" s="1262"/>
      <c r="BY45" s="1262"/>
      <c r="BZ45" s="1189"/>
      <c r="CA45" s="1150"/>
      <c r="CB45" s="1482"/>
      <c r="CC45" s="1446"/>
      <c r="CD45" s="1167"/>
      <c r="CE45" s="1167"/>
      <c r="CF45" s="1167"/>
      <c r="CG45" s="1167"/>
      <c r="CH45" s="1167"/>
      <c r="CI45" s="1167"/>
      <c r="CJ45" s="1453"/>
      <c r="CK45" s="1167"/>
      <c r="CL45" s="1198"/>
      <c r="CM45" s="1198"/>
      <c r="CN45" s="1198"/>
      <c r="CO45" s="1198"/>
      <c r="CP45" s="1198"/>
      <c r="CQ45" s="1198"/>
      <c r="CR45" s="1198"/>
      <c r="CS45" s="1198"/>
      <c r="CT45" s="1198"/>
      <c r="CU45" s="1198"/>
      <c r="CV45" s="1198"/>
      <c r="CW45" s="1198"/>
      <c r="CX45" s="1167"/>
      <c r="CY45" s="1167"/>
      <c r="CZ45" s="1167"/>
      <c r="DA45" s="1262"/>
      <c r="DB45" s="1198"/>
      <c r="DC45" s="1198"/>
      <c r="DD45" s="1198"/>
      <c r="DE45" s="1198"/>
      <c r="DF45" s="1167"/>
      <c r="DG45" s="1453"/>
      <c r="DH45" s="1466"/>
      <c r="DI45" s="1198"/>
      <c r="DJ45" s="1198"/>
      <c r="DK45" s="1198"/>
      <c r="DL45" s="1198"/>
      <c r="DM45" s="1198"/>
      <c r="DN45" s="1198"/>
      <c r="DO45" s="1198"/>
      <c r="DP45" s="1198"/>
      <c r="DQ45" s="1198"/>
      <c r="DR45" s="1198"/>
      <c r="DS45" s="1198"/>
      <c r="DT45" s="1198"/>
      <c r="DU45" s="1167"/>
      <c r="DV45" s="1453"/>
      <c r="DW45" s="1466"/>
      <c r="DX45" s="1198"/>
      <c r="DY45" s="1198"/>
      <c r="DZ45" s="1198"/>
      <c r="EA45" s="1198"/>
      <c r="EB45" s="1198"/>
      <c r="EC45" s="1167"/>
      <c r="ED45" s="1453"/>
      <c r="EE45" s="1466"/>
      <c r="EF45" s="1262"/>
      <c r="EG45" s="1262"/>
      <c r="EH45" s="1262"/>
      <c r="EI45" s="1262"/>
      <c r="EJ45" s="1262"/>
      <c r="EK45" s="1262"/>
      <c r="EL45" s="1262"/>
      <c r="EM45" s="1262"/>
      <c r="EN45" s="1262"/>
      <c r="EO45" s="1198"/>
      <c r="EP45" s="1198"/>
      <c r="EQ45" s="1198"/>
      <c r="ER45" s="1475"/>
      <c r="ES45" s="1465"/>
      <c r="ET45" s="1375"/>
      <c r="EU45" s="1167"/>
      <c r="EV45" s="1167"/>
      <c r="EW45" s="1167"/>
      <c r="EX45" s="1167"/>
      <c r="EY45" s="1167"/>
      <c r="EZ45" s="1167"/>
      <c r="FA45" s="1167"/>
      <c r="FB45" s="1466"/>
      <c r="FC45" s="1167"/>
      <c r="FD45" s="1167"/>
      <c r="FE45" s="1167"/>
      <c r="FF45" s="1167"/>
      <c r="FG45" s="1167"/>
      <c r="FH45" s="1167"/>
      <c r="FI45" s="1167"/>
      <c r="FJ45" s="1453"/>
      <c r="FK45" s="1466"/>
      <c r="FL45" s="1167"/>
      <c r="FM45" s="1167"/>
      <c r="FN45" s="1167"/>
      <c r="FO45" s="1167"/>
      <c r="FP45" s="1453"/>
      <c r="FQ45" s="1466"/>
      <c r="FR45" s="1167"/>
      <c r="FS45" s="1167"/>
      <c r="FT45" s="1167"/>
      <c r="FU45" s="1167"/>
      <c r="FV45" s="1167"/>
      <c r="FW45" s="1167"/>
      <c r="FX45" s="1173"/>
      <c r="FY45" s="1167"/>
      <c r="FZ45" s="1175"/>
      <c r="GA45" s="1469"/>
      <c r="GB45" s="1217"/>
      <c r="GC45" s="1217"/>
      <c r="GD45" s="1217"/>
      <c r="GE45" s="1217"/>
      <c r="GF45" s="1218"/>
      <c r="GG45" s="1189"/>
      <c r="GH45" s="1167"/>
      <c r="GI45" s="1167"/>
      <c r="GJ45" s="1167"/>
      <c r="GK45" s="1167"/>
      <c r="GL45" s="1167"/>
      <c r="GM45" s="1167"/>
      <c r="GN45" s="1167"/>
      <c r="GO45" s="1167"/>
      <c r="GP45" s="1167"/>
      <c r="GQ45" s="1167"/>
      <c r="GR45" s="1167"/>
      <c r="GS45" s="1167"/>
      <c r="GT45" s="1167"/>
      <c r="GU45" s="1167"/>
      <c r="GV45" s="1167"/>
      <c r="GW45" s="1167"/>
      <c r="GX45" s="1167"/>
      <c r="GY45" s="1167"/>
      <c r="GZ45" s="1167"/>
      <c r="HA45" s="1167"/>
      <c r="HB45" s="1167"/>
      <c r="HC45" s="1167"/>
      <c r="HD45" s="1167"/>
      <c r="HE45" s="1167"/>
      <c r="HF45" s="1167"/>
      <c r="HG45" s="1167"/>
      <c r="HH45" s="1167"/>
      <c r="HI45" s="1167"/>
      <c r="HJ45" s="1167"/>
      <c r="HK45" s="1167"/>
      <c r="HL45" s="1167"/>
      <c r="HM45" s="1167"/>
      <c r="HN45" s="1167"/>
      <c r="HO45" s="1167"/>
      <c r="HP45" s="1167"/>
      <c r="HQ45" s="1167"/>
    </row>
    <row r="46" customFormat="false" ht="12.75" hidden="false" customHeight="true" outlineLevel="0" collapsed="false">
      <c r="A46" s="1453"/>
      <c r="B46" s="1167"/>
      <c r="C46" s="1167"/>
      <c r="D46" s="1167"/>
      <c r="E46" s="1453"/>
      <c r="F46" s="1167"/>
      <c r="G46" s="1167"/>
      <c r="H46" s="1167"/>
      <c r="I46" s="1453"/>
      <c r="J46" s="1167"/>
      <c r="K46" s="1167"/>
      <c r="L46" s="1167"/>
      <c r="M46" s="1167"/>
      <c r="N46" s="1167"/>
      <c r="O46" s="1167"/>
      <c r="P46" s="1167"/>
      <c r="Q46" s="1453"/>
      <c r="R46" s="1167"/>
      <c r="S46" s="1198"/>
      <c r="T46" s="1198"/>
      <c r="U46" s="1198"/>
      <c r="V46" s="1198"/>
      <c r="W46" s="1198"/>
      <c r="X46" s="1198"/>
      <c r="Y46" s="1198"/>
      <c r="Z46" s="1198"/>
      <c r="AA46" s="1198"/>
      <c r="AB46" s="1198"/>
      <c r="AC46" s="1198"/>
      <c r="AD46" s="1198"/>
      <c r="AE46" s="1167"/>
      <c r="AF46" s="1453"/>
      <c r="AG46" s="1468"/>
      <c r="AH46" s="1198"/>
      <c r="AI46" s="1198"/>
      <c r="AJ46" s="1198"/>
      <c r="AK46" s="1198"/>
      <c r="AL46" s="1198"/>
      <c r="AM46" s="1198"/>
      <c r="AN46" s="1481"/>
      <c r="AO46" s="1468"/>
      <c r="AP46" s="1198"/>
      <c r="AQ46" s="1198"/>
      <c r="AR46" s="1198"/>
      <c r="AS46" s="1198"/>
      <c r="AT46" s="1198"/>
      <c r="AU46" s="1198"/>
      <c r="AV46" s="1167"/>
      <c r="AW46" s="1167"/>
      <c r="AX46" s="1167"/>
      <c r="AY46" s="1167"/>
      <c r="AZ46" s="1167"/>
      <c r="BA46" s="1167"/>
      <c r="BB46" s="1189"/>
      <c r="BC46" s="1189"/>
      <c r="BD46" s="1189"/>
      <c r="BE46" s="1150"/>
      <c r="BF46" s="1150"/>
      <c r="BG46" s="1150"/>
      <c r="BH46" s="1150"/>
      <c r="BI46" s="1150"/>
      <c r="BJ46" s="1150"/>
      <c r="BK46" s="1189"/>
      <c r="BL46" s="1189"/>
      <c r="BM46" s="1150"/>
      <c r="BN46" s="1483"/>
      <c r="BO46" s="1483"/>
      <c r="BP46" s="1483"/>
      <c r="BQ46" s="1483"/>
      <c r="BR46" s="1483"/>
      <c r="BS46" s="1483"/>
      <c r="BT46" s="1483"/>
      <c r="BU46" s="1483"/>
      <c r="BV46" s="1483"/>
      <c r="BW46" s="1483"/>
      <c r="BX46" s="1483"/>
      <c r="BY46" s="1483"/>
      <c r="BZ46" s="1189"/>
      <c r="CA46" s="1189"/>
      <c r="CB46" s="1482"/>
      <c r="CC46" s="1446"/>
      <c r="CD46" s="1167"/>
      <c r="CE46" s="1167"/>
      <c r="CF46" s="1167"/>
      <c r="CG46" s="1167"/>
      <c r="CH46" s="1167"/>
      <c r="CI46" s="1167"/>
      <c r="CJ46" s="1453"/>
      <c r="CK46" s="1167"/>
      <c r="CL46" s="1198"/>
      <c r="CM46" s="1198"/>
      <c r="CN46" s="1198"/>
      <c r="CO46" s="1198"/>
      <c r="CP46" s="1198"/>
      <c r="CQ46" s="1198"/>
      <c r="CR46" s="1198"/>
      <c r="CS46" s="1198"/>
      <c r="CT46" s="1198"/>
      <c r="CU46" s="1198"/>
      <c r="CV46" s="1198"/>
      <c r="CW46" s="1198"/>
      <c r="CX46" s="1167"/>
      <c r="CY46" s="1167"/>
      <c r="CZ46" s="1167"/>
      <c r="DA46" s="1262"/>
      <c r="DB46" s="1198"/>
      <c r="DC46" s="1198"/>
      <c r="DD46" s="1198"/>
      <c r="DE46" s="1198"/>
      <c r="DF46" s="1167"/>
      <c r="DG46" s="1453"/>
      <c r="DH46" s="1466"/>
      <c r="DI46" s="1198"/>
      <c r="DJ46" s="1198"/>
      <c r="DK46" s="1198"/>
      <c r="DL46" s="1198"/>
      <c r="DM46" s="1198"/>
      <c r="DN46" s="1198"/>
      <c r="DO46" s="1198"/>
      <c r="DP46" s="1198"/>
      <c r="DQ46" s="1198"/>
      <c r="DR46" s="1198"/>
      <c r="DS46" s="1198"/>
      <c r="DT46" s="1198"/>
      <c r="DU46" s="1167"/>
      <c r="DV46" s="1453"/>
      <c r="DW46" s="1466"/>
      <c r="DX46" s="1198"/>
      <c r="DY46" s="1198"/>
      <c r="DZ46" s="1198"/>
      <c r="EA46" s="1198"/>
      <c r="EB46" s="1198"/>
      <c r="EC46" s="1167"/>
      <c r="ED46" s="1453"/>
      <c r="EE46" s="1466"/>
      <c r="EF46" s="1262"/>
      <c r="EG46" s="1262"/>
      <c r="EH46" s="1262"/>
      <c r="EI46" s="1262"/>
      <c r="EJ46" s="1262"/>
      <c r="EK46" s="1262"/>
      <c r="EL46" s="1262"/>
      <c r="EM46" s="1262"/>
      <c r="EN46" s="1262"/>
      <c r="EO46" s="1198"/>
      <c r="EP46" s="1198"/>
      <c r="EQ46" s="1198"/>
      <c r="ER46" s="1475"/>
      <c r="ES46" s="1465"/>
      <c r="ET46" s="1375"/>
      <c r="EU46" s="1167"/>
      <c r="EV46" s="1167"/>
      <c r="EW46" s="1167"/>
      <c r="EX46" s="1167"/>
      <c r="EY46" s="1167"/>
      <c r="EZ46" s="1167"/>
      <c r="FA46" s="1167"/>
      <c r="FB46" s="1466"/>
      <c r="FC46" s="1167"/>
      <c r="FD46" s="1167"/>
      <c r="FE46" s="1167"/>
      <c r="FF46" s="1167"/>
      <c r="FG46" s="1167"/>
      <c r="FH46" s="1167"/>
      <c r="FI46" s="1167"/>
      <c r="FJ46" s="1453"/>
      <c r="FK46" s="1466"/>
      <c r="FL46" s="1167"/>
      <c r="FM46" s="1167"/>
      <c r="FN46" s="1167"/>
      <c r="FO46" s="1167"/>
      <c r="FP46" s="1453"/>
      <c r="FQ46" s="1466"/>
      <c r="FR46" s="1167"/>
      <c r="FS46" s="1167"/>
      <c r="FT46" s="1167"/>
      <c r="FU46" s="1167"/>
      <c r="FV46" s="1167"/>
      <c r="FW46" s="1167"/>
      <c r="FX46" s="1173"/>
      <c r="FY46" s="1167"/>
      <c r="FZ46" s="1175"/>
      <c r="GA46" s="1469"/>
      <c r="GB46" s="1217"/>
      <c r="GC46" s="1217"/>
      <c r="GD46" s="1217"/>
      <c r="GE46" s="1217"/>
      <c r="GF46" s="1218"/>
      <c r="GG46" s="1189"/>
      <c r="GH46" s="1167"/>
      <c r="GI46" s="1167"/>
      <c r="GJ46" s="1167"/>
      <c r="GK46" s="1167"/>
      <c r="GL46" s="1167"/>
      <c r="GM46" s="1167"/>
      <c r="GN46" s="1167"/>
      <c r="GO46" s="1167"/>
      <c r="GP46" s="1167"/>
      <c r="GQ46" s="1167"/>
      <c r="GR46" s="1167"/>
      <c r="GS46" s="1167"/>
      <c r="GT46" s="1167"/>
      <c r="GU46" s="1167"/>
      <c r="GV46" s="1167"/>
      <c r="GW46" s="1167"/>
      <c r="GX46" s="1167"/>
      <c r="GY46" s="1167"/>
      <c r="GZ46" s="1167"/>
      <c r="HA46" s="1167"/>
      <c r="HB46" s="1167"/>
      <c r="HC46" s="1167"/>
      <c r="HD46" s="1167"/>
      <c r="HE46" s="1167"/>
      <c r="HF46" s="1167"/>
      <c r="HG46" s="1167"/>
      <c r="HH46" s="1167"/>
      <c r="HI46" s="1167"/>
      <c r="HJ46" s="1167"/>
      <c r="HK46" s="1167"/>
      <c r="HL46" s="1167"/>
      <c r="HM46" s="1167"/>
      <c r="HN46" s="1167"/>
      <c r="HO46" s="1167"/>
      <c r="HP46" s="1167"/>
      <c r="HQ46" s="1167"/>
    </row>
    <row r="47" customFormat="false" ht="12.75" hidden="false" customHeight="true" outlineLevel="0" collapsed="false">
      <c r="A47" s="1453"/>
      <c r="B47" s="1167"/>
      <c r="C47" s="1167"/>
      <c r="D47" s="1167"/>
      <c r="E47" s="1453"/>
      <c r="F47" s="1167"/>
      <c r="G47" s="1167"/>
      <c r="H47" s="1167"/>
      <c r="I47" s="1453"/>
      <c r="J47" s="1167"/>
      <c r="K47" s="1167"/>
      <c r="L47" s="1167"/>
      <c r="M47" s="1167"/>
      <c r="N47" s="1167"/>
      <c r="O47" s="1167"/>
      <c r="P47" s="1167"/>
      <c r="Q47" s="1453"/>
      <c r="R47" s="1167"/>
      <c r="S47" s="1198"/>
      <c r="T47" s="1198"/>
      <c r="U47" s="1198"/>
      <c r="V47" s="1198"/>
      <c r="W47" s="1198"/>
      <c r="X47" s="1198"/>
      <c r="Y47" s="1198"/>
      <c r="Z47" s="1198"/>
      <c r="AA47" s="1198"/>
      <c r="AB47" s="1198"/>
      <c r="AC47" s="1198"/>
      <c r="AD47" s="1198"/>
      <c r="AE47" s="1167"/>
      <c r="AF47" s="1453"/>
      <c r="AG47" s="1468"/>
      <c r="AH47" s="1198"/>
      <c r="AI47" s="1198"/>
      <c r="AJ47" s="1198"/>
      <c r="AK47" s="1198"/>
      <c r="AL47" s="1198"/>
      <c r="AM47" s="1198"/>
      <c r="AN47" s="1481"/>
      <c r="AO47" s="1468"/>
      <c r="AP47" s="1198"/>
      <c r="AQ47" s="1198"/>
      <c r="AR47" s="1198"/>
      <c r="AS47" s="1198"/>
      <c r="AT47" s="1198"/>
      <c r="AU47" s="1198"/>
      <c r="AV47" s="1167"/>
      <c r="AW47" s="1167"/>
      <c r="AX47" s="1167"/>
      <c r="AY47" s="1167"/>
      <c r="AZ47" s="1167"/>
      <c r="BA47" s="1167"/>
      <c r="BB47" s="1150"/>
      <c r="BC47" s="1150"/>
      <c r="BD47" s="1150"/>
      <c r="BE47" s="1150"/>
      <c r="BF47" s="1189"/>
      <c r="BG47" s="1189"/>
      <c r="BH47" s="1189"/>
      <c r="BI47" s="1189"/>
      <c r="BJ47" s="1189"/>
      <c r="BK47" s="1150"/>
      <c r="BL47" s="1150"/>
      <c r="BM47" s="1150"/>
      <c r="BN47" s="1262"/>
      <c r="BO47" s="1262"/>
      <c r="BP47" s="1262"/>
      <c r="BQ47" s="1262"/>
      <c r="BR47" s="1262"/>
      <c r="BS47" s="1262"/>
      <c r="BT47" s="1262"/>
      <c r="BU47" s="1262"/>
      <c r="BV47" s="1262"/>
      <c r="BW47" s="1262"/>
      <c r="BX47" s="1262"/>
      <c r="BY47" s="1262"/>
      <c r="BZ47" s="1150"/>
      <c r="CA47" s="1189"/>
      <c r="CB47" s="1482"/>
      <c r="CC47" s="1446"/>
      <c r="CD47" s="1167"/>
      <c r="CE47" s="1167"/>
      <c r="CF47" s="1167"/>
      <c r="CG47" s="1167"/>
      <c r="CH47" s="1167"/>
      <c r="CI47" s="1167"/>
      <c r="CJ47" s="1453"/>
      <c r="CK47" s="1167"/>
      <c r="CL47" s="1198"/>
      <c r="CM47" s="1198"/>
      <c r="CN47" s="1198"/>
      <c r="CO47" s="1198"/>
      <c r="CP47" s="1198"/>
      <c r="CQ47" s="1198"/>
      <c r="CR47" s="1198"/>
      <c r="CS47" s="1198"/>
      <c r="CT47" s="1198"/>
      <c r="CU47" s="1198"/>
      <c r="CV47" s="1198"/>
      <c r="CW47" s="1198"/>
      <c r="CX47" s="1167"/>
      <c r="CY47" s="1167"/>
      <c r="CZ47" s="1167"/>
      <c r="DA47" s="1262"/>
      <c r="DB47" s="1198"/>
      <c r="DC47" s="1198"/>
      <c r="DD47" s="1198"/>
      <c r="DE47" s="1198"/>
      <c r="DF47" s="1167"/>
      <c r="DG47" s="1453"/>
      <c r="DH47" s="1466"/>
      <c r="DI47" s="1198"/>
      <c r="DJ47" s="1198"/>
      <c r="DK47" s="1198"/>
      <c r="DL47" s="1198"/>
      <c r="DM47" s="1198"/>
      <c r="DN47" s="1198"/>
      <c r="DO47" s="1198"/>
      <c r="DP47" s="1198"/>
      <c r="DQ47" s="1198"/>
      <c r="DR47" s="1198"/>
      <c r="DS47" s="1198"/>
      <c r="DT47" s="1198"/>
      <c r="DU47" s="1167"/>
      <c r="DV47" s="1453"/>
      <c r="DW47" s="1466"/>
      <c r="DX47" s="1198"/>
      <c r="DY47" s="1198"/>
      <c r="DZ47" s="1198"/>
      <c r="EA47" s="1198"/>
      <c r="EB47" s="1198"/>
      <c r="EC47" s="1167"/>
      <c r="ED47" s="1453"/>
      <c r="EE47" s="1466"/>
      <c r="EF47" s="1262"/>
      <c r="EG47" s="1262"/>
      <c r="EH47" s="1262"/>
      <c r="EI47" s="1262"/>
      <c r="EJ47" s="1262"/>
      <c r="EK47" s="1262"/>
      <c r="EL47" s="1262"/>
      <c r="EM47" s="1262"/>
      <c r="EN47" s="1262"/>
      <c r="EO47" s="1198"/>
      <c r="EP47" s="1198"/>
      <c r="EQ47" s="1198"/>
      <c r="ER47" s="1475"/>
      <c r="ES47" s="1465"/>
      <c r="ET47" s="1375"/>
      <c r="EU47" s="1167"/>
      <c r="EV47" s="1167"/>
      <c r="EW47" s="1167"/>
      <c r="EX47" s="1167"/>
      <c r="EY47" s="1167"/>
      <c r="EZ47" s="1167"/>
      <c r="FA47" s="1167"/>
      <c r="FB47" s="1466"/>
      <c r="FC47" s="1167"/>
      <c r="FD47" s="1167"/>
      <c r="FE47" s="1167"/>
      <c r="FF47" s="1167"/>
      <c r="FG47" s="1167"/>
      <c r="FH47" s="1167"/>
      <c r="FI47" s="1167"/>
      <c r="FJ47" s="1453"/>
      <c r="FK47" s="1466"/>
      <c r="FL47" s="1167"/>
      <c r="FM47" s="1167"/>
      <c r="FN47" s="1167"/>
      <c r="FO47" s="1167"/>
      <c r="FP47" s="1453"/>
      <c r="FQ47" s="1466"/>
      <c r="FR47" s="1167"/>
      <c r="FS47" s="1167"/>
      <c r="FT47" s="1167"/>
      <c r="FU47" s="1167"/>
      <c r="FV47" s="1167"/>
      <c r="FW47" s="1167"/>
      <c r="FX47" s="1173"/>
      <c r="FY47" s="1167"/>
      <c r="FZ47" s="1175"/>
      <c r="GA47" s="1469"/>
      <c r="GB47" s="1217"/>
      <c r="GC47" s="1217"/>
      <c r="GD47" s="1217"/>
      <c r="GE47" s="1217"/>
      <c r="GF47" s="1218"/>
      <c r="GG47" s="1189"/>
      <c r="GH47" s="1167"/>
      <c r="GI47" s="1167"/>
      <c r="GJ47" s="1167"/>
      <c r="GK47" s="1167"/>
      <c r="GL47" s="1167"/>
      <c r="GM47" s="1167"/>
      <c r="GN47" s="1167"/>
      <c r="GO47" s="1167"/>
      <c r="GP47" s="1167"/>
      <c r="GQ47" s="1167"/>
      <c r="GR47" s="1167"/>
      <c r="GS47" s="1167"/>
      <c r="GT47" s="1167"/>
      <c r="GU47" s="1167"/>
      <c r="GV47" s="1167"/>
      <c r="GW47" s="1167"/>
      <c r="GX47" s="1167"/>
      <c r="GY47" s="1167"/>
      <c r="GZ47" s="1167"/>
      <c r="HA47" s="1167"/>
      <c r="HB47" s="1167"/>
      <c r="HC47" s="1167"/>
      <c r="HD47" s="1167"/>
      <c r="HE47" s="1167"/>
      <c r="HF47" s="1167"/>
      <c r="HG47" s="1167"/>
      <c r="HH47" s="1167"/>
      <c r="HI47" s="1167"/>
      <c r="HJ47" s="1167"/>
      <c r="HK47" s="1167"/>
      <c r="HL47" s="1167"/>
      <c r="HM47" s="1167"/>
      <c r="HN47" s="1167"/>
      <c r="HO47" s="1167"/>
      <c r="HP47" s="1167"/>
      <c r="HQ47" s="1167"/>
    </row>
    <row r="48" customFormat="false" ht="12.75" hidden="false" customHeight="true" outlineLevel="0" collapsed="false">
      <c r="A48" s="1453"/>
      <c r="B48" s="1167"/>
      <c r="C48" s="1167"/>
      <c r="D48" s="1167"/>
      <c r="E48" s="1453"/>
      <c r="F48" s="1167"/>
      <c r="G48" s="1167"/>
      <c r="H48" s="1167"/>
      <c r="I48" s="1453"/>
      <c r="J48" s="1167"/>
      <c r="K48" s="1167"/>
      <c r="L48" s="1167"/>
      <c r="M48" s="1167"/>
      <c r="N48" s="1167"/>
      <c r="O48" s="1167"/>
      <c r="P48" s="1167"/>
      <c r="Q48" s="1453"/>
      <c r="R48" s="1167"/>
      <c r="S48" s="1198"/>
      <c r="T48" s="1198"/>
      <c r="U48" s="1198"/>
      <c r="V48" s="1198"/>
      <c r="W48" s="1198"/>
      <c r="X48" s="1198"/>
      <c r="Y48" s="1198"/>
      <c r="Z48" s="1198"/>
      <c r="AA48" s="1198"/>
      <c r="AB48" s="1198"/>
      <c r="AC48" s="1198"/>
      <c r="AD48" s="1198"/>
      <c r="AE48" s="1167"/>
      <c r="AF48" s="1453"/>
      <c r="AG48" s="1468"/>
      <c r="AH48" s="1198"/>
      <c r="AI48" s="1198"/>
      <c r="AJ48" s="1198"/>
      <c r="AK48" s="1198"/>
      <c r="AL48" s="1198"/>
      <c r="AM48" s="1198"/>
      <c r="AN48" s="1481"/>
      <c r="AO48" s="1468"/>
      <c r="AP48" s="1198"/>
      <c r="AQ48" s="1198"/>
      <c r="AR48" s="1198"/>
      <c r="AS48" s="1198"/>
      <c r="AT48" s="1198"/>
      <c r="AU48" s="1198"/>
      <c r="AV48" s="1167"/>
      <c r="AW48" s="1167"/>
      <c r="AX48" s="1167"/>
      <c r="AY48" s="1167"/>
      <c r="AZ48" s="1167"/>
      <c r="BA48" s="1167"/>
      <c r="BB48" s="1189"/>
      <c r="BC48" s="1189"/>
      <c r="BD48" s="1189"/>
      <c r="BE48" s="1150"/>
      <c r="BF48" s="1189"/>
      <c r="BG48" s="1189"/>
      <c r="BH48" s="1189"/>
      <c r="BI48" s="1189"/>
      <c r="BJ48" s="1189"/>
      <c r="BK48" s="1189"/>
      <c r="BL48" s="1189"/>
      <c r="BM48" s="1150"/>
      <c r="BN48" s="1262"/>
      <c r="BO48" s="1262"/>
      <c r="BP48" s="1262"/>
      <c r="BQ48" s="1262"/>
      <c r="BR48" s="1262"/>
      <c r="BS48" s="1262"/>
      <c r="BT48" s="1262"/>
      <c r="BU48" s="1262"/>
      <c r="BV48" s="1262"/>
      <c r="BW48" s="1262"/>
      <c r="BX48" s="1262"/>
      <c r="BY48" s="1262"/>
      <c r="BZ48" s="1189"/>
      <c r="CA48" s="1189"/>
      <c r="CB48" s="1482"/>
      <c r="CC48" s="1446"/>
      <c r="CD48" s="1167"/>
      <c r="CE48" s="1167"/>
      <c r="CF48" s="1167"/>
      <c r="CG48" s="1167"/>
      <c r="CH48" s="1167"/>
      <c r="CI48" s="1167"/>
      <c r="CJ48" s="1453"/>
      <c r="CK48" s="1167"/>
      <c r="CL48" s="1198"/>
      <c r="CM48" s="1198"/>
      <c r="CN48" s="1198"/>
      <c r="CO48" s="1198"/>
      <c r="CP48" s="1198"/>
      <c r="CQ48" s="1198"/>
      <c r="CR48" s="1198"/>
      <c r="CS48" s="1198"/>
      <c r="CT48" s="1198"/>
      <c r="CU48" s="1198"/>
      <c r="CV48" s="1198"/>
      <c r="CW48" s="1198"/>
      <c r="CX48" s="1167"/>
      <c r="CY48" s="1167"/>
      <c r="CZ48" s="1167"/>
      <c r="DA48" s="1262"/>
      <c r="DB48" s="1198"/>
      <c r="DC48" s="1198"/>
      <c r="DD48" s="1198"/>
      <c r="DE48" s="1198"/>
      <c r="DF48" s="1167"/>
      <c r="DG48" s="1453"/>
      <c r="DH48" s="1466"/>
      <c r="DI48" s="1198"/>
      <c r="DJ48" s="1198"/>
      <c r="DK48" s="1198"/>
      <c r="DL48" s="1198"/>
      <c r="DM48" s="1198"/>
      <c r="DN48" s="1198"/>
      <c r="DO48" s="1198"/>
      <c r="DP48" s="1198"/>
      <c r="DQ48" s="1198"/>
      <c r="DR48" s="1198"/>
      <c r="DS48" s="1198"/>
      <c r="DT48" s="1198"/>
      <c r="DU48" s="1167"/>
      <c r="DV48" s="1453"/>
      <c r="DW48" s="1466"/>
      <c r="DX48" s="1198"/>
      <c r="DY48" s="1198"/>
      <c r="DZ48" s="1198"/>
      <c r="EA48" s="1198"/>
      <c r="EB48" s="1198"/>
      <c r="EC48" s="1167"/>
      <c r="ED48" s="1453"/>
      <c r="EE48" s="1466"/>
      <c r="EF48" s="1262"/>
      <c r="EG48" s="1262"/>
      <c r="EH48" s="1262"/>
      <c r="EI48" s="1262"/>
      <c r="EJ48" s="1262"/>
      <c r="EK48" s="1262"/>
      <c r="EL48" s="1262"/>
      <c r="EM48" s="1262"/>
      <c r="EN48" s="1198"/>
      <c r="EO48" s="1198"/>
      <c r="EP48" s="1198"/>
      <c r="EQ48" s="1198"/>
      <c r="ER48" s="1475"/>
      <c r="ES48" s="1465"/>
      <c r="ET48" s="1375"/>
      <c r="EU48" s="1167"/>
      <c r="EV48" s="1167"/>
      <c r="EW48" s="1167"/>
      <c r="EX48" s="1167"/>
      <c r="EY48" s="1167"/>
      <c r="EZ48" s="1167"/>
      <c r="FA48" s="1167"/>
      <c r="FB48" s="1466"/>
      <c r="FC48" s="1167"/>
      <c r="FD48" s="1167"/>
      <c r="FE48" s="1167"/>
      <c r="FF48" s="1167"/>
      <c r="FG48" s="1167"/>
      <c r="FH48" s="1167"/>
      <c r="FI48" s="1167"/>
      <c r="FJ48" s="1453"/>
      <c r="FK48" s="1466"/>
      <c r="FL48" s="1167"/>
      <c r="FM48" s="1167"/>
      <c r="FN48" s="1167"/>
      <c r="FO48" s="1167"/>
      <c r="FP48" s="1453"/>
      <c r="FQ48" s="1466"/>
      <c r="FR48" s="1167"/>
      <c r="FS48" s="1167"/>
      <c r="FT48" s="1167"/>
      <c r="FU48" s="1167"/>
      <c r="FV48" s="1167"/>
      <c r="FW48" s="1167"/>
      <c r="FX48" s="1173"/>
      <c r="FY48" s="1167"/>
      <c r="FZ48" s="1175"/>
      <c r="GA48" s="1469"/>
      <c r="GB48" s="1217"/>
      <c r="GC48" s="1217"/>
      <c r="GD48" s="1217"/>
      <c r="GE48" s="1217"/>
      <c r="GF48" s="1218"/>
      <c r="GG48" s="1189"/>
      <c r="GH48" s="1167"/>
      <c r="GI48" s="1167"/>
      <c r="GJ48" s="1167"/>
      <c r="GK48" s="1167"/>
      <c r="GL48" s="1167"/>
      <c r="GM48" s="1167"/>
      <c r="GN48" s="1167"/>
      <c r="GO48" s="1167"/>
      <c r="GP48" s="1167"/>
      <c r="GQ48" s="1167"/>
      <c r="GR48" s="1167"/>
      <c r="GS48" s="1167"/>
      <c r="GT48" s="1167"/>
      <c r="GU48" s="1167"/>
      <c r="GV48" s="1167"/>
      <c r="GW48" s="1167"/>
      <c r="GX48" s="1167"/>
      <c r="GY48" s="1167"/>
      <c r="GZ48" s="1167"/>
      <c r="HA48" s="1167"/>
      <c r="HB48" s="1167"/>
      <c r="HC48" s="1167"/>
      <c r="HD48" s="1167"/>
      <c r="HE48" s="1167"/>
      <c r="HF48" s="1167"/>
      <c r="HG48" s="1167"/>
      <c r="HH48" s="1167"/>
      <c r="HI48" s="1167"/>
      <c r="HJ48" s="1167"/>
      <c r="HK48" s="1167"/>
      <c r="HL48" s="1167"/>
      <c r="HM48" s="1167"/>
      <c r="HN48" s="1167"/>
      <c r="HO48" s="1167"/>
      <c r="HP48" s="1167"/>
      <c r="HQ48" s="1167"/>
    </row>
    <row r="49" customFormat="false" ht="12.75" hidden="false" customHeight="true" outlineLevel="0" collapsed="false">
      <c r="A49" s="1453"/>
      <c r="B49" s="1167"/>
      <c r="C49" s="1167"/>
      <c r="D49" s="1167"/>
      <c r="E49" s="1453"/>
      <c r="F49" s="1167"/>
      <c r="G49" s="1167"/>
      <c r="H49" s="1167"/>
      <c r="I49" s="1453"/>
      <c r="J49" s="1167"/>
      <c r="K49" s="1167"/>
      <c r="L49" s="1167"/>
      <c r="M49" s="1167"/>
      <c r="N49" s="1167"/>
      <c r="O49" s="1167"/>
      <c r="P49" s="1167"/>
      <c r="Q49" s="1453"/>
      <c r="R49" s="1167"/>
      <c r="S49" s="1198"/>
      <c r="T49" s="1198"/>
      <c r="U49" s="1198"/>
      <c r="V49" s="1198"/>
      <c r="W49" s="1198"/>
      <c r="X49" s="1198"/>
      <c r="Y49" s="1198"/>
      <c r="Z49" s="1198"/>
      <c r="AA49" s="1198"/>
      <c r="AB49" s="1198"/>
      <c r="AC49" s="1198"/>
      <c r="AD49" s="1198"/>
      <c r="AE49" s="1167"/>
      <c r="AF49" s="1453"/>
      <c r="AG49" s="1468"/>
      <c r="AH49" s="1198"/>
      <c r="AI49" s="1198"/>
      <c r="AJ49" s="1198"/>
      <c r="AK49" s="1198"/>
      <c r="AL49" s="1198"/>
      <c r="AM49" s="1198"/>
      <c r="AN49" s="1481"/>
      <c r="AO49" s="1468"/>
      <c r="AP49" s="1198"/>
      <c r="AQ49" s="1198"/>
      <c r="AR49" s="1198"/>
      <c r="AS49" s="1198"/>
      <c r="AT49" s="1198"/>
      <c r="AU49" s="1198"/>
      <c r="AV49" s="1167"/>
      <c r="AW49" s="1167"/>
      <c r="AX49" s="1167"/>
      <c r="AY49" s="1167"/>
      <c r="AZ49" s="1167"/>
      <c r="BA49" s="1167"/>
      <c r="BB49" s="1189"/>
      <c r="BC49" s="1189"/>
      <c r="BD49" s="1189"/>
      <c r="BE49" s="1150"/>
      <c r="BF49" s="1189"/>
      <c r="BG49" s="1189"/>
      <c r="BH49" s="1189"/>
      <c r="BI49" s="1189"/>
      <c r="BJ49" s="1189"/>
      <c r="BK49" s="1189"/>
      <c r="BL49" s="1189"/>
      <c r="BM49" s="1150"/>
      <c r="BN49" s="1262"/>
      <c r="BO49" s="1262"/>
      <c r="BP49" s="1262"/>
      <c r="BQ49" s="1262"/>
      <c r="BR49" s="1262"/>
      <c r="BS49" s="1262"/>
      <c r="BT49" s="1262"/>
      <c r="BU49" s="1262"/>
      <c r="BV49" s="1262"/>
      <c r="BW49" s="1262"/>
      <c r="BX49" s="1262"/>
      <c r="BY49" s="1262"/>
      <c r="BZ49" s="1189"/>
      <c r="CA49" s="1189"/>
      <c r="CB49" s="1482"/>
      <c r="CC49" s="1446"/>
      <c r="CD49" s="1167"/>
      <c r="CE49" s="1167"/>
      <c r="CF49" s="1167"/>
      <c r="CG49" s="1167"/>
      <c r="CH49" s="1167"/>
      <c r="CI49" s="1167"/>
      <c r="CJ49" s="1453"/>
      <c r="CK49" s="1167"/>
      <c r="CL49" s="1198"/>
      <c r="CM49" s="1198"/>
      <c r="CN49" s="1198"/>
      <c r="CO49" s="1198"/>
      <c r="CP49" s="1198"/>
      <c r="CQ49" s="1198"/>
      <c r="CR49" s="1198"/>
      <c r="CS49" s="1198"/>
      <c r="CT49" s="1198"/>
      <c r="CU49" s="1198"/>
      <c r="CV49" s="1198"/>
      <c r="CW49" s="1198"/>
      <c r="CX49" s="1167"/>
      <c r="CY49" s="1167"/>
      <c r="CZ49" s="1167"/>
      <c r="DA49" s="1262"/>
      <c r="DB49" s="1198"/>
      <c r="DC49" s="1198"/>
      <c r="DD49" s="1198"/>
      <c r="DE49" s="1198"/>
      <c r="DF49" s="1167"/>
      <c r="DG49" s="1453"/>
      <c r="DH49" s="1466"/>
      <c r="DI49" s="1198"/>
      <c r="DJ49" s="1198"/>
      <c r="DK49" s="1198"/>
      <c r="DL49" s="1198"/>
      <c r="DM49" s="1198"/>
      <c r="DN49" s="1198"/>
      <c r="DO49" s="1198"/>
      <c r="DP49" s="1198"/>
      <c r="DQ49" s="1198"/>
      <c r="DR49" s="1198"/>
      <c r="DS49" s="1198"/>
      <c r="DT49" s="1198"/>
      <c r="DU49" s="1167"/>
      <c r="DV49" s="1453"/>
      <c r="DW49" s="1466"/>
      <c r="DX49" s="1198"/>
      <c r="DY49" s="1198"/>
      <c r="DZ49" s="1198"/>
      <c r="EA49" s="1198"/>
      <c r="EB49" s="1198"/>
      <c r="EC49" s="1167"/>
      <c r="ED49" s="1453"/>
      <c r="EE49" s="1466"/>
      <c r="EF49" s="1262"/>
      <c r="EG49" s="1262"/>
      <c r="EH49" s="1262"/>
      <c r="EI49" s="1262"/>
      <c r="EJ49" s="1262"/>
      <c r="EK49" s="1262"/>
      <c r="EL49" s="1262"/>
      <c r="EM49" s="1262"/>
      <c r="EN49" s="1198"/>
      <c r="EO49" s="1198"/>
      <c r="EP49" s="1198"/>
      <c r="EQ49" s="1198"/>
      <c r="ER49" s="1475"/>
      <c r="ES49" s="1465"/>
      <c r="ET49" s="1375"/>
      <c r="EU49" s="1167"/>
      <c r="EV49" s="1167"/>
      <c r="EW49" s="1167"/>
      <c r="EX49" s="1167"/>
      <c r="EY49" s="1167"/>
      <c r="EZ49" s="1167"/>
      <c r="FA49" s="1167"/>
      <c r="FB49" s="1466"/>
      <c r="FC49" s="1167"/>
      <c r="FD49" s="1167"/>
      <c r="FE49" s="1167"/>
      <c r="FF49" s="1167"/>
      <c r="FG49" s="1167"/>
      <c r="FH49" s="1167"/>
      <c r="FI49" s="1167"/>
      <c r="FJ49" s="1453"/>
      <c r="FK49" s="1466"/>
      <c r="FL49" s="1167"/>
      <c r="FM49" s="1167"/>
      <c r="FN49" s="1167"/>
      <c r="FO49" s="1167"/>
      <c r="FP49" s="1453"/>
      <c r="FQ49" s="1466"/>
      <c r="FR49" s="1167"/>
      <c r="FS49" s="1167"/>
      <c r="FT49" s="1167"/>
      <c r="FU49" s="1167"/>
      <c r="FV49" s="1167"/>
      <c r="FW49" s="1167"/>
      <c r="FX49" s="1173"/>
      <c r="FY49" s="1167"/>
      <c r="FZ49" s="1175"/>
      <c r="GA49" s="1469"/>
      <c r="GB49" s="1217"/>
      <c r="GC49" s="1217"/>
      <c r="GD49" s="1217"/>
      <c r="GE49" s="1217"/>
      <c r="GF49" s="1218"/>
      <c r="GG49" s="1189"/>
      <c r="GH49" s="1167"/>
      <c r="GI49" s="1167"/>
      <c r="GJ49" s="1167"/>
      <c r="GK49" s="1167"/>
      <c r="GL49" s="1167"/>
      <c r="GM49" s="1167"/>
      <c r="GN49" s="1167"/>
      <c r="GO49" s="1167"/>
      <c r="GP49" s="1167"/>
      <c r="GQ49" s="1167"/>
      <c r="GR49" s="1167"/>
      <c r="GS49" s="1167"/>
      <c r="GT49" s="1167"/>
      <c r="GU49" s="1167"/>
      <c r="GV49" s="1167"/>
      <c r="GW49" s="1167"/>
      <c r="GX49" s="1167"/>
      <c r="GY49" s="1167"/>
      <c r="GZ49" s="1167"/>
      <c r="HA49" s="1167"/>
      <c r="HB49" s="1167"/>
      <c r="HC49" s="1167"/>
      <c r="HD49" s="1167"/>
      <c r="HE49" s="1167"/>
      <c r="HF49" s="1167"/>
      <c r="HG49" s="1167"/>
      <c r="HH49" s="1167"/>
      <c r="HI49" s="1167"/>
      <c r="HJ49" s="1167"/>
      <c r="HK49" s="1167"/>
      <c r="HL49" s="1167"/>
      <c r="HM49" s="1167"/>
      <c r="HN49" s="1167"/>
      <c r="HO49" s="1167"/>
      <c r="HP49" s="1167"/>
      <c r="HQ49" s="1167"/>
    </row>
    <row r="50" customFormat="false" ht="11.25" hidden="false" customHeight="true" outlineLevel="0" collapsed="false">
      <c r="A50" s="1453"/>
      <c r="B50" s="1167"/>
      <c r="C50" s="1167"/>
      <c r="D50" s="1167"/>
      <c r="E50" s="1453"/>
      <c r="F50" s="1167"/>
      <c r="G50" s="1167"/>
      <c r="H50" s="1167"/>
      <c r="I50" s="1453"/>
      <c r="J50" s="1167"/>
      <c r="K50" s="1167"/>
      <c r="L50" s="1167"/>
      <c r="M50" s="1167"/>
      <c r="N50" s="1167"/>
      <c r="O50" s="1167"/>
      <c r="P50" s="1167"/>
      <c r="Q50" s="1453"/>
      <c r="R50" s="1167"/>
      <c r="S50" s="1198"/>
      <c r="T50" s="1198"/>
      <c r="U50" s="1198"/>
      <c r="V50" s="1198"/>
      <c r="W50" s="1198"/>
      <c r="X50" s="1198"/>
      <c r="Y50" s="1198"/>
      <c r="Z50" s="1198"/>
      <c r="AA50" s="1198"/>
      <c r="AB50" s="1198"/>
      <c r="AC50" s="1198"/>
      <c r="AD50" s="1198"/>
      <c r="AE50" s="1167"/>
      <c r="AF50" s="1453"/>
      <c r="AG50" s="1468"/>
      <c r="AH50" s="1198"/>
      <c r="AI50" s="1198"/>
      <c r="AJ50" s="1198"/>
      <c r="AK50" s="1198"/>
      <c r="AL50" s="1198"/>
      <c r="AM50" s="1198"/>
      <c r="AN50" s="1481"/>
      <c r="AO50" s="1468"/>
      <c r="AP50" s="1198"/>
      <c r="AQ50" s="1198"/>
      <c r="AR50" s="1198"/>
      <c r="AS50" s="1198"/>
      <c r="AT50" s="1198"/>
      <c r="AU50" s="1198"/>
      <c r="AV50" s="1167"/>
      <c r="AW50" s="1167"/>
      <c r="AX50" s="1167"/>
      <c r="AY50" s="1167"/>
      <c r="AZ50" s="1167"/>
      <c r="BA50" s="1167"/>
      <c r="BB50" s="1189"/>
      <c r="BC50" s="1189"/>
      <c r="BD50" s="1189"/>
      <c r="BE50" s="1150"/>
      <c r="BF50" s="1189"/>
      <c r="BG50" s="1189"/>
      <c r="BH50" s="1189"/>
      <c r="BI50" s="1189"/>
      <c r="BJ50" s="1189"/>
      <c r="BK50" s="1189"/>
      <c r="BL50" s="1189"/>
      <c r="BM50" s="1150"/>
      <c r="BN50" s="1262"/>
      <c r="BO50" s="1262"/>
      <c r="BP50" s="1262"/>
      <c r="BQ50" s="1262"/>
      <c r="BR50" s="1262"/>
      <c r="BS50" s="1262"/>
      <c r="BT50" s="1262"/>
      <c r="BU50" s="1262"/>
      <c r="BV50" s="1262"/>
      <c r="BW50" s="1262"/>
      <c r="BX50" s="1262"/>
      <c r="BY50" s="1262"/>
      <c r="BZ50" s="1189"/>
      <c r="CA50" s="1189"/>
      <c r="CB50" s="1482"/>
      <c r="CC50" s="1446"/>
      <c r="CD50" s="1167"/>
      <c r="CE50" s="1167"/>
      <c r="CF50" s="1167"/>
      <c r="CG50" s="1167"/>
      <c r="CH50" s="1167"/>
      <c r="CI50" s="1167"/>
      <c r="CJ50" s="1453"/>
      <c r="CK50" s="1167"/>
      <c r="CL50" s="1198"/>
      <c r="CM50" s="1198"/>
      <c r="CN50" s="1198"/>
      <c r="CO50" s="1198"/>
      <c r="CP50" s="1198"/>
      <c r="CQ50" s="1198"/>
      <c r="CR50" s="1198"/>
      <c r="CS50" s="1198"/>
      <c r="CT50" s="1198"/>
      <c r="CU50" s="1198"/>
      <c r="CV50" s="1198"/>
      <c r="CW50" s="1198"/>
      <c r="CX50" s="1167"/>
      <c r="CY50" s="1167"/>
      <c r="CZ50" s="1167"/>
      <c r="DA50" s="1262"/>
      <c r="DB50" s="1198"/>
      <c r="DC50" s="1198"/>
      <c r="DD50" s="1198"/>
      <c r="DE50" s="1198"/>
      <c r="DF50" s="1167"/>
      <c r="DG50" s="1453"/>
      <c r="DH50" s="1466"/>
      <c r="DI50" s="1198"/>
      <c r="DJ50" s="1198"/>
      <c r="DK50" s="1198"/>
      <c r="DL50" s="1198"/>
      <c r="DM50" s="1198"/>
      <c r="DN50" s="1198"/>
      <c r="DO50" s="1198"/>
      <c r="DP50" s="1198"/>
      <c r="DQ50" s="1198"/>
      <c r="DR50" s="1198"/>
      <c r="DS50" s="1198"/>
      <c r="DT50" s="1198"/>
      <c r="DU50" s="1167"/>
      <c r="DV50" s="1453"/>
      <c r="DW50" s="1466"/>
      <c r="DX50" s="1198"/>
      <c r="DY50" s="1198"/>
      <c r="DZ50" s="1198"/>
      <c r="EA50" s="1198"/>
      <c r="EB50" s="1198"/>
      <c r="EC50" s="1167"/>
      <c r="ED50" s="1453"/>
      <c r="EE50" s="1466"/>
      <c r="EF50" s="1262"/>
      <c r="EG50" s="1262"/>
      <c r="EH50" s="1262"/>
      <c r="EI50" s="1262"/>
      <c r="EJ50" s="1262"/>
      <c r="EK50" s="1262"/>
      <c r="EL50" s="1262"/>
      <c r="EM50" s="1262"/>
      <c r="EN50" s="1198"/>
      <c r="EO50" s="1198"/>
      <c r="EP50" s="1198"/>
      <c r="EQ50" s="1198"/>
      <c r="ER50" s="1475"/>
      <c r="ES50" s="1465"/>
      <c r="ET50" s="1375"/>
      <c r="EU50" s="1167"/>
      <c r="EV50" s="1167"/>
      <c r="EW50" s="1167"/>
      <c r="EX50" s="1167"/>
      <c r="EY50" s="1167"/>
      <c r="EZ50" s="1167"/>
      <c r="FA50" s="1167"/>
      <c r="FB50" s="1466"/>
      <c r="FC50" s="1167"/>
      <c r="FD50" s="1167"/>
      <c r="FE50" s="1167"/>
      <c r="FF50" s="1167"/>
      <c r="FG50" s="1167"/>
      <c r="FH50" s="1167"/>
      <c r="FI50" s="1167"/>
      <c r="FJ50" s="1453"/>
      <c r="FK50" s="1466"/>
      <c r="FL50" s="1167"/>
      <c r="FM50" s="1167"/>
      <c r="FN50" s="1167"/>
      <c r="FO50" s="1167"/>
      <c r="FP50" s="1453"/>
      <c r="FQ50" s="1466"/>
      <c r="FR50" s="1167"/>
      <c r="FS50" s="1167"/>
      <c r="FT50" s="1167"/>
      <c r="FU50" s="1167"/>
      <c r="FV50" s="1167"/>
      <c r="FW50" s="1167"/>
      <c r="FX50" s="1173"/>
      <c r="FY50" s="1167"/>
      <c r="FZ50" s="1175"/>
      <c r="GA50" s="1467"/>
      <c r="GB50" s="1217"/>
      <c r="GC50" s="1217"/>
      <c r="GD50" s="1217"/>
      <c r="GE50" s="1217"/>
      <c r="GF50" s="1218"/>
      <c r="GG50" s="1189"/>
      <c r="GH50" s="1167"/>
      <c r="GI50" s="1167"/>
      <c r="GJ50" s="1167"/>
      <c r="GK50" s="1167"/>
      <c r="GL50" s="1167"/>
      <c r="GM50" s="1167"/>
      <c r="GN50" s="1167"/>
      <c r="GO50" s="1167"/>
      <c r="GP50" s="1167"/>
      <c r="GQ50" s="1167"/>
      <c r="GR50" s="1167"/>
      <c r="GS50" s="1167"/>
      <c r="GT50" s="1167"/>
      <c r="GU50" s="1167"/>
      <c r="GV50" s="1167"/>
      <c r="GW50" s="1167"/>
      <c r="GX50" s="1167"/>
      <c r="GY50" s="1167"/>
      <c r="GZ50" s="1167"/>
      <c r="HA50" s="1167"/>
      <c r="HB50" s="1167"/>
      <c r="HC50" s="1167"/>
      <c r="HD50" s="1167"/>
      <c r="HE50" s="1167"/>
      <c r="HF50" s="1167"/>
      <c r="HG50" s="1167"/>
      <c r="HH50" s="1167"/>
      <c r="HI50" s="1167"/>
      <c r="HJ50" s="1167"/>
      <c r="HK50" s="1167"/>
      <c r="HL50" s="1167"/>
      <c r="HM50" s="1167"/>
      <c r="HN50" s="1167"/>
      <c r="HO50" s="1167"/>
      <c r="HP50" s="1167"/>
      <c r="HQ50" s="1167"/>
    </row>
    <row r="51" customFormat="false" ht="11.25" hidden="false" customHeight="true" outlineLevel="0" collapsed="false">
      <c r="A51" s="1453"/>
      <c r="B51" s="1167"/>
      <c r="C51" s="1167"/>
      <c r="D51" s="1167"/>
      <c r="E51" s="1453"/>
      <c r="F51" s="1167"/>
      <c r="G51" s="1167"/>
      <c r="H51" s="1167"/>
      <c r="I51" s="1453"/>
      <c r="J51" s="1167"/>
      <c r="K51" s="1167"/>
      <c r="L51" s="1167"/>
      <c r="M51" s="1167"/>
      <c r="N51" s="1167"/>
      <c r="O51" s="1167"/>
      <c r="P51" s="1167"/>
      <c r="Q51" s="1453"/>
      <c r="R51" s="1167"/>
      <c r="S51" s="1198"/>
      <c r="T51" s="1198"/>
      <c r="U51" s="1198"/>
      <c r="V51" s="1198"/>
      <c r="W51" s="1198"/>
      <c r="X51" s="1198"/>
      <c r="Y51" s="1198"/>
      <c r="Z51" s="1198"/>
      <c r="AA51" s="1198"/>
      <c r="AB51" s="1198"/>
      <c r="AC51" s="1198"/>
      <c r="AD51" s="1198"/>
      <c r="AE51" s="1167"/>
      <c r="AF51" s="1453"/>
      <c r="AG51" s="1468"/>
      <c r="AH51" s="1198"/>
      <c r="AI51" s="1198"/>
      <c r="AJ51" s="1198"/>
      <c r="AK51" s="1198"/>
      <c r="AL51" s="1198"/>
      <c r="AM51" s="1198"/>
      <c r="AN51" s="1481"/>
      <c r="AO51" s="1468"/>
      <c r="AP51" s="1198"/>
      <c r="AQ51" s="1198"/>
      <c r="AR51" s="1198"/>
      <c r="AS51" s="1198"/>
      <c r="AT51" s="1198"/>
      <c r="AU51" s="1198"/>
      <c r="AV51" s="1167"/>
      <c r="AW51" s="1167"/>
      <c r="AX51" s="1167"/>
      <c r="AY51" s="1167"/>
      <c r="AZ51" s="1167"/>
      <c r="BA51" s="1167"/>
      <c r="BB51" s="1189"/>
      <c r="BC51" s="1189"/>
      <c r="BD51" s="1189"/>
      <c r="BE51" s="1150"/>
      <c r="BF51" s="1189"/>
      <c r="BG51" s="1189"/>
      <c r="BH51" s="1189"/>
      <c r="BI51" s="1189"/>
      <c r="BJ51" s="1189"/>
      <c r="BK51" s="1189"/>
      <c r="BL51" s="1189"/>
      <c r="BM51" s="1150"/>
      <c r="BN51" s="1262"/>
      <c r="BO51" s="1262"/>
      <c r="BP51" s="1262"/>
      <c r="BQ51" s="1262"/>
      <c r="BR51" s="1262"/>
      <c r="BS51" s="1262"/>
      <c r="BT51" s="1262"/>
      <c r="BU51" s="1262"/>
      <c r="BV51" s="1262"/>
      <c r="BW51" s="1262"/>
      <c r="BX51" s="1262"/>
      <c r="BY51" s="1262"/>
      <c r="BZ51" s="1189"/>
      <c r="CA51" s="1189"/>
      <c r="CB51" s="1482"/>
      <c r="CC51" s="1446"/>
      <c r="CD51" s="1167"/>
      <c r="CE51" s="1167"/>
      <c r="CF51" s="1167"/>
      <c r="CG51" s="1167"/>
      <c r="CH51" s="1167"/>
      <c r="CI51" s="1167"/>
      <c r="CJ51" s="1453"/>
      <c r="CK51" s="1167"/>
      <c r="CL51" s="1198"/>
      <c r="CM51" s="1198"/>
      <c r="CN51" s="1198"/>
      <c r="CO51" s="1198"/>
      <c r="CP51" s="1198"/>
      <c r="CQ51" s="1198"/>
      <c r="CR51" s="1198"/>
      <c r="CS51" s="1198"/>
      <c r="CT51" s="1198"/>
      <c r="CU51" s="1198"/>
      <c r="CV51" s="1198"/>
      <c r="CW51" s="1198"/>
      <c r="CX51" s="1167"/>
      <c r="CY51" s="1167"/>
      <c r="CZ51" s="1167"/>
      <c r="DA51" s="1262"/>
      <c r="DB51" s="1198"/>
      <c r="DC51" s="1198"/>
      <c r="DD51" s="1198"/>
      <c r="DE51" s="1198"/>
      <c r="DF51" s="1167"/>
      <c r="DG51" s="1453"/>
      <c r="DH51" s="1466"/>
      <c r="DI51" s="1198"/>
      <c r="DJ51" s="1198"/>
      <c r="DK51" s="1198"/>
      <c r="DL51" s="1198"/>
      <c r="DM51" s="1198"/>
      <c r="DN51" s="1198"/>
      <c r="DO51" s="1198"/>
      <c r="DP51" s="1198"/>
      <c r="DQ51" s="1198"/>
      <c r="DR51" s="1198"/>
      <c r="DS51" s="1198"/>
      <c r="DT51" s="1198"/>
      <c r="DU51" s="1167"/>
      <c r="DV51" s="1453"/>
      <c r="DW51" s="1466"/>
      <c r="DX51" s="1198"/>
      <c r="DY51" s="1198"/>
      <c r="DZ51" s="1198"/>
      <c r="EA51" s="1198"/>
      <c r="EB51" s="1198"/>
      <c r="EC51" s="1167"/>
      <c r="ED51" s="1453"/>
      <c r="EE51" s="1466"/>
      <c r="EF51" s="1262"/>
      <c r="EG51" s="1262"/>
      <c r="EH51" s="1262"/>
      <c r="EI51" s="1262"/>
      <c r="EJ51" s="1262"/>
      <c r="EK51" s="1262"/>
      <c r="EL51" s="1262"/>
      <c r="EM51" s="1262"/>
      <c r="EN51" s="1198"/>
      <c r="EO51" s="1198"/>
      <c r="EP51" s="1198"/>
      <c r="EQ51" s="1198"/>
      <c r="ER51" s="1475"/>
      <c r="ES51" s="1465"/>
      <c r="ET51" s="1375"/>
      <c r="EU51" s="1167"/>
      <c r="EV51" s="1167"/>
      <c r="EW51" s="1167"/>
      <c r="EX51" s="1167"/>
      <c r="EY51" s="1167"/>
      <c r="EZ51" s="1167"/>
      <c r="FA51" s="1167"/>
      <c r="FB51" s="1466"/>
      <c r="FC51" s="1167"/>
      <c r="FD51" s="1167"/>
      <c r="FE51" s="1167"/>
      <c r="FF51" s="1167"/>
      <c r="FG51" s="1167"/>
      <c r="FH51" s="1167"/>
      <c r="FI51" s="1167"/>
      <c r="FJ51" s="1453"/>
      <c r="FK51" s="1466"/>
      <c r="FL51" s="1167"/>
      <c r="FM51" s="1167"/>
      <c r="FN51" s="1167"/>
      <c r="FO51" s="1167"/>
      <c r="FP51" s="1453"/>
      <c r="FQ51" s="1466"/>
      <c r="FR51" s="1167"/>
      <c r="FS51" s="1167"/>
      <c r="FT51" s="1167"/>
      <c r="FU51" s="1167"/>
      <c r="FV51" s="1167"/>
      <c r="FW51" s="1167"/>
      <c r="FX51" s="1173"/>
      <c r="FY51" s="1167"/>
      <c r="FZ51" s="1175"/>
      <c r="GA51" s="1467"/>
      <c r="GB51" s="1217"/>
      <c r="GC51" s="1217"/>
      <c r="GD51" s="1217"/>
      <c r="GE51" s="1217"/>
      <c r="GF51" s="1218"/>
      <c r="GG51" s="1189"/>
      <c r="GH51" s="1167"/>
      <c r="GI51" s="1167"/>
      <c r="GJ51" s="1167"/>
      <c r="GK51" s="1167"/>
      <c r="GL51" s="1167"/>
      <c r="GM51" s="1167"/>
      <c r="GN51" s="1167"/>
      <c r="GO51" s="1167"/>
      <c r="GP51" s="1167"/>
      <c r="GQ51" s="1167"/>
      <c r="GR51" s="1167"/>
      <c r="GS51" s="1167"/>
      <c r="GT51" s="1167"/>
      <c r="GU51" s="1167"/>
      <c r="GV51" s="1167"/>
      <c r="GW51" s="1167"/>
      <c r="GX51" s="1167"/>
      <c r="GY51" s="1167"/>
      <c r="GZ51" s="1167"/>
      <c r="HA51" s="1167"/>
      <c r="HB51" s="1167"/>
      <c r="HC51" s="1167"/>
      <c r="HD51" s="1167"/>
      <c r="HE51" s="1167"/>
      <c r="HF51" s="1167"/>
      <c r="HG51" s="1167"/>
      <c r="HH51" s="1167"/>
      <c r="HI51" s="1167"/>
      <c r="HJ51" s="1167"/>
      <c r="HK51" s="1167"/>
      <c r="HL51" s="1167"/>
      <c r="HM51" s="1167"/>
      <c r="HN51" s="1167"/>
      <c r="HO51" s="1167"/>
      <c r="HP51" s="1167"/>
      <c r="HQ51" s="1167"/>
    </row>
    <row r="52" customFormat="false" ht="11.25" hidden="false" customHeight="true" outlineLevel="0" collapsed="false">
      <c r="A52" s="1453"/>
      <c r="B52" s="1167"/>
      <c r="C52" s="1167"/>
      <c r="D52" s="1167"/>
      <c r="E52" s="1453"/>
      <c r="F52" s="1167"/>
      <c r="G52" s="1167"/>
      <c r="H52" s="1167"/>
      <c r="I52" s="1453"/>
      <c r="J52" s="1167"/>
      <c r="K52" s="1167"/>
      <c r="L52" s="1167"/>
      <c r="M52" s="1167"/>
      <c r="N52" s="1167"/>
      <c r="O52" s="1167"/>
      <c r="P52" s="1167"/>
      <c r="Q52" s="1453"/>
      <c r="R52" s="1167"/>
      <c r="S52" s="1198"/>
      <c r="T52" s="1198"/>
      <c r="U52" s="1198"/>
      <c r="V52" s="1198"/>
      <c r="W52" s="1198"/>
      <c r="X52" s="1198"/>
      <c r="Y52" s="1198"/>
      <c r="Z52" s="1198"/>
      <c r="AA52" s="1198"/>
      <c r="AB52" s="1198"/>
      <c r="AC52" s="1198"/>
      <c r="AD52" s="1198"/>
      <c r="AE52" s="1167"/>
      <c r="AF52" s="1453"/>
      <c r="AG52" s="1468"/>
      <c r="AH52" s="1198"/>
      <c r="AI52" s="1198"/>
      <c r="AJ52" s="1198"/>
      <c r="AK52" s="1198"/>
      <c r="AL52" s="1198"/>
      <c r="AM52" s="1198"/>
      <c r="AN52" s="1481"/>
      <c r="AO52" s="1468"/>
      <c r="AP52" s="1198"/>
      <c r="AQ52" s="1198"/>
      <c r="AR52" s="1198"/>
      <c r="AS52" s="1198"/>
      <c r="AT52" s="1198"/>
      <c r="AU52" s="1198"/>
      <c r="AV52" s="1167"/>
      <c r="AW52" s="1167"/>
      <c r="AX52" s="1167"/>
      <c r="AY52" s="1167"/>
      <c r="AZ52" s="1167"/>
      <c r="BA52" s="1167"/>
      <c r="BB52" s="1189"/>
      <c r="BC52" s="1189"/>
      <c r="BD52" s="1189"/>
      <c r="BE52" s="1150"/>
      <c r="BF52" s="1189"/>
      <c r="BG52" s="1189"/>
      <c r="BH52" s="1189"/>
      <c r="BI52" s="1189"/>
      <c r="BJ52" s="1189"/>
      <c r="BK52" s="1189"/>
      <c r="BL52" s="1189"/>
      <c r="BM52" s="1150"/>
      <c r="BN52" s="1262"/>
      <c r="BO52" s="1262"/>
      <c r="BP52" s="1262"/>
      <c r="BQ52" s="1262"/>
      <c r="BR52" s="1262"/>
      <c r="BS52" s="1262"/>
      <c r="BT52" s="1262"/>
      <c r="BU52" s="1262"/>
      <c r="BV52" s="1262"/>
      <c r="BW52" s="1262"/>
      <c r="BX52" s="1262"/>
      <c r="BY52" s="1262"/>
      <c r="BZ52" s="1189"/>
      <c r="CA52" s="1189"/>
      <c r="CB52" s="1482"/>
      <c r="CC52" s="1446"/>
      <c r="CD52" s="1167"/>
      <c r="CE52" s="1167"/>
      <c r="CF52" s="1167"/>
      <c r="CG52" s="1167"/>
      <c r="CH52" s="1167"/>
      <c r="CI52" s="1167"/>
      <c r="CJ52" s="1453"/>
      <c r="CK52" s="1167"/>
      <c r="CL52" s="1198"/>
      <c r="CM52" s="1198"/>
      <c r="CN52" s="1198"/>
      <c r="CO52" s="1198"/>
      <c r="CP52" s="1198"/>
      <c r="CQ52" s="1198"/>
      <c r="CR52" s="1198"/>
      <c r="CS52" s="1198"/>
      <c r="CT52" s="1198"/>
      <c r="CU52" s="1198"/>
      <c r="CV52" s="1198"/>
      <c r="CW52" s="1198"/>
      <c r="CX52" s="1167"/>
      <c r="CY52" s="1167"/>
      <c r="CZ52" s="1167"/>
      <c r="DA52" s="1262"/>
      <c r="DB52" s="1198"/>
      <c r="DC52" s="1198"/>
      <c r="DD52" s="1198"/>
      <c r="DE52" s="1198"/>
      <c r="DF52" s="1167"/>
      <c r="DG52" s="1453"/>
      <c r="DH52" s="1466"/>
      <c r="DI52" s="1198"/>
      <c r="DJ52" s="1198"/>
      <c r="DK52" s="1198"/>
      <c r="DL52" s="1198"/>
      <c r="DM52" s="1198"/>
      <c r="DN52" s="1198"/>
      <c r="DO52" s="1198"/>
      <c r="DP52" s="1198"/>
      <c r="DQ52" s="1198"/>
      <c r="DR52" s="1198"/>
      <c r="DS52" s="1198"/>
      <c r="DT52" s="1198"/>
      <c r="DU52" s="1167"/>
      <c r="DV52" s="1453"/>
      <c r="DW52" s="1466"/>
      <c r="DX52" s="1198"/>
      <c r="DY52" s="1198"/>
      <c r="DZ52" s="1198"/>
      <c r="EA52" s="1198"/>
      <c r="EB52" s="1198"/>
      <c r="EC52" s="1167"/>
      <c r="ED52" s="1453"/>
      <c r="EE52" s="1466"/>
      <c r="EF52" s="1262"/>
      <c r="EG52" s="1262"/>
      <c r="EH52" s="1262"/>
      <c r="EI52" s="1262"/>
      <c r="EJ52" s="1262"/>
      <c r="EK52" s="1262"/>
      <c r="EL52" s="1262"/>
      <c r="EM52" s="1262"/>
      <c r="EN52" s="1198"/>
      <c r="EO52" s="1198"/>
      <c r="EP52" s="1198"/>
      <c r="EQ52" s="1198"/>
      <c r="ER52" s="1475"/>
      <c r="ES52" s="1465"/>
      <c r="ET52" s="1375"/>
      <c r="EU52" s="1167"/>
      <c r="EV52" s="1167"/>
      <c r="EW52" s="1167"/>
      <c r="EX52" s="1167"/>
      <c r="EY52" s="1167"/>
      <c r="EZ52" s="1167"/>
      <c r="FA52" s="1167"/>
      <c r="FB52" s="1466"/>
      <c r="FC52" s="1167"/>
      <c r="FD52" s="1167"/>
      <c r="FE52" s="1167"/>
      <c r="FF52" s="1167"/>
      <c r="FG52" s="1167"/>
      <c r="FH52" s="1167"/>
      <c r="FI52" s="1167"/>
      <c r="FJ52" s="1453"/>
      <c r="FK52" s="1466"/>
      <c r="FL52" s="1167"/>
      <c r="FM52" s="1167"/>
      <c r="FN52" s="1167"/>
      <c r="FO52" s="1167"/>
      <c r="FP52" s="1453"/>
      <c r="FQ52" s="1466"/>
      <c r="FR52" s="1167"/>
      <c r="FS52" s="1167"/>
      <c r="FT52" s="1167"/>
      <c r="FU52" s="1167"/>
      <c r="FV52" s="1167"/>
      <c r="FW52" s="1167"/>
      <c r="FX52" s="1173"/>
      <c r="FY52" s="1167"/>
      <c r="FZ52" s="1175"/>
      <c r="GA52" s="1467"/>
      <c r="GB52" s="1217"/>
      <c r="GC52" s="1217"/>
      <c r="GD52" s="1217"/>
      <c r="GE52" s="1217"/>
      <c r="GF52" s="1218"/>
      <c r="GG52" s="1189"/>
      <c r="GH52" s="1167"/>
      <c r="GI52" s="1167"/>
      <c r="GJ52" s="1167"/>
      <c r="GK52" s="1167"/>
      <c r="GL52" s="1167"/>
      <c r="GM52" s="1167"/>
      <c r="GN52" s="1167"/>
      <c r="GO52" s="1167"/>
      <c r="GP52" s="1167"/>
      <c r="GQ52" s="1167"/>
      <c r="GR52" s="1167"/>
      <c r="GS52" s="1167"/>
      <c r="GT52" s="1167"/>
      <c r="GU52" s="1167"/>
      <c r="GV52" s="1167"/>
      <c r="GW52" s="1167"/>
      <c r="GX52" s="1167"/>
      <c r="GY52" s="1167"/>
      <c r="GZ52" s="1167"/>
      <c r="HA52" s="1167"/>
      <c r="HB52" s="1167"/>
      <c r="HC52" s="1167"/>
      <c r="HD52" s="1167"/>
      <c r="HE52" s="1167"/>
      <c r="HF52" s="1167"/>
      <c r="HG52" s="1167"/>
      <c r="HH52" s="1167"/>
      <c r="HI52" s="1167"/>
      <c r="HJ52" s="1167"/>
      <c r="HK52" s="1167"/>
      <c r="HL52" s="1167"/>
      <c r="HM52" s="1167"/>
      <c r="HN52" s="1167"/>
      <c r="HO52" s="1167"/>
      <c r="HP52" s="1167"/>
      <c r="HQ52" s="1167"/>
    </row>
    <row r="53" customFormat="false" ht="11.25" hidden="false" customHeight="true" outlineLevel="0" collapsed="false">
      <c r="A53" s="1453"/>
      <c r="B53" s="1167"/>
      <c r="C53" s="1167"/>
      <c r="D53" s="1167"/>
      <c r="E53" s="1453"/>
      <c r="F53" s="1167"/>
      <c r="G53" s="1167"/>
      <c r="H53" s="1167"/>
      <c r="I53" s="1453"/>
      <c r="J53" s="1167"/>
      <c r="K53" s="1167"/>
      <c r="L53" s="1167"/>
      <c r="M53" s="1167"/>
      <c r="N53" s="1167"/>
      <c r="O53" s="1167"/>
      <c r="P53" s="1167"/>
      <c r="Q53" s="1453"/>
      <c r="R53" s="1167"/>
      <c r="S53" s="1198"/>
      <c r="T53" s="1198"/>
      <c r="U53" s="1198"/>
      <c r="V53" s="1198"/>
      <c r="W53" s="1198"/>
      <c r="X53" s="1198"/>
      <c r="Y53" s="1198"/>
      <c r="Z53" s="1198"/>
      <c r="AA53" s="1198"/>
      <c r="AB53" s="1198"/>
      <c r="AC53" s="1198"/>
      <c r="AD53" s="1198"/>
      <c r="AE53" s="1167"/>
      <c r="AF53" s="1453"/>
      <c r="AG53" s="1468"/>
      <c r="AH53" s="1198"/>
      <c r="AI53" s="1198"/>
      <c r="AJ53" s="1198"/>
      <c r="AK53" s="1198"/>
      <c r="AL53" s="1198"/>
      <c r="AM53" s="1198"/>
      <c r="AN53" s="1481"/>
      <c r="AO53" s="1468"/>
      <c r="AP53" s="1198"/>
      <c r="AQ53" s="1198"/>
      <c r="AR53" s="1198"/>
      <c r="AS53" s="1198"/>
      <c r="AT53" s="1198"/>
      <c r="AU53" s="1198"/>
      <c r="AV53" s="1167"/>
      <c r="AW53" s="1167"/>
      <c r="AX53" s="1167"/>
      <c r="AY53" s="1167"/>
      <c r="AZ53" s="1167"/>
      <c r="BA53" s="1167"/>
      <c r="BB53" s="1189"/>
      <c r="BC53" s="1189"/>
      <c r="BD53" s="1189"/>
      <c r="BE53" s="1150"/>
      <c r="BF53" s="1189"/>
      <c r="BG53" s="1189"/>
      <c r="BH53" s="1189"/>
      <c r="BI53" s="1189"/>
      <c r="BJ53" s="1189"/>
      <c r="BK53" s="1189"/>
      <c r="BL53" s="1189"/>
      <c r="BM53" s="1150"/>
      <c r="BN53" s="1262"/>
      <c r="BO53" s="1262"/>
      <c r="BP53" s="1262"/>
      <c r="BQ53" s="1262"/>
      <c r="BR53" s="1262"/>
      <c r="BS53" s="1262"/>
      <c r="BT53" s="1262"/>
      <c r="BU53" s="1262"/>
      <c r="BV53" s="1262"/>
      <c r="BW53" s="1262"/>
      <c r="BX53" s="1262"/>
      <c r="BY53" s="1262"/>
      <c r="BZ53" s="1189"/>
      <c r="CA53" s="1189"/>
      <c r="CB53" s="1482"/>
      <c r="CC53" s="1446"/>
      <c r="CD53" s="1167"/>
      <c r="CE53" s="1167"/>
      <c r="CF53" s="1167"/>
      <c r="CG53" s="1167"/>
      <c r="CH53" s="1167"/>
      <c r="CI53" s="1167"/>
      <c r="CJ53" s="1453"/>
      <c r="CK53" s="1167"/>
      <c r="CL53" s="1198"/>
      <c r="CM53" s="1198"/>
      <c r="CN53" s="1198"/>
      <c r="CO53" s="1198"/>
      <c r="CP53" s="1198"/>
      <c r="CQ53" s="1198"/>
      <c r="CR53" s="1198"/>
      <c r="CS53" s="1198"/>
      <c r="CT53" s="1198"/>
      <c r="CU53" s="1198"/>
      <c r="CV53" s="1198"/>
      <c r="CW53" s="1198"/>
      <c r="CX53" s="1167"/>
      <c r="CY53" s="1167"/>
      <c r="CZ53" s="1167"/>
      <c r="DA53" s="1262"/>
      <c r="DB53" s="1198"/>
      <c r="DC53" s="1198"/>
      <c r="DD53" s="1198"/>
      <c r="DE53" s="1198"/>
      <c r="DF53" s="1167"/>
      <c r="DG53" s="1453"/>
      <c r="DH53" s="1466"/>
      <c r="DI53" s="1198"/>
      <c r="DJ53" s="1198"/>
      <c r="DK53" s="1198"/>
      <c r="DL53" s="1198"/>
      <c r="DM53" s="1198"/>
      <c r="DN53" s="1198"/>
      <c r="DO53" s="1198"/>
      <c r="DP53" s="1198"/>
      <c r="DQ53" s="1198"/>
      <c r="DR53" s="1198"/>
      <c r="DS53" s="1198"/>
      <c r="DT53" s="1198"/>
      <c r="DU53" s="1167"/>
      <c r="DV53" s="1453"/>
      <c r="DW53" s="1466"/>
      <c r="DX53" s="1198"/>
      <c r="DY53" s="1198"/>
      <c r="DZ53" s="1198"/>
      <c r="EA53" s="1198"/>
      <c r="EB53" s="1198"/>
      <c r="EC53" s="1167"/>
      <c r="ED53" s="1453"/>
      <c r="EE53" s="1466"/>
      <c r="EF53" s="1262"/>
      <c r="EG53" s="1262"/>
      <c r="EH53" s="1262"/>
      <c r="EI53" s="1262"/>
      <c r="EJ53" s="1262"/>
      <c r="EK53" s="1262"/>
      <c r="EL53" s="1262"/>
      <c r="EM53" s="1262"/>
      <c r="EN53" s="1198"/>
      <c r="EO53" s="1198"/>
      <c r="EP53" s="1198"/>
      <c r="EQ53" s="1198"/>
      <c r="ER53" s="1475"/>
      <c r="ES53" s="1465"/>
      <c r="ET53" s="1375"/>
      <c r="EU53" s="1167"/>
      <c r="EV53" s="1167"/>
      <c r="EW53" s="1167"/>
      <c r="EX53" s="1167"/>
      <c r="EY53" s="1167"/>
      <c r="EZ53" s="1167"/>
      <c r="FA53" s="1167"/>
      <c r="FB53" s="1466"/>
      <c r="FC53" s="1167"/>
      <c r="FD53" s="1167"/>
      <c r="FE53" s="1167"/>
      <c r="FF53" s="1167"/>
      <c r="FG53" s="1167"/>
      <c r="FH53" s="1167"/>
      <c r="FI53" s="1167"/>
      <c r="FJ53" s="1453"/>
      <c r="FK53" s="1466"/>
      <c r="FL53" s="1167"/>
      <c r="FM53" s="1167"/>
      <c r="FN53" s="1167"/>
      <c r="FO53" s="1167"/>
      <c r="FP53" s="1453"/>
      <c r="FQ53" s="1466"/>
      <c r="FR53" s="1167"/>
      <c r="FS53" s="1167"/>
      <c r="FT53" s="1167"/>
      <c r="FU53" s="1167"/>
      <c r="FV53" s="1167"/>
      <c r="FW53" s="1167"/>
      <c r="FX53" s="1173"/>
      <c r="FY53" s="1167"/>
      <c r="FZ53" s="1175"/>
      <c r="GA53" s="1467"/>
      <c r="GB53" s="1217"/>
      <c r="GC53" s="1217"/>
      <c r="GD53" s="1217"/>
      <c r="GE53" s="1217"/>
      <c r="GF53" s="1218"/>
      <c r="GG53" s="1189"/>
      <c r="GH53" s="1167"/>
      <c r="GI53" s="1167"/>
      <c r="GJ53" s="1167"/>
      <c r="GK53" s="1167"/>
      <c r="GL53" s="1167"/>
      <c r="GM53" s="1167"/>
      <c r="GN53" s="1167"/>
      <c r="GO53" s="1167"/>
      <c r="GP53" s="1167"/>
      <c r="GQ53" s="1167"/>
      <c r="GR53" s="1167"/>
      <c r="GS53" s="1167"/>
      <c r="GT53" s="1167"/>
      <c r="GU53" s="1167"/>
      <c r="GV53" s="1167"/>
      <c r="GW53" s="1167"/>
      <c r="GX53" s="1167"/>
      <c r="GY53" s="1167"/>
      <c r="GZ53" s="1167"/>
      <c r="HA53" s="1167"/>
      <c r="HB53" s="1167"/>
      <c r="HC53" s="1167"/>
      <c r="HD53" s="1167"/>
      <c r="HE53" s="1167"/>
      <c r="HF53" s="1167"/>
      <c r="HG53" s="1167"/>
      <c r="HH53" s="1167"/>
      <c r="HI53" s="1167"/>
      <c r="HJ53" s="1167"/>
      <c r="HK53" s="1167"/>
      <c r="HL53" s="1167"/>
      <c r="HM53" s="1167"/>
      <c r="HN53" s="1167"/>
      <c r="HO53" s="1167"/>
      <c r="HP53" s="1167"/>
      <c r="HQ53" s="1167"/>
    </row>
    <row r="54" customFormat="false" ht="11.25" hidden="false" customHeight="true" outlineLevel="0" collapsed="false">
      <c r="A54" s="1453"/>
      <c r="B54" s="1167"/>
      <c r="C54" s="1167"/>
      <c r="D54" s="1167"/>
      <c r="E54" s="1453"/>
      <c r="F54" s="1167"/>
      <c r="G54" s="1167"/>
      <c r="H54" s="1167"/>
      <c r="I54" s="1453"/>
      <c r="J54" s="1167"/>
      <c r="K54" s="1167"/>
      <c r="L54" s="1167"/>
      <c r="M54" s="1167"/>
      <c r="N54" s="1167"/>
      <c r="O54" s="1167"/>
      <c r="P54" s="1167"/>
      <c r="Q54" s="1453"/>
      <c r="R54" s="1167"/>
      <c r="S54" s="1198"/>
      <c r="T54" s="1198"/>
      <c r="U54" s="1198"/>
      <c r="V54" s="1198"/>
      <c r="W54" s="1198"/>
      <c r="X54" s="1198"/>
      <c r="Y54" s="1198"/>
      <c r="Z54" s="1198"/>
      <c r="AA54" s="1198"/>
      <c r="AB54" s="1198"/>
      <c r="AC54" s="1198"/>
      <c r="AD54" s="1198"/>
      <c r="AE54" s="1167"/>
      <c r="AF54" s="1453"/>
      <c r="AG54" s="1468"/>
      <c r="AH54" s="1198"/>
      <c r="AI54" s="1198"/>
      <c r="AJ54" s="1198"/>
      <c r="AK54" s="1198"/>
      <c r="AL54" s="1198"/>
      <c r="AM54" s="1198"/>
      <c r="AN54" s="1481"/>
      <c r="AO54" s="1468"/>
      <c r="AP54" s="1198"/>
      <c r="AQ54" s="1198"/>
      <c r="AR54" s="1198"/>
      <c r="AS54" s="1198"/>
      <c r="AT54" s="1198"/>
      <c r="AU54" s="1198"/>
      <c r="AV54" s="1167"/>
      <c r="AW54" s="1167"/>
      <c r="AX54" s="1167"/>
      <c r="AY54" s="1167"/>
      <c r="AZ54" s="1167"/>
      <c r="BA54" s="1167"/>
      <c r="BB54" s="1189"/>
      <c r="BC54" s="1189"/>
      <c r="BD54" s="1189"/>
      <c r="BE54" s="1150"/>
      <c r="BF54" s="1189"/>
      <c r="BG54" s="1189"/>
      <c r="BH54" s="1189"/>
      <c r="BI54" s="1189"/>
      <c r="BJ54" s="1189"/>
      <c r="BK54" s="1189"/>
      <c r="BL54" s="1189"/>
      <c r="BM54" s="1150"/>
      <c r="BN54" s="1262"/>
      <c r="BO54" s="1262"/>
      <c r="BP54" s="1262"/>
      <c r="BQ54" s="1262"/>
      <c r="BR54" s="1262"/>
      <c r="BS54" s="1262"/>
      <c r="BT54" s="1262"/>
      <c r="BU54" s="1262"/>
      <c r="BV54" s="1262"/>
      <c r="BW54" s="1262"/>
      <c r="BX54" s="1262"/>
      <c r="BY54" s="1262"/>
      <c r="BZ54" s="1189"/>
      <c r="CA54" s="1189"/>
      <c r="CB54" s="1482"/>
      <c r="CC54" s="1446"/>
      <c r="CD54" s="1167"/>
      <c r="CE54" s="1167"/>
      <c r="CF54" s="1167"/>
      <c r="CG54" s="1167"/>
      <c r="CH54" s="1167"/>
      <c r="CI54" s="1167"/>
      <c r="CJ54" s="1453"/>
      <c r="CK54" s="1167"/>
      <c r="CL54" s="1198"/>
      <c r="CM54" s="1198"/>
      <c r="CN54" s="1198"/>
      <c r="CO54" s="1198"/>
      <c r="CP54" s="1198"/>
      <c r="CQ54" s="1198"/>
      <c r="CR54" s="1198"/>
      <c r="CS54" s="1198"/>
      <c r="CT54" s="1198"/>
      <c r="CU54" s="1198"/>
      <c r="CV54" s="1198"/>
      <c r="CW54" s="1198"/>
      <c r="CX54" s="1167"/>
      <c r="CY54" s="1167"/>
      <c r="CZ54" s="1167"/>
      <c r="DA54" s="1262"/>
      <c r="DB54" s="1198"/>
      <c r="DC54" s="1198"/>
      <c r="DD54" s="1198"/>
      <c r="DE54" s="1198"/>
      <c r="DF54" s="1167"/>
      <c r="DG54" s="1453"/>
      <c r="DH54" s="1466"/>
      <c r="DI54" s="1198"/>
      <c r="DJ54" s="1198"/>
      <c r="DK54" s="1198"/>
      <c r="DL54" s="1198"/>
      <c r="DM54" s="1198"/>
      <c r="DN54" s="1198"/>
      <c r="DO54" s="1198"/>
      <c r="DP54" s="1198"/>
      <c r="DQ54" s="1198"/>
      <c r="DR54" s="1198"/>
      <c r="DS54" s="1198"/>
      <c r="DT54" s="1198"/>
      <c r="DU54" s="1167"/>
      <c r="DV54" s="1453"/>
      <c r="DW54" s="1466"/>
      <c r="DX54" s="1198"/>
      <c r="DY54" s="1198"/>
      <c r="DZ54" s="1198"/>
      <c r="EA54" s="1198"/>
      <c r="EB54" s="1198"/>
      <c r="EC54" s="1167"/>
      <c r="ED54" s="1453"/>
      <c r="EE54" s="1466"/>
      <c r="EF54" s="1262"/>
      <c r="EG54" s="1262"/>
      <c r="EH54" s="1262"/>
      <c r="EI54" s="1262"/>
      <c r="EJ54" s="1262"/>
      <c r="EK54" s="1262"/>
      <c r="EL54" s="1262"/>
      <c r="EM54" s="1262"/>
      <c r="EN54" s="1198"/>
      <c r="EO54" s="1198"/>
      <c r="EP54" s="1198"/>
      <c r="EQ54" s="1198"/>
      <c r="ER54" s="1475"/>
      <c r="ES54" s="1465"/>
      <c r="ET54" s="1375"/>
      <c r="EU54" s="1167"/>
      <c r="EV54" s="1167"/>
      <c r="EW54" s="1167"/>
      <c r="EX54" s="1167"/>
      <c r="EY54" s="1167"/>
      <c r="EZ54" s="1167"/>
      <c r="FA54" s="1167"/>
      <c r="FB54" s="1466"/>
      <c r="FC54" s="1167"/>
      <c r="FD54" s="1167"/>
      <c r="FE54" s="1167"/>
      <c r="FF54" s="1167"/>
      <c r="FG54" s="1167"/>
      <c r="FH54" s="1167"/>
      <c r="FI54" s="1167"/>
      <c r="FJ54" s="1453"/>
      <c r="FK54" s="1466"/>
      <c r="FL54" s="1167"/>
      <c r="FM54" s="1167"/>
      <c r="FN54" s="1167"/>
      <c r="FO54" s="1167"/>
      <c r="FP54" s="1453"/>
      <c r="FQ54" s="1466"/>
      <c r="FR54" s="1167"/>
      <c r="FS54" s="1167"/>
      <c r="FT54" s="1167"/>
      <c r="FU54" s="1167"/>
      <c r="FV54" s="1167"/>
      <c r="FW54" s="1167"/>
      <c r="FX54" s="1173"/>
      <c r="FY54" s="1167"/>
      <c r="FZ54" s="1175"/>
      <c r="GA54" s="1467"/>
      <c r="GB54" s="1217"/>
      <c r="GC54" s="1217"/>
      <c r="GD54" s="1217"/>
      <c r="GE54" s="1217"/>
      <c r="GF54" s="1218"/>
      <c r="GG54" s="1189"/>
      <c r="GH54" s="1167"/>
      <c r="GI54" s="1167"/>
      <c r="GJ54" s="1167"/>
      <c r="GK54" s="1167"/>
      <c r="GL54" s="1167"/>
      <c r="GM54" s="1167"/>
      <c r="GN54" s="1167"/>
      <c r="GO54" s="1167"/>
      <c r="GP54" s="1167"/>
      <c r="GQ54" s="1167"/>
      <c r="GR54" s="1167"/>
      <c r="GS54" s="1167"/>
      <c r="GT54" s="1167"/>
      <c r="GU54" s="1167"/>
      <c r="GV54" s="1167"/>
      <c r="GW54" s="1167"/>
      <c r="GX54" s="1167"/>
      <c r="GY54" s="1167"/>
      <c r="GZ54" s="1167"/>
      <c r="HA54" s="1167"/>
      <c r="HB54" s="1167"/>
      <c r="HC54" s="1167"/>
      <c r="HD54" s="1167"/>
      <c r="HE54" s="1167"/>
      <c r="HF54" s="1167"/>
      <c r="HG54" s="1167"/>
      <c r="HH54" s="1167"/>
      <c r="HI54" s="1167"/>
      <c r="HJ54" s="1167"/>
      <c r="HK54" s="1167"/>
      <c r="HL54" s="1167"/>
      <c r="HM54" s="1167"/>
      <c r="HN54" s="1167"/>
      <c r="HO54" s="1167"/>
      <c r="HP54" s="1167"/>
      <c r="HQ54" s="1167"/>
    </row>
    <row r="55" customFormat="false" ht="11.25" hidden="false" customHeight="true" outlineLevel="0" collapsed="false">
      <c r="A55" s="1453"/>
      <c r="B55" s="1167"/>
      <c r="C55" s="1167"/>
      <c r="D55" s="1167"/>
      <c r="E55" s="1453"/>
      <c r="F55" s="1167"/>
      <c r="G55" s="1167"/>
      <c r="H55" s="1167"/>
      <c r="I55" s="1453"/>
      <c r="J55" s="1167"/>
      <c r="K55" s="1167"/>
      <c r="L55" s="1167"/>
      <c r="M55" s="1167"/>
      <c r="N55" s="1167"/>
      <c r="O55" s="1167"/>
      <c r="P55" s="1167"/>
      <c r="Q55" s="1453"/>
      <c r="R55" s="1167"/>
      <c r="S55" s="1198"/>
      <c r="T55" s="1198"/>
      <c r="U55" s="1198"/>
      <c r="V55" s="1198"/>
      <c r="W55" s="1198"/>
      <c r="X55" s="1198"/>
      <c r="Y55" s="1198"/>
      <c r="Z55" s="1198"/>
      <c r="AA55" s="1198"/>
      <c r="AB55" s="1198"/>
      <c r="AC55" s="1198"/>
      <c r="AD55" s="1198"/>
      <c r="AE55" s="1167"/>
      <c r="AF55" s="1453"/>
      <c r="AG55" s="1468"/>
      <c r="AH55" s="1198"/>
      <c r="AI55" s="1198"/>
      <c r="AJ55" s="1198"/>
      <c r="AK55" s="1198"/>
      <c r="AL55" s="1198"/>
      <c r="AM55" s="1198"/>
      <c r="AN55" s="1481"/>
      <c r="AO55" s="1468"/>
      <c r="AP55" s="1198"/>
      <c r="AQ55" s="1198"/>
      <c r="AR55" s="1198"/>
      <c r="AS55" s="1198"/>
      <c r="AT55" s="1198"/>
      <c r="AU55" s="1198"/>
      <c r="AV55" s="1167"/>
      <c r="AW55" s="1167"/>
      <c r="AX55" s="1167"/>
      <c r="AY55" s="1167"/>
      <c r="AZ55" s="1167"/>
      <c r="BA55" s="1167"/>
      <c r="BB55" s="1189"/>
      <c r="BC55" s="1189"/>
      <c r="BD55" s="1189"/>
      <c r="BE55" s="1150"/>
      <c r="BF55" s="1189"/>
      <c r="BG55" s="1189"/>
      <c r="BH55" s="1189"/>
      <c r="BI55" s="1189"/>
      <c r="BJ55" s="1189"/>
      <c r="BK55" s="1189"/>
      <c r="BL55" s="1189"/>
      <c r="BM55" s="1150"/>
      <c r="BN55" s="1262"/>
      <c r="BO55" s="1262"/>
      <c r="BP55" s="1262"/>
      <c r="BQ55" s="1262"/>
      <c r="BR55" s="1262"/>
      <c r="BS55" s="1262"/>
      <c r="BT55" s="1262"/>
      <c r="BU55" s="1262"/>
      <c r="BV55" s="1262"/>
      <c r="BW55" s="1262"/>
      <c r="BX55" s="1262"/>
      <c r="BY55" s="1262"/>
      <c r="BZ55" s="1189"/>
      <c r="CA55" s="1189"/>
      <c r="CB55" s="1482"/>
      <c r="CC55" s="1446"/>
      <c r="CD55" s="1167"/>
      <c r="CE55" s="1167"/>
      <c r="CF55" s="1167"/>
      <c r="CG55" s="1167"/>
      <c r="CH55" s="1167"/>
      <c r="CI55" s="1167"/>
      <c r="CJ55" s="1453"/>
      <c r="CK55" s="1167"/>
      <c r="CL55" s="1198"/>
      <c r="CM55" s="1198"/>
      <c r="CN55" s="1198"/>
      <c r="CO55" s="1198"/>
      <c r="CP55" s="1198"/>
      <c r="CQ55" s="1198"/>
      <c r="CR55" s="1198"/>
      <c r="CS55" s="1198"/>
      <c r="CT55" s="1198"/>
      <c r="CU55" s="1198"/>
      <c r="CV55" s="1198"/>
      <c r="CW55" s="1198"/>
      <c r="CX55" s="1167"/>
      <c r="CY55" s="1167"/>
      <c r="CZ55" s="1167"/>
      <c r="DA55" s="1262"/>
      <c r="DB55" s="1198"/>
      <c r="DC55" s="1198"/>
      <c r="DD55" s="1198"/>
      <c r="DE55" s="1198"/>
      <c r="DF55" s="1167"/>
      <c r="DG55" s="1453"/>
      <c r="DH55" s="1466"/>
      <c r="DI55" s="1198"/>
      <c r="DJ55" s="1198"/>
      <c r="DK55" s="1198"/>
      <c r="DL55" s="1198"/>
      <c r="DM55" s="1198"/>
      <c r="DN55" s="1198"/>
      <c r="DO55" s="1198"/>
      <c r="DP55" s="1198"/>
      <c r="DQ55" s="1198"/>
      <c r="DR55" s="1198"/>
      <c r="DS55" s="1198"/>
      <c r="DT55" s="1198"/>
      <c r="DU55" s="1167"/>
      <c r="DV55" s="1453"/>
      <c r="DW55" s="1466"/>
      <c r="DX55" s="1198"/>
      <c r="DY55" s="1198"/>
      <c r="DZ55" s="1198"/>
      <c r="EA55" s="1198"/>
      <c r="EB55" s="1198"/>
      <c r="EC55" s="1167"/>
      <c r="ED55" s="1453"/>
      <c r="EE55" s="1466"/>
      <c r="EF55" s="1262"/>
      <c r="EG55" s="1262"/>
      <c r="EH55" s="1262"/>
      <c r="EI55" s="1262"/>
      <c r="EJ55" s="1262"/>
      <c r="EK55" s="1262"/>
      <c r="EL55" s="1262"/>
      <c r="EM55" s="1262"/>
      <c r="EN55" s="1198"/>
      <c r="EO55" s="1198"/>
      <c r="EP55" s="1198"/>
      <c r="EQ55" s="1198"/>
      <c r="ER55" s="1475"/>
      <c r="ES55" s="1465"/>
      <c r="ET55" s="1375"/>
      <c r="EU55" s="1167"/>
      <c r="EV55" s="1167"/>
      <c r="EW55" s="1167"/>
      <c r="EX55" s="1167"/>
      <c r="EY55" s="1167"/>
      <c r="EZ55" s="1167"/>
      <c r="FA55" s="1167"/>
      <c r="FB55" s="1466"/>
      <c r="FC55" s="1167"/>
      <c r="FD55" s="1167"/>
      <c r="FE55" s="1167"/>
      <c r="FF55" s="1167"/>
      <c r="FG55" s="1167"/>
      <c r="FH55" s="1167"/>
      <c r="FI55" s="1167"/>
      <c r="FJ55" s="1453"/>
      <c r="FK55" s="1466"/>
      <c r="FL55" s="1167"/>
      <c r="FM55" s="1167"/>
      <c r="FN55" s="1167"/>
      <c r="FO55" s="1167"/>
      <c r="FP55" s="1453"/>
      <c r="FQ55" s="1466"/>
      <c r="FR55" s="1167"/>
      <c r="FS55" s="1167"/>
      <c r="FT55" s="1167"/>
      <c r="FU55" s="1167"/>
      <c r="FV55" s="1167"/>
      <c r="FW55" s="1167"/>
      <c r="FX55" s="1173"/>
      <c r="FY55" s="1167"/>
      <c r="FZ55" s="1175"/>
      <c r="GA55" s="1484"/>
      <c r="GB55" s="1277"/>
      <c r="GC55" s="1277"/>
      <c r="GD55" s="1277"/>
      <c r="GE55" s="1277"/>
      <c r="GF55" s="1278"/>
      <c r="GG55" s="1167"/>
      <c r="GH55" s="1167"/>
      <c r="GI55" s="1167"/>
      <c r="GJ55" s="1167"/>
      <c r="GK55" s="1167"/>
      <c r="GL55" s="1167"/>
      <c r="GM55" s="1167"/>
      <c r="GN55" s="1167"/>
      <c r="GO55" s="1167"/>
      <c r="GP55" s="1167"/>
      <c r="GQ55" s="1167"/>
      <c r="GR55" s="1167"/>
      <c r="GS55" s="1167"/>
      <c r="GT55" s="1167"/>
      <c r="GU55" s="1167"/>
      <c r="GV55" s="1167"/>
      <c r="GW55" s="1167"/>
      <c r="GX55" s="1167"/>
      <c r="GY55" s="1167"/>
      <c r="GZ55" s="1167"/>
      <c r="HA55" s="1167"/>
      <c r="HB55" s="1167"/>
      <c r="HC55" s="1167"/>
      <c r="HD55" s="1167"/>
      <c r="HE55" s="1167"/>
      <c r="HF55" s="1167"/>
      <c r="HG55" s="1167"/>
      <c r="HH55" s="1167"/>
      <c r="HI55" s="1167"/>
      <c r="HJ55" s="1167"/>
      <c r="HK55" s="1167"/>
      <c r="HL55" s="1167"/>
      <c r="HM55" s="1167"/>
      <c r="HN55" s="1167"/>
      <c r="HO55" s="1167"/>
      <c r="HP55" s="1167"/>
      <c r="HQ55" s="1167"/>
    </row>
    <row r="56" customFormat="false" ht="11.25" hidden="false" customHeight="true" outlineLevel="0" collapsed="false">
      <c r="A56" s="1453"/>
      <c r="B56" s="1167"/>
      <c r="C56" s="1167"/>
      <c r="D56" s="1167"/>
      <c r="E56" s="1453"/>
      <c r="F56" s="1167"/>
      <c r="G56" s="1167"/>
      <c r="H56" s="1167"/>
      <c r="I56" s="1453"/>
      <c r="J56" s="1167"/>
      <c r="K56" s="1167"/>
      <c r="L56" s="1167"/>
      <c r="M56" s="1167"/>
      <c r="N56" s="1167"/>
      <c r="O56" s="1167"/>
      <c r="P56" s="1167"/>
      <c r="Q56" s="1453"/>
      <c r="R56" s="1167"/>
      <c r="S56" s="1198"/>
      <c r="T56" s="1198"/>
      <c r="U56" s="1198"/>
      <c r="V56" s="1198"/>
      <c r="W56" s="1198"/>
      <c r="X56" s="1198"/>
      <c r="Y56" s="1198"/>
      <c r="Z56" s="1198"/>
      <c r="AA56" s="1198"/>
      <c r="AB56" s="1198"/>
      <c r="AC56" s="1198"/>
      <c r="AD56" s="1198"/>
      <c r="AE56" s="1167"/>
      <c r="AF56" s="1453"/>
      <c r="AG56" s="1468"/>
      <c r="AH56" s="1198"/>
      <c r="AI56" s="1198"/>
      <c r="AJ56" s="1198"/>
      <c r="AK56" s="1198"/>
      <c r="AL56" s="1198"/>
      <c r="AM56" s="1198"/>
      <c r="AN56" s="1481"/>
      <c r="AO56" s="1468"/>
      <c r="AP56" s="1198"/>
      <c r="AQ56" s="1198"/>
      <c r="AR56" s="1198"/>
      <c r="AS56" s="1198"/>
      <c r="AT56" s="1198"/>
      <c r="AU56" s="1198"/>
      <c r="AV56" s="1167"/>
      <c r="AW56" s="1167"/>
      <c r="AX56" s="1167"/>
      <c r="AY56" s="1167"/>
      <c r="AZ56" s="1167"/>
      <c r="BA56" s="1167"/>
      <c r="BB56" s="1189"/>
      <c r="BC56" s="1189"/>
      <c r="BD56" s="1189"/>
      <c r="BE56" s="1150"/>
      <c r="BF56" s="1189"/>
      <c r="BG56" s="1189"/>
      <c r="BH56" s="1189"/>
      <c r="BI56" s="1189"/>
      <c r="BJ56" s="1189"/>
      <c r="BK56" s="1189"/>
      <c r="BL56" s="1189"/>
      <c r="BM56" s="1150"/>
      <c r="BN56" s="1262"/>
      <c r="BO56" s="1262"/>
      <c r="BP56" s="1262"/>
      <c r="BQ56" s="1262"/>
      <c r="BR56" s="1262"/>
      <c r="BS56" s="1262"/>
      <c r="BT56" s="1262"/>
      <c r="BU56" s="1262"/>
      <c r="BV56" s="1262"/>
      <c r="BW56" s="1262"/>
      <c r="BX56" s="1262"/>
      <c r="BY56" s="1262"/>
      <c r="BZ56" s="1189"/>
      <c r="CA56" s="1189"/>
      <c r="CB56" s="1482"/>
      <c r="CC56" s="1446"/>
      <c r="CD56" s="1167"/>
      <c r="CE56" s="1167"/>
      <c r="CF56" s="1167"/>
      <c r="CG56" s="1167"/>
      <c r="CH56" s="1167"/>
      <c r="CI56" s="1167"/>
      <c r="CJ56" s="1453"/>
      <c r="CK56" s="1167"/>
      <c r="CL56" s="1198"/>
      <c r="CM56" s="1198"/>
      <c r="CN56" s="1198"/>
      <c r="CO56" s="1198"/>
      <c r="CP56" s="1198"/>
      <c r="CQ56" s="1198"/>
      <c r="CR56" s="1198"/>
      <c r="CS56" s="1198"/>
      <c r="CT56" s="1198"/>
      <c r="CU56" s="1198"/>
      <c r="CV56" s="1198"/>
      <c r="CW56" s="1198"/>
      <c r="CX56" s="1167"/>
      <c r="CY56" s="1167"/>
      <c r="CZ56" s="1167"/>
      <c r="DA56" s="1262"/>
      <c r="DB56" s="1198"/>
      <c r="DC56" s="1198"/>
      <c r="DD56" s="1198"/>
      <c r="DE56" s="1198"/>
      <c r="DF56" s="1167"/>
      <c r="DG56" s="1453"/>
      <c r="DH56" s="1466"/>
      <c r="DI56" s="1198"/>
      <c r="DJ56" s="1198"/>
      <c r="DK56" s="1198"/>
      <c r="DL56" s="1198"/>
      <c r="DM56" s="1198"/>
      <c r="DN56" s="1198"/>
      <c r="DO56" s="1198"/>
      <c r="DP56" s="1198"/>
      <c r="DQ56" s="1198"/>
      <c r="DR56" s="1198"/>
      <c r="DS56" s="1198"/>
      <c r="DT56" s="1198"/>
      <c r="DU56" s="1167"/>
      <c r="DV56" s="1453"/>
      <c r="DW56" s="1466"/>
      <c r="DX56" s="1198"/>
      <c r="DY56" s="1198"/>
      <c r="DZ56" s="1198"/>
      <c r="EA56" s="1198"/>
      <c r="EB56" s="1198"/>
      <c r="EC56" s="1167"/>
      <c r="ED56" s="1453"/>
      <c r="EE56" s="1466"/>
      <c r="EF56" s="1262"/>
      <c r="EG56" s="1262"/>
      <c r="EH56" s="1262"/>
      <c r="EI56" s="1262"/>
      <c r="EJ56" s="1262"/>
      <c r="EK56" s="1262"/>
      <c r="EL56" s="1262"/>
      <c r="EM56" s="1262"/>
      <c r="EN56" s="1198"/>
      <c r="EO56" s="1198"/>
      <c r="EP56" s="1198"/>
      <c r="EQ56" s="1198"/>
      <c r="ER56" s="1475"/>
      <c r="ES56" s="1465"/>
      <c r="ET56" s="1375"/>
      <c r="EU56" s="1167"/>
      <c r="EV56" s="1167"/>
      <c r="EW56" s="1167"/>
      <c r="EX56" s="1167"/>
      <c r="EY56" s="1167"/>
      <c r="EZ56" s="1167"/>
      <c r="FA56" s="1167"/>
      <c r="FB56" s="1466"/>
      <c r="FC56" s="1167"/>
      <c r="FD56" s="1167"/>
      <c r="FE56" s="1167"/>
      <c r="FF56" s="1167"/>
      <c r="FG56" s="1167"/>
      <c r="FH56" s="1167"/>
      <c r="FI56" s="1167"/>
      <c r="FJ56" s="1453"/>
      <c r="FK56" s="1466"/>
      <c r="FL56" s="1167"/>
      <c r="FM56" s="1167"/>
      <c r="FN56" s="1167"/>
      <c r="FO56" s="1167"/>
      <c r="FP56" s="1453"/>
      <c r="FQ56" s="1466"/>
      <c r="FR56" s="1167"/>
      <c r="FS56" s="1167"/>
      <c r="FT56" s="1167"/>
      <c r="FU56" s="1167"/>
      <c r="FV56" s="1167"/>
      <c r="FW56" s="1167"/>
      <c r="FX56" s="1485"/>
      <c r="FY56" s="1167"/>
      <c r="FZ56" s="1174"/>
      <c r="GA56" s="1466"/>
      <c r="GB56" s="1167"/>
      <c r="GC56" s="1167"/>
      <c r="GD56" s="1167"/>
      <c r="GE56" s="1167"/>
      <c r="GF56" s="1167"/>
      <c r="GG56" s="1167"/>
      <c r="GH56" s="1167"/>
      <c r="GI56" s="1167"/>
      <c r="GJ56" s="1167"/>
      <c r="GK56" s="1167"/>
      <c r="GL56" s="1167"/>
      <c r="GM56" s="1167"/>
      <c r="GN56" s="1167"/>
      <c r="GO56" s="1167"/>
      <c r="GP56" s="1167"/>
      <c r="GQ56" s="1167"/>
      <c r="GR56" s="1167"/>
      <c r="GS56" s="1167"/>
      <c r="GT56" s="1167"/>
      <c r="GU56" s="1167"/>
      <c r="GV56" s="1167"/>
      <c r="GW56" s="1167"/>
      <c r="GX56" s="1167"/>
      <c r="GY56" s="1167"/>
      <c r="GZ56" s="1167"/>
      <c r="HA56" s="1167"/>
      <c r="HB56" s="1167"/>
      <c r="HC56" s="1167"/>
      <c r="HD56" s="1167"/>
      <c r="HE56" s="1167"/>
      <c r="HF56" s="1167"/>
      <c r="HG56" s="1167"/>
      <c r="HH56" s="1167"/>
      <c r="HI56" s="1167"/>
      <c r="HJ56" s="1167"/>
      <c r="HK56" s="1167"/>
      <c r="HL56" s="1167"/>
      <c r="HM56" s="1167"/>
      <c r="HN56" s="1167"/>
      <c r="HO56" s="1167"/>
      <c r="HP56" s="1167"/>
      <c r="HQ56" s="1167"/>
    </row>
    <row r="57" customFormat="false" ht="11.25" hidden="false" customHeight="true" outlineLevel="0" collapsed="false">
      <c r="A57" s="1453"/>
      <c r="B57" s="1167"/>
      <c r="C57" s="1167"/>
      <c r="D57" s="1167"/>
      <c r="E57" s="1453"/>
      <c r="F57" s="1167"/>
      <c r="G57" s="1167"/>
      <c r="H57" s="1167"/>
      <c r="I57" s="1453"/>
      <c r="J57" s="1167"/>
      <c r="K57" s="1167"/>
      <c r="L57" s="1167"/>
      <c r="M57" s="1167"/>
      <c r="N57" s="1167"/>
      <c r="O57" s="1167"/>
      <c r="P57" s="1167"/>
      <c r="Q57" s="1453"/>
      <c r="R57" s="1167"/>
      <c r="S57" s="1198"/>
      <c r="T57" s="1198"/>
      <c r="U57" s="1198"/>
      <c r="V57" s="1198"/>
      <c r="W57" s="1198"/>
      <c r="X57" s="1198"/>
      <c r="Y57" s="1198"/>
      <c r="Z57" s="1198"/>
      <c r="AA57" s="1198"/>
      <c r="AB57" s="1198"/>
      <c r="AC57" s="1198"/>
      <c r="AD57" s="1198"/>
      <c r="AE57" s="1167"/>
      <c r="AF57" s="1453"/>
      <c r="AG57" s="1468"/>
      <c r="AH57" s="1198"/>
      <c r="AI57" s="1198"/>
      <c r="AJ57" s="1198"/>
      <c r="AK57" s="1198"/>
      <c r="AL57" s="1198"/>
      <c r="AM57" s="1198"/>
      <c r="AN57" s="1481"/>
      <c r="AO57" s="1468"/>
      <c r="AP57" s="1198"/>
      <c r="AQ57" s="1198"/>
      <c r="AR57" s="1198"/>
      <c r="AS57" s="1198"/>
      <c r="AT57" s="1198"/>
      <c r="AU57" s="1198"/>
      <c r="AV57" s="1167"/>
      <c r="AW57" s="1167"/>
      <c r="AX57" s="1167"/>
      <c r="AY57" s="1167"/>
      <c r="AZ57" s="1167"/>
      <c r="BA57" s="1167"/>
      <c r="BB57" s="1189"/>
      <c r="BC57" s="1189"/>
      <c r="BD57" s="1189"/>
      <c r="BE57" s="1150"/>
      <c r="BF57" s="1189"/>
      <c r="BG57" s="1189"/>
      <c r="BH57" s="1189"/>
      <c r="BI57" s="1189"/>
      <c r="BJ57" s="1189"/>
      <c r="BK57" s="1189"/>
      <c r="BL57" s="1189"/>
      <c r="BM57" s="1150"/>
      <c r="BN57" s="1262"/>
      <c r="BO57" s="1262"/>
      <c r="BP57" s="1262"/>
      <c r="BQ57" s="1262"/>
      <c r="BR57" s="1262"/>
      <c r="BS57" s="1262"/>
      <c r="BT57" s="1262"/>
      <c r="BU57" s="1262"/>
      <c r="BV57" s="1262"/>
      <c r="BW57" s="1262"/>
      <c r="BX57" s="1262"/>
      <c r="BY57" s="1262"/>
      <c r="BZ57" s="1189"/>
      <c r="CA57" s="1189"/>
      <c r="CB57" s="1482"/>
      <c r="CC57" s="1446"/>
      <c r="CD57" s="1167"/>
      <c r="CE57" s="1167"/>
      <c r="CF57" s="1167"/>
      <c r="CG57" s="1167"/>
      <c r="CH57" s="1167"/>
      <c r="CI57" s="1167"/>
      <c r="CJ57" s="1453"/>
      <c r="CK57" s="1167"/>
      <c r="CL57" s="1198"/>
      <c r="CM57" s="1198"/>
      <c r="CN57" s="1198"/>
      <c r="CO57" s="1198"/>
      <c r="CP57" s="1198"/>
      <c r="CQ57" s="1198"/>
      <c r="CR57" s="1198"/>
      <c r="CS57" s="1198"/>
      <c r="CT57" s="1198"/>
      <c r="CU57" s="1198"/>
      <c r="CV57" s="1198"/>
      <c r="CW57" s="1198"/>
      <c r="CX57" s="1167"/>
      <c r="CY57" s="1167"/>
      <c r="CZ57" s="1167"/>
      <c r="DA57" s="1262"/>
      <c r="DB57" s="1198"/>
      <c r="DC57" s="1198"/>
      <c r="DD57" s="1198"/>
      <c r="DE57" s="1198"/>
      <c r="DF57" s="1167"/>
      <c r="DG57" s="1453"/>
      <c r="DH57" s="1466"/>
      <c r="DI57" s="1198"/>
      <c r="DJ57" s="1198"/>
      <c r="DK57" s="1198"/>
      <c r="DL57" s="1198"/>
      <c r="DM57" s="1198"/>
      <c r="DN57" s="1198"/>
      <c r="DO57" s="1198"/>
      <c r="DP57" s="1198"/>
      <c r="DQ57" s="1198"/>
      <c r="DR57" s="1198"/>
      <c r="DS57" s="1198"/>
      <c r="DT57" s="1198"/>
      <c r="DU57" s="1167"/>
      <c r="DV57" s="1453"/>
      <c r="DW57" s="1466"/>
      <c r="DX57" s="1198"/>
      <c r="DY57" s="1198"/>
      <c r="DZ57" s="1198"/>
      <c r="EA57" s="1198"/>
      <c r="EB57" s="1198"/>
      <c r="EC57" s="1167"/>
      <c r="ED57" s="1453"/>
      <c r="EE57" s="1466"/>
      <c r="EF57" s="1262"/>
      <c r="EG57" s="1262"/>
      <c r="EH57" s="1262"/>
      <c r="EI57" s="1262"/>
      <c r="EJ57" s="1262"/>
      <c r="EK57" s="1262"/>
      <c r="EL57" s="1262"/>
      <c r="EM57" s="1262"/>
      <c r="EN57" s="1198"/>
      <c r="EO57" s="1198"/>
      <c r="EP57" s="1198"/>
      <c r="EQ57" s="1198"/>
      <c r="ER57" s="1475"/>
      <c r="ES57" s="1465"/>
      <c r="ET57" s="1375"/>
      <c r="EU57" s="1167"/>
      <c r="EV57" s="1167"/>
      <c r="EW57" s="1167"/>
      <c r="EX57" s="1167"/>
      <c r="EY57" s="1167"/>
      <c r="EZ57" s="1167"/>
      <c r="FA57" s="1167"/>
      <c r="FB57" s="1466"/>
      <c r="FC57" s="1167"/>
      <c r="FD57" s="1167"/>
      <c r="FE57" s="1167"/>
      <c r="FF57" s="1167"/>
      <c r="FG57" s="1167"/>
      <c r="FH57" s="1167"/>
      <c r="FI57" s="1167"/>
      <c r="FJ57" s="1453"/>
      <c r="FK57" s="1466"/>
      <c r="FL57" s="1167"/>
      <c r="FM57" s="1167"/>
      <c r="FN57" s="1167"/>
      <c r="FO57" s="1167"/>
      <c r="FP57" s="1453"/>
      <c r="FQ57" s="1466"/>
      <c r="FR57" s="1167"/>
      <c r="FS57" s="1167"/>
      <c r="FT57" s="1167"/>
      <c r="FU57" s="1167"/>
      <c r="FV57" s="1167"/>
      <c r="FW57" s="1167"/>
      <c r="FX57" s="1485"/>
      <c r="FY57" s="1167"/>
      <c r="FZ57" s="1174"/>
      <c r="GA57" s="1466"/>
      <c r="GB57" s="1167"/>
      <c r="GC57" s="1167"/>
      <c r="GD57" s="1167"/>
      <c r="GE57" s="1167"/>
      <c r="GF57" s="1167"/>
      <c r="GG57" s="1167"/>
      <c r="GH57" s="1167"/>
      <c r="GI57" s="1167"/>
      <c r="GJ57" s="1167"/>
      <c r="GK57" s="1167"/>
      <c r="GL57" s="1167"/>
      <c r="GM57" s="1167"/>
      <c r="GN57" s="1167"/>
      <c r="GO57" s="1167"/>
      <c r="GP57" s="1167"/>
      <c r="GQ57" s="1167"/>
      <c r="GR57" s="1167"/>
      <c r="GS57" s="1167"/>
      <c r="GT57" s="1167"/>
      <c r="GU57" s="1167"/>
      <c r="GV57" s="1167"/>
      <c r="GW57" s="1167"/>
      <c r="GX57" s="1167"/>
      <c r="GY57" s="1167"/>
      <c r="GZ57" s="1167"/>
      <c r="HA57" s="1167"/>
      <c r="HB57" s="1167"/>
      <c r="HC57" s="1167"/>
      <c r="HD57" s="1167"/>
      <c r="HE57" s="1167"/>
      <c r="HF57" s="1167"/>
      <c r="HG57" s="1167"/>
      <c r="HH57" s="1167"/>
      <c r="HI57" s="1167"/>
      <c r="HJ57" s="1167"/>
      <c r="HK57" s="1167"/>
      <c r="HL57" s="1167"/>
      <c r="HM57" s="1167"/>
      <c r="HN57" s="1167"/>
      <c r="HO57" s="1167"/>
      <c r="HP57" s="1167"/>
      <c r="HQ57" s="1167"/>
    </row>
    <row r="58" customFormat="false" ht="11.25" hidden="false" customHeight="true" outlineLevel="0" collapsed="false">
      <c r="A58" s="1453"/>
      <c r="B58" s="1167"/>
      <c r="C58" s="1167"/>
      <c r="D58" s="1167"/>
      <c r="E58" s="1453"/>
      <c r="F58" s="1167"/>
      <c r="G58" s="1167"/>
      <c r="H58" s="1167"/>
      <c r="I58" s="1453"/>
      <c r="J58" s="1167"/>
      <c r="K58" s="1167"/>
      <c r="L58" s="1167"/>
      <c r="M58" s="1167"/>
      <c r="N58" s="1167"/>
      <c r="O58" s="1167"/>
      <c r="P58" s="1167"/>
      <c r="Q58" s="1453"/>
      <c r="R58" s="1167"/>
      <c r="S58" s="1198"/>
      <c r="T58" s="1198"/>
      <c r="U58" s="1198"/>
      <c r="V58" s="1198"/>
      <c r="W58" s="1198"/>
      <c r="X58" s="1198"/>
      <c r="Y58" s="1198"/>
      <c r="Z58" s="1198"/>
      <c r="AA58" s="1198"/>
      <c r="AB58" s="1198"/>
      <c r="AC58" s="1198"/>
      <c r="AD58" s="1198"/>
      <c r="AE58" s="1167"/>
      <c r="AF58" s="1453"/>
      <c r="AG58" s="1468"/>
      <c r="AH58" s="1198"/>
      <c r="AI58" s="1198"/>
      <c r="AJ58" s="1198"/>
      <c r="AK58" s="1198"/>
      <c r="AL58" s="1198"/>
      <c r="AM58" s="1198"/>
      <c r="AN58" s="1481"/>
      <c r="AO58" s="1468"/>
      <c r="AP58" s="1198"/>
      <c r="AQ58" s="1198"/>
      <c r="AR58" s="1198"/>
      <c r="AS58" s="1198"/>
      <c r="AT58" s="1198"/>
      <c r="AU58" s="1198"/>
      <c r="AV58" s="1167"/>
      <c r="AW58" s="1167"/>
      <c r="AX58" s="1167"/>
      <c r="AY58" s="1167"/>
      <c r="AZ58" s="1167"/>
      <c r="BA58" s="1167"/>
      <c r="BB58" s="1189"/>
      <c r="BC58" s="1189"/>
      <c r="BD58" s="1189"/>
      <c r="BE58" s="1150"/>
      <c r="BF58" s="1189"/>
      <c r="BG58" s="1189"/>
      <c r="BH58" s="1189"/>
      <c r="BI58" s="1189"/>
      <c r="BJ58" s="1189"/>
      <c r="BK58" s="1189"/>
      <c r="BL58" s="1189"/>
      <c r="BM58" s="1150"/>
      <c r="BN58" s="1262"/>
      <c r="BO58" s="1262"/>
      <c r="BP58" s="1262"/>
      <c r="BQ58" s="1262"/>
      <c r="BR58" s="1262"/>
      <c r="BS58" s="1262"/>
      <c r="BT58" s="1262"/>
      <c r="BU58" s="1262"/>
      <c r="BV58" s="1262"/>
      <c r="BW58" s="1262"/>
      <c r="BX58" s="1262"/>
      <c r="BY58" s="1262"/>
      <c r="BZ58" s="1189"/>
      <c r="CA58" s="1189"/>
      <c r="CB58" s="1482"/>
      <c r="CC58" s="1446"/>
      <c r="CD58" s="1167"/>
      <c r="CE58" s="1167"/>
      <c r="CF58" s="1167"/>
      <c r="CG58" s="1167"/>
      <c r="CH58" s="1167"/>
      <c r="CI58" s="1167"/>
      <c r="CJ58" s="1453"/>
      <c r="CK58" s="1167"/>
      <c r="CL58" s="1198"/>
      <c r="CM58" s="1198"/>
      <c r="CN58" s="1198"/>
      <c r="CO58" s="1198"/>
      <c r="CP58" s="1198"/>
      <c r="CQ58" s="1198"/>
      <c r="CR58" s="1198"/>
      <c r="CS58" s="1198"/>
      <c r="CT58" s="1198"/>
      <c r="CU58" s="1198"/>
      <c r="CV58" s="1198"/>
      <c r="CW58" s="1198"/>
      <c r="CX58" s="1167"/>
      <c r="CY58" s="1167"/>
      <c r="CZ58" s="1167"/>
      <c r="DA58" s="1262"/>
      <c r="DB58" s="1198"/>
      <c r="DC58" s="1198"/>
      <c r="DD58" s="1198"/>
      <c r="DE58" s="1198"/>
      <c r="DF58" s="1167"/>
      <c r="DG58" s="1453"/>
      <c r="DH58" s="1466"/>
      <c r="DI58" s="1198"/>
      <c r="DJ58" s="1198"/>
      <c r="DK58" s="1198"/>
      <c r="DL58" s="1198"/>
      <c r="DM58" s="1198"/>
      <c r="DN58" s="1198"/>
      <c r="DO58" s="1198"/>
      <c r="DP58" s="1198"/>
      <c r="DQ58" s="1198"/>
      <c r="DR58" s="1198"/>
      <c r="DS58" s="1198"/>
      <c r="DT58" s="1198"/>
      <c r="DU58" s="1167"/>
      <c r="DV58" s="1453"/>
      <c r="DW58" s="1466"/>
      <c r="DX58" s="1198"/>
      <c r="DY58" s="1198"/>
      <c r="DZ58" s="1198"/>
      <c r="EA58" s="1198"/>
      <c r="EB58" s="1198"/>
      <c r="EC58" s="1167"/>
      <c r="ED58" s="1453"/>
      <c r="EE58" s="1466"/>
      <c r="EF58" s="1262"/>
      <c r="EG58" s="1262"/>
      <c r="EH58" s="1262"/>
      <c r="EI58" s="1262"/>
      <c r="EJ58" s="1262"/>
      <c r="EK58" s="1262"/>
      <c r="EL58" s="1262"/>
      <c r="EM58" s="1262"/>
      <c r="EN58" s="1198"/>
      <c r="EO58" s="1198"/>
      <c r="EP58" s="1198"/>
      <c r="EQ58" s="1198"/>
      <c r="ER58" s="1475"/>
      <c r="ES58" s="1465"/>
      <c r="ET58" s="1375"/>
      <c r="EU58" s="1167"/>
      <c r="EV58" s="1167"/>
      <c r="EW58" s="1167"/>
      <c r="EX58" s="1167"/>
      <c r="EY58" s="1167"/>
      <c r="EZ58" s="1167"/>
      <c r="FA58" s="1167"/>
      <c r="FB58" s="1466"/>
      <c r="FC58" s="1167"/>
      <c r="FD58" s="1167"/>
      <c r="FE58" s="1167"/>
      <c r="FF58" s="1167"/>
      <c r="FG58" s="1167"/>
      <c r="FH58" s="1167"/>
      <c r="FI58" s="1167"/>
      <c r="FJ58" s="1453"/>
      <c r="FK58" s="1466"/>
      <c r="FL58" s="1167"/>
      <c r="FM58" s="1167"/>
      <c r="FN58" s="1167"/>
      <c r="FO58" s="1167"/>
      <c r="FP58" s="1453"/>
      <c r="FQ58" s="1466"/>
      <c r="FR58" s="1167"/>
      <c r="FS58" s="1167"/>
      <c r="FT58" s="1167"/>
      <c r="FU58" s="1167"/>
      <c r="FV58" s="1167"/>
      <c r="FW58" s="1167"/>
      <c r="FX58" s="1485"/>
      <c r="FY58" s="1167"/>
      <c r="FZ58" s="1174"/>
      <c r="GA58" s="1466"/>
      <c r="GB58" s="1167"/>
      <c r="GC58" s="1167"/>
      <c r="GD58" s="1167"/>
      <c r="GE58" s="1167"/>
      <c r="GF58" s="1167"/>
      <c r="GG58" s="1167"/>
      <c r="GH58" s="1167"/>
      <c r="GI58" s="1167"/>
      <c r="GJ58" s="1167"/>
      <c r="GK58" s="1167"/>
      <c r="GL58" s="1167"/>
      <c r="GM58" s="1167"/>
      <c r="GN58" s="1167"/>
      <c r="GO58" s="1167"/>
      <c r="GP58" s="1167"/>
      <c r="GQ58" s="1167"/>
      <c r="GR58" s="1167"/>
      <c r="GS58" s="1167"/>
      <c r="GT58" s="1167"/>
      <c r="GU58" s="1167"/>
      <c r="GV58" s="1167"/>
      <c r="GW58" s="1167"/>
      <c r="GX58" s="1167"/>
      <c r="GY58" s="1167"/>
      <c r="GZ58" s="1167"/>
      <c r="HA58" s="1167"/>
      <c r="HB58" s="1167"/>
      <c r="HC58" s="1167"/>
      <c r="HD58" s="1167"/>
      <c r="HE58" s="1167"/>
      <c r="HF58" s="1167"/>
      <c r="HG58" s="1167"/>
      <c r="HH58" s="1167"/>
      <c r="HI58" s="1167"/>
      <c r="HJ58" s="1167"/>
      <c r="HK58" s="1167"/>
      <c r="HL58" s="1167"/>
      <c r="HM58" s="1167"/>
      <c r="HN58" s="1167"/>
      <c r="HO58" s="1167"/>
      <c r="HP58" s="1167"/>
      <c r="HQ58" s="1167"/>
    </row>
    <row r="59" customFormat="false" ht="11.25" hidden="false" customHeight="true" outlineLevel="0" collapsed="false">
      <c r="A59" s="1453"/>
      <c r="B59" s="1167"/>
      <c r="C59" s="1167"/>
      <c r="D59" s="1167"/>
      <c r="E59" s="1453"/>
      <c r="F59" s="1167"/>
      <c r="G59" s="1167"/>
      <c r="H59" s="1167"/>
      <c r="I59" s="1453"/>
      <c r="J59" s="1167"/>
      <c r="K59" s="1167"/>
      <c r="L59" s="1167"/>
      <c r="M59" s="1167"/>
      <c r="N59" s="1167"/>
      <c r="O59" s="1167"/>
      <c r="P59" s="1167"/>
      <c r="Q59" s="1453"/>
      <c r="R59" s="1167"/>
      <c r="S59" s="1198"/>
      <c r="T59" s="1198"/>
      <c r="U59" s="1198"/>
      <c r="V59" s="1198"/>
      <c r="W59" s="1198"/>
      <c r="X59" s="1198"/>
      <c r="Y59" s="1198"/>
      <c r="Z59" s="1198"/>
      <c r="AA59" s="1198"/>
      <c r="AB59" s="1198"/>
      <c r="AC59" s="1198"/>
      <c r="AD59" s="1198"/>
      <c r="AE59" s="1167"/>
      <c r="AF59" s="1453"/>
      <c r="AG59" s="1468"/>
      <c r="AH59" s="1198"/>
      <c r="AI59" s="1198"/>
      <c r="AJ59" s="1198"/>
      <c r="AK59" s="1198"/>
      <c r="AL59" s="1198"/>
      <c r="AM59" s="1198"/>
      <c r="AN59" s="1481"/>
      <c r="AO59" s="1468"/>
      <c r="AP59" s="1198"/>
      <c r="AQ59" s="1198"/>
      <c r="AR59" s="1198"/>
      <c r="AS59" s="1198"/>
      <c r="AT59" s="1198"/>
      <c r="AU59" s="1198"/>
      <c r="AV59" s="1167"/>
      <c r="AW59" s="1167"/>
      <c r="AX59" s="1167"/>
      <c r="AY59" s="1167"/>
      <c r="AZ59" s="1167"/>
      <c r="BA59" s="1167"/>
      <c r="BB59" s="1189"/>
      <c r="BC59" s="1189"/>
      <c r="BD59" s="1189"/>
      <c r="BE59" s="1150"/>
      <c r="BF59" s="1189"/>
      <c r="BG59" s="1189"/>
      <c r="BH59" s="1189"/>
      <c r="BI59" s="1189"/>
      <c r="BJ59" s="1189"/>
      <c r="BK59" s="1189"/>
      <c r="BL59" s="1189"/>
      <c r="BM59" s="1150"/>
      <c r="BN59" s="1262"/>
      <c r="BO59" s="1262"/>
      <c r="BP59" s="1262"/>
      <c r="BQ59" s="1262"/>
      <c r="BR59" s="1262"/>
      <c r="BS59" s="1262"/>
      <c r="BT59" s="1262"/>
      <c r="BU59" s="1262"/>
      <c r="BV59" s="1262"/>
      <c r="BW59" s="1262"/>
      <c r="BX59" s="1262"/>
      <c r="BY59" s="1262"/>
      <c r="BZ59" s="1189"/>
      <c r="CA59" s="1189"/>
      <c r="CB59" s="1482"/>
      <c r="CC59" s="1446"/>
      <c r="CD59" s="1167"/>
      <c r="CE59" s="1167"/>
      <c r="CF59" s="1167"/>
      <c r="CG59" s="1167"/>
      <c r="CH59" s="1167"/>
      <c r="CI59" s="1167"/>
      <c r="CJ59" s="1453"/>
      <c r="CK59" s="1167"/>
      <c r="CL59" s="1198"/>
      <c r="CM59" s="1198"/>
      <c r="CN59" s="1198"/>
      <c r="CO59" s="1198"/>
      <c r="CP59" s="1198"/>
      <c r="CQ59" s="1198"/>
      <c r="CR59" s="1198"/>
      <c r="CS59" s="1198"/>
      <c r="CT59" s="1198"/>
      <c r="CU59" s="1198"/>
      <c r="CV59" s="1198"/>
      <c r="CW59" s="1198"/>
      <c r="CX59" s="1167"/>
      <c r="CY59" s="1167"/>
      <c r="CZ59" s="1167"/>
      <c r="DA59" s="1262"/>
      <c r="DB59" s="1198"/>
      <c r="DC59" s="1198"/>
      <c r="DD59" s="1198"/>
      <c r="DE59" s="1198"/>
      <c r="DF59" s="1167"/>
      <c r="DG59" s="1453"/>
      <c r="DH59" s="1466"/>
      <c r="DI59" s="1198"/>
      <c r="DJ59" s="1198"/>
      <c r="DK59" s="1198"/>
      <c r="DL59" s="1198"/>
      <c r="DM59" s="1198"/>
      <c r="DN59" s="1198"/>
      <c r="DO59" s="1198"/>
      <c r="DP59" s="1198"/>
      <c r="DQ59" s="1198"/>
      <c r="DR59" s="1198"/>
      <c r="DS59" s="1198"/>
      <c r="DT59" s="1198"/>
      <c r="DU59" s="1167"/>
      <c r="DV59" s="1453"/>
      <c r="DW59" s="1466"/>
      <c r="DX59" s="1198"/>
      <c r="DY59" s="1198"/>
      <c r="DZ59" s="1198"/>
      <c r="EA59" s="1198"/>
      <c r="EB59" s="1198"/>
      <c r="EC59" s="1167"/>
      <c r="ED59" s="1453"/>
      <c r="EE59" s="1466"/>
      <c r="EF59" s="1262"/>
      <c r="EG59" s="1262"/>
      <c r="EH59" s="1262"/>
      <c r="EI59" s="1262"/>
      <c r="EJ59" s="1262"/>
      <c r="EK59" s="1262"/>
      <c r="EL59" s="1262"/>
      <c r="EM59" s="1262"/>
      <c r="EN59" s="1198"/>
      <c r="EO59" s="1198"/>
      <c r="EP59" s="1198"/>
      <c r="EQ59" s="1198"/>
      <c r="ER59" s="1475"/>
      <c r="ES59" s="1465"/>
      <c r="ET59" s="1375"/>
      <c r="EU59" s="1167"/>
      <c r="EV59" s="1167"/>
      <c r="EW59" s="1167"/>
      <c r="EX59" s="1167"/>
      <c r="EY59" s="1167"/>
      <c r="EZ59" s="1167"/>
      <c r="FA59" s="1167"/>
      <c r="FB59" s="1466"/>
      <c r="FC59" s="1167"/>
      <c r="FD59" s="1167"/>
      <c r="FE59" s="1167"/>
      <c r="FF59" s="1167"/>
      <c r="FG59" s="1167"/>
      <c r="FH59" s="1167"/>
      <c r="FI59" s="1167"/>
      <c r="FJ59" s="1453"/>
      <c r="FK59" s="1466"/>
      <c r="FL59" s="1167"/>
      <c r="FM59" s="1167"/>
      <c r="FN59" s="1167"/>
      <c r="FO59" s="1167"/>
      <c r="FP59" s="1453"/>
      <c r="FQ59" s="1466"/>
      <c r="FR59" s="1167"/>
      <c r="FS59" s="1167"/>
      <c r="FT59" s="1167"/>
      <c r="FU59" s="1167"/>
      <c r="FV59" s="1167"/>
      <c r="FW59" s="1167"/>
      <c r="FX59" s="1485"/>
      <c r="FY59" s="1167"/>
      <c r="FZ59" s="1174"/>
      <c r="GA59" s="1466"/>
      <c r="GB59" s="1167"/>
      <c r="GC59" s="1167"/>
      <c r="GD59" s="1167"/>
      <c r="GE59" s="1167"/>
      <c r="GF59" s="1167"/>
      <c r="GG59" s="1167"/>
      <c r="GH59" s="1167"/>
      <c r="GI59" s="1167"/>
      <c r="GJ59" s="1167"/>
      <c r="GK59" s="1167"/>
      <c r="GL59" s="1167"/>
      <c r="GM59" s="1167"/>
      <c r="GN59" s="1167"/>
      <c r="GO59" s="1167"/>
      <c r="GP59" s="1167"/>
      <c r="GQ59" s="1167"/>
      <c r="GR59" s="1167"/>
      <c r="GS59" s="1167"/>
      <c r="GT59" s="1167"/>
      <c r="GU59" s="1167"/>
      <c r="GV59" s="1167"/>
      <c r="GW59" s="1167"/>
      <c r="GX59" s="1167"/>
      <c r="GY59" s="1167"/>
      <c r="GZ59" s="1167"/>
      <c r="HA59" s="1167"/>
      <c r="HB59" s="1167"/>
      <c r="HC59" s="1167"/>
      <c r="HD59" s="1167"/>
      <c r="HE59" s="1167"/>
      <c r="HF59" s="1167"/>
      <c r="HG59" s="1167"/>
      <c r="HH59" s="1167"/>
      <c r="HI59" s="1167"/>
      <c r="HJ59" s="1167"/>
      <c r="HK59" s="1167"/>
      <c r="HL59" s="1167"/>
      <c r="HM59" s="1167"/>
      <c r="HN59" s="1167"/>
      <c r="HO59" s="1167"/>
      <c r="HP59" s="1167"/>
      <c r="HQ59" s="1167"/>
    </row>
    <row r="60" customFormat="false" ht="11.25" hidden="false" customHeight="true" outlineLevel="0" collapsed="false">
      <c r="A60" s="1453"/>
      <c r="B60" s="1167"/>
      <c r="C60" s="1167"/>
      <c r="D60" s="1167"/>
      <c r="E60" s="1453"/>
      <c r="F60" s="1167"/>
      <c r="G60" s="1167"/>
      <c r="H60" s="1167"/>
      <c r="I60" s="1453"/>
      <c r="J60" s="1167"/>
      <c r="K60" s="1167"/>
      <c r="L60" s="1167"/>
      <c r="M60" s="1167"/>
      <c r="N60" s="1167"/>
      <c r="O60" s="1167"/>
      <c r="P60" s="1167"/>
      <c r="Q60" s="1453"/>
      <c r="R60" s="1167"/>
      <c r="S60" s="1198"/>
      <c r="T60" s="1198"/>
      <c r="U60" s="1198"/>
      <c r="V60" s="1198"/>
      <c r="W60" s="1198"/>
      <c r="X60" s="1198"/>
      <c r="Y60" s="1198"/>
      <c r="Z60" s="1198"/>
      <c r="AA60" s="1198"/>
      <c r="AB60" s="1198"/>
      <c r="AC60" s="1198"/>
      <c r="AD60" s="1198"/>
      <c r="AE60" s="1167"/>
      <c r="AF60" s="1453"/>
      <c r="AG60" s="1468"/>
      <c r="AH60" s="1198"/>
      <c r="AI60" s="1198"/>
      <c r="AJ60" s="1198"/>
      <c r="AK60" s="1198"/>
      <c r="AL60" s="1198"/>
      <c r="AM60" s="1198"/>
      <c r="AN60" s="1481"/>
      <c r="AO60" s="1468"/>
      <c r="AP60" s="1198"/>
      <c r="AQ60" s="1198"/>
      <c r="AR60" s="1198"/>
      <c r="AS60" s="1198"/>
      <c r="AT60" s="1198"/>
      <c r="AU60" s="1198"/>
      <c r="AV60" s="1167"/>
      <c r="AW60" s="1167"/>
      <c r="AX60" s="1167"/>
      <c r="AY60" s="1167"/>
      <c r="AZ60" s="1167"/>
      <c r="BA60" s="1167"/>
      <c r="BB60" s="1189"/>
      <c r="BC60" s="1189"/>
      <c r="BD60" s="1189"/>
      <c r="BE60" s="1150"/>
      <c r="BF60" s="1189"/>
      <c r="BG60" s="1189"/>
      <c r="BH60" s="1189"/>
      <c r="BI60" s="1189"/>
      <c r="BJ60" s="1189"/>
      <c r="BK60" s="1189"/>
      <c r="BL60" s="1189"/>
      <c r="BM60" s="1150"/>
      <c r="BN60" s="1262"/>
      <c r="BO60" s="1262"/>
      <c r="BP60" s="1262"/>
      <c r="BQ60" s="1262"/>
      <c r="BR60" s="1262"/>
      <c r="BS60" s="1262"/>
      <c r="BT60" s="1262"/>
      <c r="BU60" s="1262"/>
      <c r="BV60" s="1262"/>
      <c r="BW60" s="1262"/>
      <c r="BX60" s="1262"/>
      <c r="BY60" s="1262"/>
      <c r="BZ60" s="1189"/>
      <c r="CA60" s="1189"/>
      <c r="CB60" s="1482"/>
      <c r="CC60" s="1446"/>
      <c r="CD60" s="1167"/>
      <c r="CE60" s="1167"/>
      <c r="CF60" s="1167"/>
      <c r="CG60" s="1167"/>
      <c r="CH60" s="1167"/>
      <c r="CI60" s="1167"/>
      <c r="CJ60" s="1453"/>
      <c r="CK60" s="1167"/>
      <c r="CL60" s="1198"/>
      <c r="CM60" s="1198"/>
      <c r="CN60" s="1198"/>
      <c r="CO60" s="1198"/>
      <c r="CP60" s="1198"/>
      <c r="CQ60" s="1198"/>
      <c r="CR60" s="1198"/>
      <c r="CS60" s="1198"/>
      <c r="CT60" s="1198"/>
      <c r="CU60" s="1198"/>
      <c r="CV60" s="1198"/>
      <c r="CW60" s="1198"/>
      <c r="CX60" s="1167"/>
      <c r="CY60" s="1167"/>
      <c r="CZ60" s="1167"/>
      <c r="DA60" s="1262"/>
      <c r="DB60" s="1198"/>
      <c r="DC60" s="1198"/>
      <c r="DD60" s="1198"/>
      <c r="DE60" s="1198"/>
      <c r="DF60" s="1167"/>
      <c r="DG60" s="1453"/>
      <c r="DH60" s="1466"/>
      <c r="DI60" s="1198"/>
      <c r="DJ60" s="1198"/>
      <c r="DK60" s="1198"/>
      <c r="DL60" s="1198"/>
      <c r="DM60" s="1198"/>
      <c r="DN60" s="1198"/>
      <c r="DO60" s="1198"/>
      <c r="DP60" s="1198"/>
      <c r="DQ60" s="1198"/>
      <c r="DR60" s="1198"/>
      <c r="DS60" s="1198"/>
      <c r="DT60" s="1198"/>
      <c r="DU60" s="1167"/>
      <c r="DV60" s="1453"/>
      <c r="DW60" s="1466"/>
      <c r="DX60" s="1198"/>
      <c r="DY60" s="1198"/>
      <c r="DZ60" s="1198"/>
      <c r="EA60" s="1198"/>
      <c r="EB60" s="1198"/>
      <c r="EC60" s="1167"/>
      <c r="ED60" s="1453"/>
      <c r="EE60" s="1466"/>
      <c r="EF60" s="1262"/>
      <c r="EG60" s="1262"/>
      <c r="EH60" s="1262"/>
      <c r="EI60" s="1262"/>
      <c r="EJ60" s="1262"/>
      <c r="EK60" s="1262"/>
      <c r="EL60" s="1262"/>
      <c r="EM60" s="1262"/>
      <c r="EN60" s="1198"/>
      <c r="EO60" s="1198"/>
      <c r="EP60" s="1198"/>
      <c r="EQ60" s="1198"/>
      <c r="ER60" s="1475"/>
      <c r="ES60" s="1465"/>
      <c r="ET60" s="1375"/>
      <c r="EU60" s="1167"/>
      <c r="EV60" s="1167"/>
      <c r="EW60" s="1167"/>
      <c r="EX60" s="1167"/>
      <c r="EY60" s="1167"/>
      <c r="EZ60" s="1167"/>
      <c r="FA60" s="1167"/>
      <c r="FB60" s="1466"/>
      <c r="FC60" s="1167"/>
      <c r="FD60" s="1167"/>
      <c r="FE60" s="1167"/>
      <c r="FF60" s="1167"/>
      <c r="FG60" s="1167"/>
      <c r="FH60" s="1167"/>
      <c r="FI60" s="1167"/>
      <c r="FJ60" s="1453"/>
      <c r="FK60" s="1466"/>
      <c r="FL60" s="1167"/>
      <c r="FM60" s="1167"/>
      <c r="FN60" s="1167"/>
      <c r="FO60" s="1167"/>
      <c r="FP60" s="1453"/>
      <c r="FQ60" s="1466"/>
      <c r="FR60" s="1167"/>
      <c r="FS60" s="1167"/>
      <c r="FT60" s="1167"/>
      <c r="FU60" s="1167"/>
      <c r="FV60" s="1167"/>
      <c r="FW60" s="1167"/>
      <c r="FX60" s="1485"/>
      <c r="FY60" s="1167"/>
      <c r="FZ60" s="1167"/>
      <c r="GA60" s="1466"/>
      <c r="GB60" s="1167"/>
      <c r="GC60" s="1167"/>
      <c r="GD60" s="1167"/>
      <c r="GE60" s="1167"/>
      <c r="GF60" s="1167"/>
      <c r="GG60" s="1167"/>
      <c r="GH60" s="1167"/>
      <c r="GI60" s="1167"/>
      <c r="GJ60" s="1167"/>
      <c r="GK60" s="1167"/>
      <c r="GL60" s="1167"/>
      <c r="GM60" s="1167"/>
      <c r="GN60" s="1167"/>
      <c r="GO60" s="1167"/>
      <c r="GP60" s="1167"/>
      <c r="GQ60" s="1167"/>
      <c r="GR60" s="1167"/>
      <c r="GS60" s="1167"/>
      <c r="GT60" s="1167"/>
      <c r="GU60" s="1167"/>
      <c r="GV60" s="1167"/>
      <c r="GW60" s="1167"/>
      <c r="GX60" s="1167"/>
      <c r="GY60" s="1167"/>
      <c r="GZ60" s="1167"/>
      <c r="HA60" s="1167"/>
      <c r="HB60" s="1167"/>
      <c r="HC60" s="1167"/>
      <c r="HD60" s="1167"/>
      <c r="HE60" s="1167"/>
      <c r="HF60" s="1167"/>
      <c r="HG60" s="1167"/>
      <c r="HH60" s="1167"/>
      <c r="HI60" s="1167"/>
      <c r="HJ60" s="1167"/>
      <c r="HK60" s="1167"/>
      <c r="HL60" s="1167"/>
      <c r="HM60" s="1167"/>
      <c r="HN60" s="1167"/>
      <c r="HO60" s="1167"/>
      <c r="HP60" s="1167"/>
      <c r="HQ60" s="1167"/>
    </row>
    <row r="61" customFormat="false" ht="11.25" hidden="false" customHeight="true" outlineLevel="0" collapsed="false">
      <c r="A61" s="1453"/>
      <c r="B61" s="1167"/>
      <c r="C61" s="1167"/>
      <c r="D61" s="1167"/>
      <c r="E61" s="1453"/>
      <c r="F61" s="1167"/>
      <c r="G61" s="1167"/>
      <c r="H61" s="1167"/>
      <c r="I61" s="1453"/>
      <c r="J61" s="1167"/>
      <c r="K61" s="1167"/>
      <c r="L61" s="1167"/>
      <c r="M61" s="1167"/>
      <c r="N61" s="1167"/>
      <c r="O61" s="1167"/>
      <c r="P61" s="1167"/>
      <c r="Q61" s="1453"/>
      <c r="R61" s="1167"/>
      <c r="S61" s="1198"/>
      <c r="T61" s="1198"/>
      <c r="U61" s="1198"/>
      <c r="V61" s="1198"/>
      <c r="W61" s="1198"/>
      <c r="X61" s="1198"/>
      <c r="Y61" s="1198"/>
      <c r="Z61" s="1198"/>
      <c r="AA61" s="1198"/>
      <c r="AB61" s="1198"/>
      <c r="AC61" s="1198"/>
      <c r="AD61" s="1198"/>
      <c r="AE61" s="1167"/>
      <c r="AF61" s="1453"/>
      <c r="AG61" s="1468"/>
      <c r="AH61" s="1198"/>
      <c r="AI61" s="1198"/>
      <c r="AJ61" s="1198"/>
      <c r="AK61" s="1198"/>
      <c r="AL61" s="1198"/>
      <c r="AM61" s="1198"/>
      <c r="AN61" s="1481"/>
      <c r="AO61" s="1468"/>
      <c r="AP61" s="1198"/>
      <c r="AQ61" s="1198"/>
      <c r="AR61" s="1198"/>
      <c r="AS61" s="1198"/>
      <c r="AT61" s="1198"/>
      <c r="AU61" s="1198"/>
      <c r="AV61" s="1167"/>
      <c r="AW61" s="1167"/>
      <c r="AX61" s="1167"/>
      <c r="AY61" s="1167"/>
      <c r="AZ61" s="1167"/>
      <c r="BA61" s="1167"/>
      <c r="BB61" s="1189"/>
      <c r="BC61" s="1189"/>
      <c r="BD61" s="1189"/>
      <c r="BE61" s="1150"/>
      <c r="BF61" s="1189"/>
      <c r="BG61" s="1189"/>
      <c r="BH61" s="1189"/>
      <c r="BI61" s="1189"/>
      <c r="BJ61" s="1189"/>
      <c r="BK61" s="1189"/>
      <c r="BL61" s="1189"/>
      <c r="BM61" s="1150"/>
      <c r="BN61" s="1262"/>
      <c r="BO61" s="1262"/>
      <c r="BP61" s="1262"/>
      <c r="BQ61" s="1262"/>
      <c r="BR61" s="1262"/>
      <c r="BS61" s="1262"/>
      <c r="BT61" s="1262"/>
      <c r="BU61" s="1262"/>
      <c r="BV61" s="1262"/>
      <c r="BW61" s="1262"/>
      <c r="BX61" s="1262"/>
      <c r="BY61" s="1262"/>
      <c r="BZ61" s="1189"/>
      <c r="CA61" s="1189"/>
      <c r="CB61" s="1482"/>
      <c r="CC61" s="1446"/>
      <c r="CD61" s="1167"/>
      <c r="CE61" s="1167"/>
      <c r="CF61" s="1167"/>
      <c r="CG61" s="1167"/>
      <c r="CH61" s="1167"/>
      <c r="CI61" s="1167"/>
      <c r="CJ61" s="1453"/>
      <c r="CK61" s="1167"/>
      <c r="CL61" s="1198"/>
      <c r="CM61" s="1198"/>
      <c r="CN61" s="1198"/>
      <c r="CO61" s="1198"/>
      <c r="CP61" s="1198"/>
      <c r="CQ61" s="1198"/>
      <c r="CR61" s="1198"/>
      <c r="CS61" s="1198"/>
      <c r="CT61" s="1198"/>
      <c r="CU61" s="1198"/>
      <c r="CV61" s="1198"/>
      <c r="CW61" s="1198"/>
      <c r="CX61" s="1167"/>
      <c r="CY61" s="1167"/>
      <c r="CZ61" s="1167"/>
      <c r="DA61" s="1262"/>
      <c r="DB61" s="1198"/>
      <c r="DC61" s="1198"/>
      <c r="DD61" s="1198"/>
      <c r="DE61" s="1198"/>
      <c r="DF61" s="1167"/>
      <c r="DG61" s="1453"/>
      <c r="DH61" s="1466"/>
      <c r="DI61" s="1198"/>
      <c r="DJ61" s="1198"/>
      <c r="DK61" s="1198"/>
      <c r="DL61" s="1198"/>
      <c r="DM61" s="1198"/>
      <c r="DN61" s="1198"/>
      <c r="DO61" s="1198"/>
      <c r="DP61" s="1198"/>
      <c r="DQ61" s="1198"/>
      <c r="DR61" s="1198"/>
      <c r="DS61" s="1198"/>
      <c r="DT61" s="1198"/>
      <c r="DU61" s="1167"/>
      <c r="DV61" s="1453"/>
      <c r="DW61" s="1466"/>
      <c r="DX61" s="1198"/>
      <c r="DY61" s="1198"/>
      <c r="DZ61" s="1198"/>
      <c r="EA61" s="1198"/>
      <c r="EB61" s="1198"/>
      <c r="EC61" s="1167"/>
      <c r="ED61" s="1453"/>
      <c r="EE61" s="1466"/>
      <c r="EF61" s="1262"/>
      <c r="EG61" s="1262"/>
      <c r="EH61" s="1262"/>
      <c r="EI61" s="1262"/>
      <c r="EJ61" s="1262"/>
      <c r="EK61" s="1262"/>
      <c r="EL61" s="1262"/>
      <c r="EM61" s="1262"/>
      <c r="EN61" s="1198"/>
      <c r="EO61" s="1198"/>
      <c r="EP61" s="1198"/>
      <c r="EQ61" s="1198"/>
      <c r="ER61" s="1475"/>
      <c r="ES61" s="1465"/>
      <c r="ET61" s="1375"/>
      <c r="EU61" s="1167"/>
      <c r="EV61" s="1167"/>
      <c r="EW61" s="1167"/>
      <c r="EX61" s="1167"/>
      <c r="EY61" s="1167"/>
      <c r="EZ61" s="1167"/>
      <c r="FA61" s="1167"/>
      <c r="FB61" s="1466"/>
      <c r="FC61" s="1167"/>
      <c r="FD61" s="1167"/>
      <c r="FE61" s="1167"/>
      <c r="FF61" s="1167"/>
      <c r="FG61" s="1167"/>
      <c r="FH61" s="1167"/>
      <c r="FI61" s="1167"/>
      <c r="FJ61" s="1453"/>
      <c r="FK61" s="1466"/>
      <c r="FL61" s="1167"/>
      <c r="FM61" s="1167"/>
      <c r="FN61" s="1167"/>
      <c r="FO61" s="1167"/>
      <c r="FP61" s="1453"/>
      <c r="FQ61" s="1466"/>
      <c r="FR61" s="1167"/>
      <c r="FS61" s="1167"/>
      <c r="FT61" s="1167"/>
      <c r="FU61" s="1167"/>
      <c r="FV61" s="1167"/>
      <c r="FW61" s="1167"/>
      <c r="FX61" s="1485"/>
      <c r="FY61" s="1167"/>
      <c r="FZ61" s="1167"/>
      <c r="GA61" s="1466"/>
      <c r="GB61" s="1167"/>
      <c r="GC61" s="1167"/>
      <c r="GD61" s="1167"/>
      <c r="GE61" s="1167"/>
      <c r="GF61" s="1167"/>
      <c r="GG61" s="1167"/>
      <c r="GH61" s="1167"/>
      <c r="GI61" s="1167"/>
      <c r="GJ61" s="1167"/>
      <c r="GK61" s="1167"/>
      <c r="GL61" s="1167"/>
      <c r="GM61" s="1167"/>
      <c r="GN61" s="1167"/>
      <c r="GO61" s="1167"/>
      <c r="GP61" s="1167"/>
      <c r="GQ61" s="1167"/>
      <c r="GR61" s="1167"/>
      <c r="GS61" s="1167"/>
      <c r="GT61" s="1167"/>
      <c r="GU61" s="1167"/>
      <c r="GV61" s="1167"/>
      <c r="GW61" s="1167"/>
      <c r="GX61" s="1167"/>
      <c r="GY61" s="1167"/>
      <c r="GZ61" s="1167"/>
      <c r="HA61" s="1167"/>
      <c r="HB61" s="1167"/>
      <c r="HC61" s="1167"/>
      <c r="HD61" s="1167"/>
      <c r="HE61" s="1167"/>
      <c r="HF61" s="1167"/>
      <c r="HG61" s="1167"/>
      <c r="HH61" s="1167"/>
      <c r="HI61" s="1167"/>
      <c r="HJ61" s="1167"/>
      <c r="HK61" s="1167"/>
      <c r="HL61" s="1167"/>
      <c r="HM61" s="1167"/>
      <c r="HN61" s="1167"/>
      <c r="HO61" s="1167"/>
      <c r="HP61" s="1167"/>
      <c r="HQ61" s="1167"/>
    </row>
    <row r="62" customFormat="false" ht="11.25" hidden="false" customHeight="true" outlineLevel="0" collapsed="false">
      <c r="A62" s="1453"/>
      <c r="B62" s="1167"/>
      <c r="C62" s="1167"/>
      <c r="D62" s="1167"/>
      <c r="E62" s="1453"/>
      <c r="F62" s="1167"/>
      <c r="G62" s="1167"/>
      <c r="H62" s="1167"/>
      <c r="I62" s="1453"/>
      <c r="J62" s="1167"/>
      <c r="K62" s="1167"/>
      <c r="L62" s="1167"/>
      <c r="M62" s="1167"/>
      <c r="N62" s="1167"/>
      <c r="O62" s="1167"/>
      <c r="P62" s="1167"/>
      <c r="Q62" s="1453"/>
      <c r="R62" s="1167"/>
      <c r="S62" s="1198"/>
      <c r="T62" s="1198"/>
      <c r="U62" s="1198"/>
      <c r="V62" s="1198"/>
      <c r="W62" s="1198"/>
      <c r="X62" s="1198"/>
      <c r="Y62" s="1198"/>
      <c r="Z62" s="1198"/>
      <c r="AA62" s="1198"/>
      <c r="AB62" s="1198"/>
      <c r="AC62" s="1198"/>
      <c r="AD62" s="1198"/>
      <c r="AE62" s="1167"/>
      <c r="AF62" s="1453"/>
      <c r="AG62" s="1468"/>
      <c r="AH62" s="1198"/>
      <c r="AI62" s="1198"/>
      <c r="AJ62" s="1198"/>
      <c r="AK62" s="1198"/>
      <c r="AL62" s="1198"/>
      <c r="AM62" s="1198"/>
      <c r="AN62" s="1481"/>
      <c r="AO62" s="1468"/>
      <c r="AP62" s="1198"/>
      <c r="AQ62" s="1198"/>
      <c r="AR62" s="1198"/>
      <c r="AS62" s="1198"/>
      <c r="AT62" s="1198"/>
      <c r="AU62" s="1198"/>
      <c r="AV62" s="1167"/>
      <c r="AW62" s="1167"/>
      <c r="AX62" s="1167"/>
      <c r="AY62" s="1167"/>
      <c r="AZ62" s="1167"/>
      <c r="BA62" s="1167"/>
      <c r="BB62" s="1189"/>
      <c r="BC62" s="1189"/>
      <c r="BD62" s="1189"/>
      <c r="BE62" s="1150"/>
      <c r="BF62" s="1189"/>
      <c r="BG62" s="1189"/>
      <c r="BH62" s="1189"/>
      <c r="BI62" s="1189"/>
      <c r="BJ62" s="1189"/>
      <c r="BK62" s="1189"/>
      <c r="BL62" s="1189"/>
      <c r="BM62" s="1150"/>
      <c r="BN62" s="1262"/>
      <c r="BO62" s="1262"/>
      <c r="BP62" s="1262"/>
      <c r="BQ62" s="1262"/>
      <c r="BR62" s="1262"/>
      <c r="BS62" s="1262"/>
      <c r="BT62" s="1262"/>
      <c r="BU62" s="1262"/>
      <c r="BV62" s="1262"/>
      <c r="BW62" s="1262"/>
      <c r="BX62" s="1262"/>
      <c r="BY62" s="1262"/>
      <c r="BZ62" s="1189"/>
      <c r="CA62" s="1189"/>
      <c r="CB62" s="1482"/>
      <c r="CC62" s="1446"/>
      <c r="CD62" s="1167"/>
      <c r="CE62" s="1167"/>
      <c r="CF62" s="1167"/>
      <c r="CG62" s="1167"/>
      <c r="CH62" s="1167"/>
      <c r="CI62" s="1167"/>
      <c r="CJ62" s="1453"/>
      <c r="CK62" s="1167"/>
      <c r="CL62" s="1198"/>
      <c r="CM62" s="1198"/>
      <c r="CN62" s="1198"/>
      <c r="CO62" s="1198"/>
      <c r="CP62" s="1198"/>
      <c r="CQ62" s="1198"/>
      <c r="CR62" s="1198"/>
      <c r="CS62" s="1198"/>
      <c r="CT62" s="1198"/>
      <c r="CU62" s="1198"/>
      <c r="CV62" s="1198"/>
      <c r="CW62" s="1198"/>
      <c r="CX62" s="1167"/>
      <c r="CY62" s="1167"/>
      <c r="CZ62" s="1167"/>
      <c r="DA62" s="1262"/>
      <c r="DB62" s="1198"/>
      <c r="DC62" s="1198"/>
      <c r="DD62" s="1198"/>
      <c r="DE62" s="1198"/>
      <c r="DF62" s="1167"/>
      <c r="DG62" s="1453"/>
      <c r="DH62" s="1466"/>
      <c r="DI62" s="1198"/>
      <c r="DJ62" s="1198"/>
      <c r="DK62" s="1198"/>
      <c r="DL62" s="1198"/>
      <c r="DM62" s="1198"/>
      <c r="DN62" s="1198"/>
      <c r="DO62" s="1198"/>
      <c r="DP62" s="1198"/>
      <c r="DQ62" s="1198"/>
      <c r="DR62" s="1198"/>
      <c r="DS62" s="1198"/>
      <c r="DT62" s="1198"/>
      <c r="DU62" s="1167"/>
      <c r="DV62" s="1453"/>
      <c r="DW62" s="1466"/>
      <c r="DX62" s="1198"/>
      <c r="DY62" s="1198"/>
      <c r="DZ62" s="1198"/>
      <c r="EA62" s="1198"/>
      <c r="EB62" s="1198"/>
      <c r="EC62" s="1167"/>
      <c r="ED62" s="1453"/>
      <c r="EE62" s="1466"/>
      <c r="EF62" s="1262"/>
      <c r="EG62" s="1262"/>
      <c r="EH62" s="1262"/>
      <c r="EI62" s="1262"/>
      <c r="EJ62" s="1262"/>
      <c r="EK62" s="1262"/>
      <c r="EL62" s="1262"/>
      <c r="EM62" s="1262"/>
      <c r="EN62" s="1198"/>
      <c r="EO62" s="1198"/>
      <c r="EP62" s="1198"/>
      <c r="EQ62" s="1198"/>
      <c r="ER62" s="1475"/>
      <c r="ES62" s="1465"/>
      <c r="ET62" s="1375"/>
      <c r="EU62" s="1167"/>
      <c r="EV62" s="1167"/>
      <c r="EW62" s="1167"/>
      <c r="EX62" s="1167"/>
      <c r="EY62" s="1167"/>
      <c r="EZ62" s="1167"/>
      <c r="FA62" s="1167"/>
      <c r="FB62" s="1466"/>
      <c r="FC62" s="1167"/>
      <c r="FD62" s="1167"/>
      <c r="FE62" s="1167"/>
      <c r="FF62" s="1167"/>
      <c r="FG62" s="1167"/>
      <c r="FH62" s="1167"/>
      <c r="FI62" s="1167"/>
      <c r="FJ62" s="1453"/>
      <c r="FK62" s="1466"/>
      <c r="FL62" s="1167"/>
      <c r="FM62" s="1167"/>
      <c r="FN62" s="1167"/>
      <c r="FO62" s="1167"/>
      <c r="FP62" s="1453"/>
      <c r="FQ62" s="1466"/>
      <c r="FR62" s="1167"/>
      <c r="FS62" s="1167"/>
      <c r="FT62" s="1167"/>
      <c r="FU62" s="1167"/>
      <c r="FV62" s="1167"/>
      <c r="FW62" s="1167"/>
      <c r="FX62" s="1485"/>
      <c r="FY62" s="1167"/>
      <c r="FZ62" s="1167"/>
      <c r="GA62" s="1466"/>
      <c r="GB62" s="1167"/>
      <c r="GC62" s="1167"/>
      <c r="GD62" s="1167"/>
      <c r="GE62" s="1167"/>
      <c r="GF62" s="1167"/>
      <c r="GG62" s="1167"/>
      <c r="GH62" s="1167"/>
      <c r="GI62" s="1167"/>
      <c r="GJ62" s="1167"/>
      <c r="GK62" s="1167"/>
      <c r="GL62" s="1167"/>
      <c r="GM62" s="1167"/>
      <c r="GN62" s="1167"/>
      <c r="GO62" s="1167"/>
      <c r="GP62" s="1167"/>
      <c r="GQ62" s="1167"/>
      <c r="GR62" s="1167"/>
      <c r="GS62" s="1167"/>
      <c r="GT62" s="1167"/>
      <c r="GU62" s="1167"/>
      <c r="GV62" s="1167"/>
      <c r="GW62" s="1167"/>
      <c r="GX62" s="1167"/>
      <c r="GY62" s="1167"/>
      <c r="GZ62" s="1167"/>
      <c r="HA62" s="1167"/>
      <c r="HB62" s="1167"/>
      <c r="HC62" s="1167"/>
      <c r="HD62" s="1167"/>
      <c r="HE62" s="1167"/>
      <c r="HF62" s="1167"/>
      <c r="HG62" s="1167"/>
      <c r="HH62" s="1167"/>
      <c r="HI62" s="1167"/>
      <c r="HJ62" s="1167"/>
      <c r="HK62" s="1167"/>
      <c r="HL62" s="1167"/>
      <c r="HM62" s="1167"/>
      <c r="HN62" s="1167"/>
      <c r="HO62" s="1167"/>
      <c r="HP62" s="1167"/>
      <c r="HQ62" s="1167"/>
    </row>
    <row r="63" customFormat="false" ht="15" hidden="false" customHeight="true" outlineLevel="0" collapsed="false">
      <c r="A63" s="1453"/>
      <c r="B63" s="1167"/>
      <c r="C63" s="1167"/>
      <c r="D63" s="1167"/>
      <c r="E63" s="1453"/>
      <c r="F63" s="1167"/>
      <c r="G63" s="1167"/>
      <c r="H63" s="1167"/>
      <c r="I63" s="1453"/>
      <c r="J63" s="1167"/>
      <c r="K63" s="1167"/>
      <c r="L63" s="1167"/>
      <c r="M63" s="1167"/>
      <c r="N63" s="1167"/>
      <c r="O63" s="1167"/>
      <c r="P63" s="1167"/>
      <c r="Q63" s="1453"/>
      <c r="R63" s="1167"/>
      <c r="S63" s="1198"/>
      <c r="T63" s="1198"/>
      <c r="U63" s="1198"/>
      <c r="V63" s="1198"/>
      <c r="W63" s="1198"/>
      <c r="X63" s="1198"/>
      <c r="Y63" s="1198"/>
      <c r="Z63" s="1198"/>
      <c r="AA63" s="1198"/>
      <c r="AB63" s="1198"/>
      <c r="AC63" s="1198"/>
      <c r="AD63" s="1198"/>
      <c r="AE63" s="1167"/>
      <c r="AF63" s="1453"/>
      <c r="AG63" s="1468"/>
      <c r="AH63" s="1198"/>
      <c r="AI63" s="1198"/>
      <c r="AJ63" s="1198"/>
      <c r="AK63" s="1198"/>
      <c r="AL63" s="1198"/>
      <c r="AM63" s="1198"/>
      <c r="AN63" s="1481"/>
      <c r="AO63" s="1468"/>
      <c r="AP63" s="1198"/>
      <c r="AQ63" s="1198"/>
      <c r="AR63" s="1198"/>
      <c r="AS63" s="1198"/>
      <c r="AT63" s="1198"/>
      <c r="AU63" s="1198"/>
      <c r="AV63" s="1167"/>
      <c r="AW63" s="1167"/>
      <c r="AX63" s="1167"/>
      <c r="AY63" s="1167"/>
      <c r="AZ63" s="1167"/>
      <c r="BA63" s="1167"/>
      <c r="BB63" s="1189"/>
      <c r="BC63" s="1189"/>
      <c r="BD63" s="1189"/>
      <c r="BE63" s="1150"/>
      <c r="BF63" s="1189"/>
      <c r="BG63" s="1189"/>
      <c r="BH63" s="1189"/>
      <c r="BI63" s="1189"/>
      <c r="BJ63" s="1189"/>
      <c r="BK63" s="1189"/>
      <c r="BL63" s="1189"/>
      <c r="BM63" s="1150"/>
      <c r="BN63" s="1262"/>
      <c r="BO63" s="1262"/>
      <c r="BP63" s="1262"/>
      <c r="BQ63" s="1262"/>
      <c r="BR63" s="1262"/>
      <c r="BS63" s="1262"/>
      <c r="BT63" s="1262"/>
      <c r="BU63" s="1262"/>
      <c r="BV63" s="1262"/>
      <c r="BW63" s="1262"/>
      <c r="BX63" s="1262"/>
      <c r="BY63" s="1262"/>
      <c r="BZ63" s="1189"/>
      <c r="CA63" s="1189"/>
      <c r="CB63" s="1482"/>
      <c r="CC63" s="1446"/>
      <c r="CD63" s="1167"/>
      <c r="CE63" s="1167"/>
      <c r="CF63" s="1167"/>
      <c r="CG63" s="1167"/>
      <c r="CH63" s="1167"/>
      <c r="CI63" s="1167"/>
      <c r="CJ63" s="1453"/>
      <c r="CK63" s="1167"/>
      <c r="CL63" s="1198"/>
      <c r="CM63" s="1198"/>
      <c r="CN63" s="1198"/>
      <c r="CO63" s="1198"/>
      <c r="CP63" s="1198"/>
      <c r="CQ63" s="1198"/>
      <c r="CR63" s="1198"/>
      <c r="CS63" s="1198"/>
      <c r="CT63" s="1198"/>
      <c r="CU63" s="1198"/>
      <c r="CV63" s="1198"/>
      <c r="CW63" s="1198"/>
      <c r="CX63" s="1167"/>
      <c r="CY63" s="1167"/>
      <c r="CZ63" s="1167"/>
      <c r="DA63" s="1262"/>
      <c r="DB63" s="1198"/>
      <c r="DC63" s="1198"/>
      <c r="DD63" s="1198"/>
      <c r="DE63" s="1198"/>
      <c r="DF63" s="1167"/>
      <c r="DG63" s="1453"/>
      <c r="DH63" s="1466"/>
      <c r="DI63" s="1198"/>
      <c r="DJ63" s="1198"/>
      <c r="DK63" s="1198"/>
      <c r="DL63" s="1198"/>
      <c r="DM63" s="1198"/>
      <c r="DN63" s="1198"/>
      <c r="DO63" s="1198"/>
      <c r="DP63" s="1198"/>
      <c r="DQ63" s="1198"/>
      <c r="DR63" s="1198"/>
      <c r="DS63" s="1198"/>
      <c r="DT63" s="1198"/>
      <c r="DU63" s="1167"/>
      <c r="DV63" s="1453"/>
      <c r="DW63" s="1466"/>
      <c r="DX63" s="1198"/>
      <c r="DY63" s="1198"/>
      <c r="DZ63" s="1198"/>
      <c r="EA63" s="1198"/>
      <c r="EB63" s="1198"/>
      <c r="EC63" s="1167"/>
      <c r="ED63" s="1453"/>
      <c r="EE63" s="1466"/>
      <c r="EF63" s="1262"/>
      <c r="EG63" s="1262"/>
      <c r="EH63" s="1262"/>
      <c r="EI63" s="1262"/>
      <c r="EJ63" s="1262"/>
      <c r="EK63" s="1262"/>
      <c r="EL63" s="1262"/>
      <c r="EM63" s="1262"/>
      <c r="EN63" s="1198"/>
      <c r="EO63" s="1198"/>
      <c r="EP63" s="1198"/>
      <c r="EQ63" s="1198"/>
      <c r="ER63" s="1475"/>
      <c r="ES63" s="1465"/>
      <c r="ET63" s="1375"/>
      <c r="EU63" s="1167"/>
      <c r="EV63" s="1167"/>
      <c r="EW63" s="1167"/>
      <c r="EX63" s="1167"/>
      <c r="EY63" s="1167"/>
      <c r="EZ63" s="1167"/>
      <c r="FA63" s="1167"/>
      <c r="FB63" s="1466"/>
      <c r="FC63" s="1167"/>
      <c r="FD63" s="1167"/>
      <c r="FE63" s="1167"/>
      <c r="FF63" s="1167"/>
      <c r="FG63" s="1167"/>
      <c r="FH63" s="1167"/>
      <c r="FI63" s="1167"/>
      <c r="FJ63" s="1453"/>
      <c r="FK63" s="1466"/>
      <c r="FL63" s="1167"/>
      <c r="FM63" s="1167"/>
      <c r="FN63" s="1167"/>
      <c r="FO63" s="1167"/>
      <c r="FP63" s="1453"/>
      <c r="FQ63" s="1466"/>
      <c r="FR63" s="1167"/>
      <c r="FS63" s="1167"/>
      <c r="FT63" s="1167"/>
      <c r="FU63" s="1167"/>
      <c r="FV63" s="1167"/>
      <c r="FW63" s="1167"/>
      <c r="FX63" s="1485"/>
      <c r="FY63" s="1167"/>
      <c r="FZ63" s="1167"/>
      <c r="GA63" s="1466"/>
      <c r="GB63" s="1167"/>
      <c r="GC63" s="1167"/>
      <c r="GD63" s="1167"/>
      <c r="GE63" s="1167"/>
      <c r="GF63" s="1167"/>
      <c r="GG63" s="1167"/>
      <c r="GH63" s="1167"/>
      <c r="GI63" s="1167"/>
      <c r="GJ63" s="1167"/>
      <c r="GK63" s="1167"/>
      <c r="GL63" s="1167"/>
      <c r="GM63" s="1167"/>
      <c r="GN63" s="1167"/>
      <c r="GO63" s="1167"/>
      <c r="GP63" s="1167"/>
      <c r="GQ63" s="1167"/>
      <c r="GR63" s="1167"/>
      <c r="GS63" s="1167"/>
      <c r="GT63" s="1167"/>
      <c r="GU63" s="1167"/>
      <c r="GV63" s="1167"/>
      <c r="GW63" s="1167"/>
      <c r="GX63" s="1167"/>
      <c r="GY63" s="1167"/>
      <c r="GZ63" s="1167"/>
      <c r="HA63" s="1167"/>
      <c r="HB63" s="1167"/>
      <c r="HC63" s="1167"/>
      <c r="HD63" s="1167"/>
      <c r="HE63" s="1167"/>
      <c r="HF63" s="1167"/>
      <c r="HG63" s="1167"/>
      <c r="HH63" s="1167"/>
      <c r="HI63" s="1167"/>
      <c r="HJ63" s="1167"/>
      <c r="HK63" s="1167"/>
      <c r="HL63" s="1167"/>
      <c r="HM63" s="1167"/>
      <c r="HN63" s="1167"/>
      <c r="HO63" s="1167"/>
      <c r="HP63" s="1167"/>
      <c r="HQ63" s="1167"/>
    </row>
    <row r="64" customFormat="false" ht="15" hidden="false" customHeight="true" outlineLevel="0" collapsed="false">
      <c r="A64" s="1453"/>
      <c r="B64" s="1167"/>
      <c r="C64" s="1167"/>
      <c r="D64" s="1167"/>
      <c r="E64" s="1453"/>
      <c r="F64" s="1167"/>
      <c r="G64" s="1167"/>
      <c r="H64" s="1167"/>
      <c r="I64" s="1453"/>
      <c r="J64" s="1167"/>
      <c r="K64" s="1167"/>
      <c r="L64" s="1167"/>
      <c r="M64" s="1167"/>
      <c r="N64" s="1167"/>
      <c r="O64" s="1167"/>
      <c r="P64" s="1167"/>
      <c r="Q64" s="1453"/>
      <c r="R64" s="1167"/>
      <c r="S64" s="1198"/>
      <c r="T64" s="1198"/>
      <c r="U64" s="1198"/>
      <c r="V64" s="1198"/>
      <c r="W64" s="1198"/>
      <c r="X64" s="1198"/>
      <c r="Y64" s="1198"/>
      <c r="Z64" s="1198"/>
      <c r="AA64" s="1198"/>
      <c r="AB64" s="1198"/>
      <c r="AC64" s="1198"/>
      <c r="AD64" s="1198"/>
      <c r="AE64" s="1167"/>
      <c r="AF64" s="1453"/>
      <c r="AG64" s="1468"/>
      <c r="AH64" s="1198"/>
      <c r="AI64" s="1198"/>
      <c r="AJ64" s="1198"/>
      <c r="AK64" s="1198"/>
      <c r="AL64" s="1198"/>
      <c r="AM64" s="1198"/>
      <c r="AN64" s="1481"/>
      <c r="AO64" s="1468"/>
      <c r="AP64" s="1198"/>
      <c r="AQ64" s="1198"/>
      <c r="AR64" s="1198"/>
      <c r="AS64" s="1198"/>
      <c r="AT64" s="1198"/>
      <c r="AU64" s="1198"/>
      <c r="AV64" s="1167"/>
      <c r="AW64" s="1167"/>
      <c r="AX64" s="1167"/>
      <c r="AY64" s="1167"/>
      <c r="AZ64" s="1167"/>
      <c r="BA64" s="1167"/>
      <c r="BB64" s="1189"/>
      <c r="BC64" s="1189"/>
      <c r="BD64" s="1189"/>
      <c r="BE64" s="1150"/>
      <c r="BF64" s="1189"/>
      <c r="BG64" s="1189"/>
      <c r="BH64" s="1189"/>
      <c r="BI64" s="1189"/>
      <c r="BJ64" s="1189"/>
      <c r="BK64" s="1189"/>
      <c r="BL64" s="1189"/>
      <c r="BM64" s="1150"/>
      <c r="BN64" s="1262"/>
      <c r="BO64" s="1262"/>
      <c r="BP64" s="1262"/>
      <c r="BQ64" s="1262"/>
      <c r="BR64" s="1262"/>
      <c r="BS64" s="1262"/>
      <c r="BT64" s="1262"/>
      <c r="BU64" s="1262"/>
      <c r="BV64" s="1262"/>
      <c r="BW64" s="1262"/>
      <c r="BX64" s="1262"/>
      <c r="BY64" s="1262"/>
      <c r="BZ64" s="1189"/>
      <c r="CA64" s="1189"/>
      <c r="CB64" s="1482"/>
      <c r="CC64" s="1446"/>
      <c r="CD64" s="1167"/>
      <c r="CE64" s="1167"/>
      <c r="CF64" s="1167"/>
      <c r="CG64" s="1167"/>
      <c r="CH64" s="1167"/>
      <c r="CI64" s="1167"/>
      <c r="CJ64" s="1453"/>
      <c r="CK64" s="1167"/>
      <c r="CL64" s="1198"/>
      <c r="CM64" s="1198"/>
      <c r="CN64" s="1198"/>
      <c r="CO64" s="1198"/>
      <c r="CP64" s="1198"/>
      <c r="CQ64" s="1198"/>
      <c r="CR64" s="1198"/>
      <c r="CS64" s="1198"/>
      <c r="CT64" s="1198"/>
      <c r="CU64" s="1198"/>
      <c r="CV64" s="1198"/>
      <c r="CW64" s="1198"/>
      <c r="CX64" s="1167"/>
      <c r="CY64" s="1167"/>
      <c r="CZ64" s="1167"/>
      <c r="DA64" s="1262"/>
      <c r="DB64" s="1198"/>
      <c r="DC64" s="1198"/>
      <c r="DD64" s="1198"/>
      <c r="DE64" s="1198"/>
      <c r="DF64" s="1167"/>
      <c r="DG64" s="1453"/>
      <c r="DH64" s="1466"/>
      <c r="DI64" s="1198"/>
      <c r="DJ64" s="1198"/>
      <c r="DK64" s="1198"/>
      <c r="DL64" s="1198"/>
      <c r="DM64" s="1198"/>
      <c r="DN64" s="1198"/>
      <c r="DO64" s="1198"/>
      <c r="DP64" s="1198"/>
      <c r="DQ64" s="1198"/>
      <c r="DR64" s="1198"/>
      <c r="DS64" s="1198"/>
      <c r="DT64" s="1198"/>
      <c r="DU64" s="1167"/>
      <c r="DV64" s="1453"/>
      <c r="DW64" s="1466"/>
      <c r="DX64" s="1198"/>
      <c r="DY64" s="1198"/>
      <c r="DZ64" s="1198"/>
      <c r="EA64" s="1198"/>
      <c r="EB64" s="1198"/>
      <c r="EC64" s="1167"/>
      <c r="ED64" s="1453"/>
      <c r="EE64" s="1466"/>
      <c r="EF64" s="1262"/>
      <c r="EG64" s="1262"/>
      <c r="EH64" s="1262"/>
      <c r="EI64" s="1262"/>
      <c r="EJ64" s="1262"/>
      <c r="EK64" s="1262"/>
      <c r="EL64" s="1262"/>
      <c r="EM64" s="1262"/>
      <c r="EN64" s="1198"/>
      <c r="EO64" s="1198"/>
      <c r="EP64" s="1198"/>
      <c r="EQ64" s="1198"/>
      <c r="ER64" s="1475"/>
      <c r="ES64" s="1465"/>
      <c r="ET64" s="1375"/>
      <c r="EU64" s="1167"/>
      <c r="EV64" s="1167"/>
      <c r="EW64" s="1167"/>
      <c r="EX64" s="1167"/>
      <c r="EY64" s="1167"/>
      <c r="EZ64" s="1167"/>
      <c r="FA64" s="1167"/>
      <c r="FB64" s="1466"/>
      <c r="FC64" s="1167"/>
      <c r="FD64" s="1167"/>
      <c r="FE64" s="1167"/>
      <c r="FF64" s="1167"/>
      <c r="FG64" s="1167"/>
      <c r="FH64" s="1167"/>
      <c r="FI64" s="1167"/>
      <c r="FJ64" s="1453"/>
      <c r="FK64" s="1466"/>
      <c r="FL64" s="1167"/>
      <c r="FM64" s="1167"/>
      <c r="FN64" s="1167"/>
      <c r="FO64" s="1167"/>
      <c r="FP64" s="1453"/>
      <c r="FQ64" s="1466"/>
      <c r="FR64" s="1167"/>
      <c r="FS64" s="1167"/>
      <c r="FT64" s="1167"/>
      <c r="FU64" s="1167"/>
      <c r="FV64" s="1167"/>
      <c r="FW64" s="1167"/>
      <c r="FX64" s="1485"/>
      <c r="FY64" s="1167"/>
      <c r="FZ64" s="1167"/>
      <c r="GA64" s="1466"/>
      <c r="GB64" s="1167"/>
      <c r="GC64" s="1167"/>
      <c r="GD64" s="1167"/>
      <c r="GE64" s="1167"/>
      <c r="GF64" s="1167"/>
      <c r="GG64" s="1167"/>
      <c r="GH64" s="1167"/>
      <c r="GI64" s="1167"/>
      <c r="GJ64" s="1167"/>
      <c r="GK64" s="1167"/>
      <c r="GL64" s="1167"/>
      <c r="GM64" s="1167"/>
      <c r="GN64" s="1167"/>
      <c r="GO64" s="1167"/>
      <c r="GP64" s="1167"/>
      <c r="GQ64" s="1167"/>
      <c r="GR64" s="1167"/>
      <c r="GS64" s="1167"/>
      <c r="GT64" s="1167"/>
      <c r="GU64" s="1167"/>
      <c r="GV64" s="1167"/>
      <c r="GW64" s="1167"/>
      <c r="GX64" s="1167"/>
      <c r="GY64" s="1167"/>
      <c r="GZ64" s="1167"/>
      <c r="HA64" s="1167"/>
      <c r="HB64" s="1167"/>
      <c r="HC64" s="1167"/>
      <c r="HD64" s="1167"/>
      <c r="HE64" s="1167"/>
      <c r="HF64" s="1167"/>
      <c r="HG64" s="1167"/>
      <c r="HH64" s="1167"/>
      <c r="HI64" s="1167"/>
      <c r="HJ64" s="1167"/>
      <c r="HK64" s="1167"/>
      <c r="HL64" s="1167"/>
      <c r="HM64" s="1167"/>
      <c r="HN64" s="1167"/>
      <c r="HO64" s="1167"/>
      <c r="HP64" s="1167"/>
      <c r="HQ64" s="1167"/>
    </row>
    <row r="65" customFormat="false" ht="15" hidden="false" customHeight="true" outlineLevel="0" collapsed="false">
      <c r="A65" s="1453"/>
      <c r="B65" s="1167"/>
      <c r="C65" s="1167"/>
      <c r="D65" s="1167"/>
      <c r="E65" s="1453"/>
      <c r="F65" s="1167"/>
      <c r="G65" s="1167"/>
      <c r="H65" s="1167"/>
      <c r="I65" s="1453"/>
      <c r="J65" s="1167"/>
      <c r="K65" s="1167"/>
      <c r="L65" s="1167"/>
      <c r="M65" s="1167"/>
      <c r="N65" s="1167"/>
      <c r="O65" s="1167"/>
      <c r="P65" s="1167"/>
      <c r="Q65" s="1453"/>
      <c r="R65" s="1167"/>
      <c r="S65" s="1198"/>
      <c r="T65" s="1198"/>
      <c r="U65" s="1198"/>
      <c r="V65" s="1198"/>
      <c r="W65" s="1198"/>
      <c r="X65" s="1198"/>
      <c r="Y65" s="1198"/>
      <c r="Z65" s="1198"/>
      <c r="AA65" s="1198"/>
      <c r="AB65" s="1198"/>
      <c r="AC65" s="1198"/>
      <c r="AD65" s="1198"/>
      <c r="AE65" s="1167"/>
      <c r="AF65" s="1453"/>
      <c r="AG65" s="1468"/>
      <c r="AH65" s="1198"/>
      <c r="AI65" s="1198"/>
      <c r="AJ65" s="1198"/>
      <c r="AK65" s="1198"/>
      <c r="AL65" s="1198"/>
      <c r="AM65" s="1198"/>
      <c r="AN65" s="1481"/>
      <c r="AO65" s="1468"/>
      <c r="AP65" s="1198"/>
      <c r="AQ65" s="1198"/>
      <c r="AR65" s="1198"/>
      <c r="AS65" s="1198"/>
      <c r="AT65" s="1198"/>
      <c r="AU65" s="1198"/>
      <c r="AV65" s="1167"/>
      <c r="AW65" s="1167"/>
      <c r="AX65" s="1167"/>
      <c r="AY65" s="1167"/>
      <c r="AZ65" s="1167"/>
      <c r="BA65" s="1167"/>
      <c r="BB65" s="1189"/>
      <c r="BC65" s="1189"/>
      <c r="BD65" s="1189"/>
      <c r="BE65" s="1150"/>
      <c r="BF65" s="1189"/>
      <c r="BG65" s="1189"/>
      <c r="BH65" s="1189"/>
      <c r="BI65" s="1189"/>
      <c r="BJ65" s="1189"/>
      <c r="BK65" s="1189"/>
      <c r="BL65" s="1189"/>
      <c r="BM65" s="1150"/>
      <c r="BN65" s="1262"/>
      <c r="BO65" s="1262"/>
      <c r="BP65" s="1262"/>
      <c r="BQ65" s="1262"/>
      <c r="BR65" s="1262"/>
      <c r="BS65" s="1262"/>
      <c r="BT65" s="1262"/>
      <c r="BU65" s="1262"/>
      <c r="BV65" s="1262"/>
      <c r="BW65" s="1262"/>
      <c r="BX65" s="1262"/>
      <c r="BY65" s="1262"/>
      <c r="BZ65" s="1189"/>
      <c r="CA65" s="1189"/>
      <c r="CB65" s="1482"/>
      <c r="CC65" s="1446"/>
      <c r="CD65" s="1167"/>
      <c r="CE65" s="1167"/>
      <c r="CF65" s="1167"/>
      <c r="CG65" s="1167"/>
      <c r="CH65" s="1167"/>
      <c r="CI65" s="1167"/>
      <c r="CJ65" s="1453"/>
      <c r="CK65" s="1167"/>
      <c r="CL65" s="1198"/>
      <c r="CM65" s="1198"/>
      <c r="CN65" s="1198"/>
      <c r="CO65" s="1198"/>
      <c r="CP65" s="1198"/>
      <c r="CQ65" s="1198"/>
      <c r="CR65" s="1198"/>
      <c r="CS65" s="1198"/>
      <c r="CT65" s="1198"/>
      <c r="CU65" s="1198"/>
      <c r="CV65" s="1198"/>
      <c r="CW65" s="1198"/>
      <c r="CX65" s="1167"/>
      <c r="CY65" s="1167"/>
      <c r="CZ65" s="1167"/>
      <c r="DA65" s="1262"/>
      <c r="DB65" s="1198"/>
      <c r="DC65" s="1198"/>
      <c r="DD65" s="1198"/>
      <c r="DE65" s="1198"/>
      <c r="DF65" s="1167"/>
      <c r="DG65" s="1453"/>
      <c r="DH65" s="1466"/>
      <c r="DI65" s="1198"/>
      <c r="DJ65" s="1198"/>
      <c r="DK65" s="1198"/>
      <c r="DL65" s="1198"/>
      <c r="DM65" s="1198"/>
      <c r="DN65" s="1198"/>
      <c r="DO65" s="1198"/>
      <c r="DP65" s="1198"/>
      <c r="DQ65" s="1198"/>
      <c r="DR65" s="1198"/>
      <c r="DS65" s="1198"/>
      <c r="DT65" s="1198"/>
      <c r="DU65" s="1167"/>
      <c r="DV65" s="1453"/>
      <c r="DW65" s="1466"/>
      <c r="DX65" s="1198"/>
      <c r="DY65" s="1198"/>
      <c r="DZ65" s="1198"/>
      <c r="EA65" s="1198"/>
      <c r="EB65" s="1198"/>
      <c r="EC65" s="1167"/>
      <c r="ED65" s="1453"/>
      <c r="EE65" s="1466"/>
      <c r="EF65" s="1262"/>
      <c r="EG65" s="1262"/>
      <c r="EH65" s="1262"/>
      <c r="EI65" s="1262"/>
      <c r="EJ65" s="1262"/>
      <c r="EK65" s="1262"/>
      <c r="EL65" s="1262"/>
      <c r="EM65" s="1262"/>
      <c r="EN65" s="1198"/>
      <c r="EO65" s="1198"/>
      <c r="EP65" s="1198"/>
      <c r="EQ65" s="1198"/>
      <c r="ER65" s="1475"/>
      <c r="ES65" s="1465"/>
      <c r="ET65" s="1375"/>
      <c r="EU65" s="1167"/>
      <c r="EV65" s="1167"/>
      <c r="EW65" s="1167"/>
      <c r="EX65" s="1167"/>
      <c r="EY65" s="1167"/>
      <c r="EZ65" s="1167"/>
      <c r="FA65" s="1167"/>
      <c r="FB65" s="1466"/>
      <c r="FC65" s="1167"/>
      <c r="FD65" s="1167"/>
      <c r="FE65" s="1167"/>
      <c r="FF65" s="1167"/>
      <c r="FG65" s="1167"/>
      <c r="FH65" s="1167"/>
      <c r="FI65" s="1167"/>
      <c r="FJ65" s="1453"/>
      <c r="FK65" s="1466"/>
      <c r="FL65" s="1167"/>
      <c r="FM65" s="1167"/>
      <c r="FN65" s="1167"/>
      <c r="FO65" s="1167"/>
      <c r="FP65" s="1453"/>
      <c r="FQ65" s="1466"/>
      <c r="FR65" s="1167"/>
      <c r="FS65" s="1167"/>
      <c r="FT65" s="1167"/>
      <c r="FU65" s="1167"/>
      <c r="FV65" s="1167"/>
      <c r="FW65" s="1167"/>
      <c r="FX65" s="1485"/>
      <c r="FY65" s="1167"/>
      <c r="FZ65" s="1167"/>
      <c r="GA65" s="1466"/>
      <c r="GB65" s="1167"/>
      <c r="GC65" s="1167"/>
      <c r="GD65" s="1167"/>
      <c r="GE65" s="1167"/>
      <c r="GF65" s="1167"/>
      <c r="GG65" s="1167"/>
      <c r="GH65" s="1167"/>
      <c r="GI65" s="1167"/>
      <c r="GJ65" s="1167"/>
      <c r="GK65" s="1167"/>
      <c r="GL65" s="1167"/>
      <c r="GM65" s="1167"/>
      <c r="GN65" s="1167"/>
      <c r="GO65" s="1167"/>
      <c r="GP65" s="1167"/>
      <c r="GQ65" s="1167"/>
      <c r="GR65" s="1167"/>
      <c r="GS65" s="1167"/>
      <c r="GT65" s="1167"/>
      <c r="GU65" s="1167"/>
      <c r="GV65" s="1167"/>
      <c r="GW65" s="1167"/>
      <c r="GX65" s="1167"/>
      <c r="GY65" s="1167"/>
      <c r="GZ65" s="1167"/>
      <c r="HA65" s="1167"/>
      <c r="HB65" s="1167"/>
      <c r="HC65" s="1167"/>
      <c r="HD65" s="1167"/>
      <c r="HE65" s="1167"/>
      <c r="HF65" s="1167"/>
      <c r="HG65" s="1167"/>
      <c r="HH65" s="1167"/>
      <c r="HI65" s="1167"/>
      <c r="HJ65" s="1167"/>
      <c r="HK65" s="1167"/>
      <c r="HL65" s="1167"/>
      <c r="HM65" s="1167"/>
      <c r="HN65" s="1167"/>
      <c r="HO65" s="1167"/>
      <c r="HP65" s="1167"/>
      <c r="HQ65" s="1167"/>
    </row>
    <row r="66" customFormat="false" ht="15" hidden="false" customHeight="true" outlineLevel="0" collapsed="false">
      <c r="A66" s="1453"/>
      <c r="B66" s="1167"/>
      <c r="C66" s="1167"/>
      <c r="D66" s="1167"/>
      <c r="E66" s="1453"/>
      <c r="F66" s="1167"/>
      <c r="G66" s="1167"/>
      <c r="H66" s="1167"/>
      <c r="I66" s="1453"/>
      <c r="J66" s="1167"/>
      <c r="K66" s="1167"/>
      <c r="L66" s="1167"/>
      <c r="M66" s="1167"/>
      <c r="N66" s="1167"/>
      <c r="O66" s="1167"/>
      <c r="P66" s="1167"/>
      <c r="Q66" s="1453"/>
      <c r="R66" s="1167"/>
      <c r="S66" s="1198"/>
      <c r="T66" s="1198"/>
      <c r="U66" s="1198"/>
      <c r="V66" s="1198"/>
      <c r="W66" s="1198"/>
      <c r="X66" s="1198"/>
      <c r="Y66" s="1198"/>
      <c r="Z66" s="1198"/>
      <c r="AA66" s="1198"/>
      <c r="AB66" s="1198"/>
      <c r="AC66" s="1198"/>
      <c r="AD66" s="1198"/>
      <c r="AE66" s="1167"/>
      <c r="AF66" s="1453"/>
      <c r="AG66" s="1468"/>
      <c r="AH66" s="1198"/>
      <c r="AI66" s="1198"/>
      <c r="AJ66" s="1198"/>
      <c r="AK66" s="1198"/>
      <c r="AL66" s="1198"/>
      <c r="AM66" s="1198"/>
      <c r="AN66" s="1481"/>
      <c r="AO66" s="1468"/>
      <c r="AP66" s="1198"/>
      <c r="AQ66" s="1198"/>
      <c r="AR66" s="1198"/>
      <c r="AS66" s="1198"/>
      <c r="AT66" s="1198"/>
      <c r="AU66" s="1198"/>
      <c r="AV66" s="1167"/>
      <c r="AW66" s="1167"/>
      <c r="AX66" s="1167"/>
      <c r="AY66" s="1167"/>
      <c r="AZ66" s="1167"/>
      <c r="BA66" s="1167"/>
      <c r="BB66" s="1189"/>
      <c r="BC66" s="1189"/>
      <c r="BD66" s="1189"/>
      <c r="BE66" s="1150"/>
      <c r="BF66" s="1189"/>
      <c r="BG66" s="1189"/>
      <c r="BH66" s="1189"/>
      <c r="BI66" s="1189"/>
      <c r="BJ66" s="1189"/>
      <c r="BK66" s="1189"/>
      <c r="BL66" s="1189"/>
      <c r="BM66" s="1150"/>
      <c r="BN66" s="1262"/>
      <c r="BO66" s="1262"/>
      <c r="BP66" s="1262"/>
      <c r="BQ66" s="1262"/>
      <c r="BR66" s="1262"/>
      <c r="BS66" s="1262"/>
      <c r="BT66" s="1262"/>
      <c r="BU66" s="1262"/>
      <c r="BV66" s="1262"/>
      <c r="BW66" s="1262"/>
      <c r="BX66" s="1262"/>
      <c r="BY66" s="1262"/>
      <c r="BZ66" s="1189"/>
      <c r="CA66" s="1189"/>
      <c r="CB66" s="1482"/>
      <c r="CC66" s="1446"/>
      <c r="CD66" s="1167"/>
      <c r="CE66" s="1167"/>
      <c r="CF66" s="1167"/>
      <c r="CG66" s="1167"/>
      <c r="CH66" s="1167"/>
      <c r="CI66" s="1167"/>
      <c r="CJ66" s="1453"/>
      <c r="CK66" s="1167"/>
      <c r="CL66" s="1198"/>
      <c r="CM66" s="1198"/>
      <c r="CN66" s="1198"/>
      <c r="CO66" s="1198"/>
      <c r="CP66" s="1198"/>
      <c r="CQ66" s="1198"/>
      <c r="CR66" s="1198"/>
      <c r="CS66" s="1198"/>
      <c r="CT66" s="1198"/>
      <c r="CU66" s="1198"/>
      <c r="CV66" s="1198"/>
      <c r="CW66" s="1198"/>
      <c r="CX66" s="1167"/>
      <c r="CY66" s="1167"/>
      <c r="CZ66" s="1167"/>
      <c r="DA66" s="1262"/>
      <c r="DB66" s="1198"/>
      <c r="DC66" s="1198"/>
      <c r="DD66" s="1198"/>
      <c r="DE66" s="1198"/>
      <c r="DF66" s="1167"/>
      <c r="DG66" s="1453"/>
      <c r="DH66" s="1466"/>
      <c r="DI66" s="1198"/>
      <c r="DJ66" s="1198"/>
      <c r="DK66" s="1198"/>
      <c r="DL66" s="1198"/>
      <c r="DM66" s="1198"/>
      <c r="DN66" s="1198"/>
      <c r="DO66" s="1198"/>
      <c r="DP66" s="1198"/>
      <c r="DQ66" s="1198"/>
      <c r="DR66" s="1198"/>
      <c r="DS66" s="1198"/>
      <c r="DT66" s="1198"/>
      <c r="DU66" s="1167"/>
      <c r="DV66" s="1453"/>
      <c r="DW66" s="1466"/>
      <c r="DX66" s="1198"/>
      <c r="DY66" s="1198"/>
      <c r="DZ66" s="1198"/>
      <c r="EA66" s="1198"/>
      <c r="EB66" s="1198"/>
      <c r="EC66" s="1167"/>
      <c r="ED66" s="1453"/>
      <c r="EE66" s="1466"/>
      <c r="EF66" s="1262"/>
      <c r="EG66" s="1262"/>
      <c r="EH66" s="1262"/>
      <c r="EI66" s="1262"/>
      <c r="EJ66" s="1262"/>
      <c r="EK66" s="1262"/>
      <c r="EL66" s="1262"/>
      <c r="EM66" s="1262"/>
      <c r="EN66" s="1198"/>
      <c r="EO66" s="1198"/>
      <c r="EP66" s="1198"/>
      <c r="EQ66" s="1198"/>
      <c r="ER66" s="1475"/>
      <c r="ES66" s="1465"/>
      <c r="ET66" s="1375"/>
      <c r="EU66" s="1167"/>
      <c r="EV66" s="1167"/>
      <c r="EW66" s="1167"/>
      <c r="EX66" s="1167"/>
      <c r="EY66" s="1167"/>
      <c r="EZ66" s="1167"/>
      <c r="FA66" s="1167"/>
      <c r="FB66" s="1466"/>
      <c r="FC66" s="1167"/>
      <c r="FD66" s="1167"/>
      <c r="FE66" s="1167"/>
      <c r="FF66" s="1167"/>
      <c r="FG66" s="1167"/>
      <c r="FH66" s="1167"/>
      <c r="FI66" s="1167"/>
      <c r="FJ66" s="1453"/>
      <c r="FK66" s="1466"/>
      <c r="FL66" s="1167"/>
      <c r="FM66" s="1167"/>
      <c r="FN66" s="1167"/>
      <c r="FO66" s="1167"/>
      <c r="FP66" s="1453"/>
      <c r="FQ66" s="1466"/>
      <c r="FR66" s="1167"/>
      <c r="FS66" s="1167"/>
      <c r="FT66" s="1167"/>
      <c r="FU66" s="1167"/>
      <c r="FV66" s="1167"/>
      <c r="FW66" s="1167"/>
      <c r="FX66" s="1485"/>
      <c r="FY66" s="1167"/>
      <c r="FZ66" s="1167"/>
      <c r="GA66" s="1466"/>
      <c r="GB66" s="1167"/>
      <c r="GC66" s="1167"/>
      <c r="GD66" s="1167"/>
      <c r="GE66" s="1167"/>
      <c r="GF66" s="1167"/>
      <c r="GG66" s="1167"/>
      <c r="GH66" s="1167"/>
      <c r="GI66" s="1167"/>
      <c r="GJ66" s="1167"/>
      <c r="GK66" s="1167"/>
      <c r="GL66" s="1167"/>
      <c r="GM66" s="1167"/>
      <c r="GN66" s="1167"/>
      <c r="GO66" s="1167"/>
      <c r="GP66" s="1167"/>
      <c r="GQ66" s="1167"/>
      <c r="GR66" s="1167"/>
      <c r="GS66" s="1167"/>
      <c r="GT66" s="1167"/>
      <c r="GU66" s="1167"/>
      <c r="GV66" s="1167"/>
      <c r="GW66" s="1167"/>
      <c r="GX66" s="1167"/>
      <c r="GY66" s="1167"/>
      <c r="GZ66" s="1167"/>
      <c r="HA66" s="1167"/>
      <c r="HB66" s="1167"/>
      <c r="HC66" s="1167"/>
      <c r="HD66" s="1167"/>
      <c r="HE66" s="1167"/>
      <c r="HF66" s="1167"/>
      <c r="HG66" s="1167"/>
      <c r="HH66" s="1167"/>
      <c r="HI66" s="1167"/>
      <c r="HJ66" s="1167"/>
      <c r="HK66" s="1167"/>
      <c r="HL66" s="1167"/>
      <c r="HM66" s="1167"/>
      <c r="HN66" s="1167"/>
      <c r="HO66" s="1167"/>
      <c r="HP66" s="1167"/>
      <c r="HQ66" s="1167"/>
    </row>
    <row r="67" customFormat="false" ht="15" hidden="false" customHeight="true" outlineLevel="0" collapsed="false">
      <c r="A67" s="1453"/>
      <c r="B67" s="1167"/>
      <c r="C67" s="1167"/>
      <c r="D67" s="1167"/>
      <c r="E67" s="1453"/>
      <c r="F67" s="1167"/>
      <c r="G67" s="1167"/>
      <c r="H67" s="1167"/>
      <c r="I67" s="1453"/>
      <c r="J67" s="1167"/>
      <c r="K67" s="1167"/>
      <c r="L67" s="1167"/>
      <c r="M67" s="1167"/>
      <c r="N67" s="1167"/>
      <c r="O67" s="1167"/>
      <c r="P67" s="1167"/>
      <c r="Q67" s="1453"/>
      <c r="R67" s="1167"/>
      <c r="S67" s="1198"/>
      <c r="T67" s="1198"/>
      <c r="U67" s="1198"/>
      <c r="V67" s="1198"/>
      <c r="W67" s="1198"/>
      <c r="X67" s="1198"/>
      <c r="Y67" s="1198"/>
      <c r="Z67" s="1198"/>
      <c r="AA67" s="1198"/>
      <c r="AB67" s="1198"/>
      <c r="AC67" s="1198"/>
      <c r="AD67" s="1198"/>
      <c r="AE67" s="1167"/>
      <c r="AF67" s="1453"/>
      <c r="AG67" s="1468"/>
      <c r="AH67" s="1198"/>
      <c r="AI67" s="1198"/>
      <c r="AJ67" s="1198"/>
      <c r="AK67" s="1198"/>
      <c r="AL67" s="1198"/>
      <c r="AM67" s="1198"/>
      <c r="AN67" s="1481"/>
      <c r="AO67" s="1468"/>
      <c r="AP67" s="1198"/>
      <c r="AQ67" s="1198"/>
      <c r="AR67" s="1198"/>
      <c r="AS67" s="1198"/>
      <c r="AT67" s="1198"/>
      <c r="AU67" s="1198"/>
      <c r="AV67" s="1167"/>
      <c r="AW67" s="1167"/>
      <c r="AX67" s="1167"/>
      <c r="AY67" s="1167"/>
      <c r="AZ67" s="1167"/>
      <c r="BA67" s="1167"/>
      <c r="BB67" s="1189"/>
      <c r="BC67" s="1189"/>
      <c r="BD67" s="1189"/>
      <c r="BE67" s="1150"/>
      <c r="BF67" s="1189"/>
      <c r="BG67" s="1189"/>
      <c r="BH67" s="1189"/>
      <c r="BI67" s="1189"/>
      <c r="BJ67" s="1189"/>
      <c r="BK67" s="1189"/>
      <c r="BL67" s="1189"/>
      <c r="BM67" s="1150"/>
      <c r="BN67" s="1262"/>
      <c r="BO67" s="1262"/>
      <c r="BP67" s="1262"/>
      <c r="BQ67" s="1262"/>
      <c r="BR67" s="1262"/>
      <c r="BS67" s="1262"/>
      <c r="BT67" s="1262"/>
      <c r="BU67" s="1262"/>
      <c r="BV67" s="1262"/>
      <c r="BW67" s="1262"/>
      <c r="BX67" s="1262"/>
      <c r="BY67" s="1262"/>
      <c r="BZ67" s="1189"/>
      <c r="CA67" s="1189"/>
      <c r="CB67" s="1482"/>
      <c r="CC67" s="1446"/>
      <c r="CD67" s="1167"/>
      <c r="CE67" s="1167"/>
      <c r="CF67" s="1167"/>
      <c r="CG67" s="1167"/>
      <c r="CH67" s="1167"/>
      <c r="CI67" s="1167"/>
      <c r="CJ67" s="1453"/>
      <c r="CK67" s="1167"/>
      <c r="CL67" s="1198"/>
      <c r="CM67" s="1198"/>
      <c r="CN67" s="1198"/>
      <c r="CO67" s="1198"/>
      <c r="CP67" s="1198"/>
      <c r="CQ67" s="1198"/>
      <c r="CR67" s="1198"/>
      <c r="CS67" s="1198"/>
      <c r="CT67" s="1198"/>
      <c r="CU67" s="1198"/>
      <c r="CV67" s="1198"/>
      <c r="CW67" s="1198"/>
      <c r="CX67" s="1167"/>
      <c r="CY67" s="1167"/>
      <c r="CZ67" s="1167"/>
      <c r="DA67" s="1262"/>
      <c r="DB67" s="1198"/>
      <c r="DC67" s="1198"/>
      <c r="DD67" s="1198"/>
      <c r="DE67" s="1198"/>
      <c r="DF67" s="1167"/>
      <c r="DG67" s="1453"/>
      <c r="DH67" s="1466"/>
      <c r="DI67" s="1198"/>
      <c r="DJ67" s="1198"/>
      <c r="DK67" s="1198"/>
      <c r="DL67" s="1198"/>
      <c r="DM67" s="1198"/>
      <c r="DN67" s="1198"/>
      <c r="DO67" s="1198"/>
      <c r="DP67" s="1198"/>
      <c r="DQ67" s="1198"/>
      <c r="DR67" s="1198"/>
      <c r="DS67" s="1198"/>
      <c r="DT67" s="1198"/>
      <c r="DU67" s="1167"/>
      <c r="DV67" s="1453"/>
      <c r="DW67" s="1466"/>
      <c r="DX67" s="1198"/>
      <c r="DY67" s="1198"/>
      <c r="DZ67" s="1198"/>
      <c r="EA67" s="1198"/>
      <c r="EB67" s="1198"/>
      <c r="EC67" s="1167"/>
      <c r="ED67" s="1453"/>
      <c r="EE67" s="1466"/>
      <c r="EF67" s="1262"/>
      <c r="EG67" s="1262"/>
      <c r="EH67" s="1262"/>
      <c r="EI67" s="1262"/>
      <c r="EJ67" s="1262"/>
      <c r="EK67" s="1262"/>
      <c r="EL67" s="1262"/>
      <c r="EM67" s="1262"/>
      <c r="EN67" s="1198"/>
      <c r="EO67" s="1198"/>
      <c r="EP67" s="1198"/>
      <c r="EQ67" s="1198"/>
      <c r="ER67" s="1475"/>
      <c r="ES67" s="1465"/>
      <c r="ET67" s="1375"/>
      <c r="EU67" s="1167"/>
      <c r="EV67" s="1167"/>
      <c r="EW67" s="1167"/>
      <c r="EX67" s="1167"/>
      <c r="EY67" s="1167"/>
      <c r="EZ67" s="1167"/>
      <c r="FA67" s="1167"/>
      <c r="FB67" s="1466"/>
      <c r="FC67" s="1167"/>
      <c r="FD67" s="1167"/>
      <c r="FE67" s="1167"/>
      <c r="FF67" s="1167"/>
      <c r="FG67" s="1167"/>
      <c r="FH67" s="1167"/>
      <c r="FI67" s="1167"/>
      <c r="FJ67" s="1453"/>
      <c r="FK67" s="1466"/>
      <c r="FL67" s="1167"/>
      <c r="FM67" s="1167"/>
      <c r="FN67" s="1167"/>
      <c r="FO67" s="1167"/>
      <c r="FP67" s="1453"/>
      <c r="FQ67" s="1466"/>
      <c r="FR67" s="1167"/>
      <c r="FS67" s="1167"/>
      <c r="FT67" s="1167"/>
      <c r="FU67" s="1167"/>
      <c r="FV67" s="1167"/>
      <c r="FW67" s="1167"/>
      <c r="FX67" s="1485"/>
      <c r="FY67" s="1167"/>
      <c r="FZ67" s="1167"/>
      <c r="GA67" s="1466"/>
      <c r="GB67" s="1167"/>
      <c r="GC67" s="1167"/>
      <c r="GD67" s="1167"/>
      <c r="GE67" s="1167"/>
      <c r="GF67" s="1167"/>
      <c r="GG67" s="1167"/>
      <c r="GH67" s="1167"/>
      <c r="GI67" s="1167"/>
      <c r="GJ67" s="1167"/>
      <c r="GK67" s="1167"/>
      <c r="GL67" s="1167"/>
      <c r="GM67" s="1167"/>
      <c r="GN67" s="1167"/>
      <c r="GO67" s="1167"/>
      <c r="GP67" s="1167"/>
      <c r="GQ67" s="1167"/>
      <c r="GR67" s="1167"/>
      <c r="GS67" s="1167"/>
      <c r="GT67" s="1167"/>
      <c r="GU67" s="1167"/>
      <c r="GV67" s="1167"/>
      <c r="GW67" s="1167"/>
      <c r="GX67" s="1167"/>
      <c r="GY67" s="1167"/>
      <c r="GZ67" s="1167"/>
      <c r="HA67" s="1167"/>
      <c r="HB67" s="1167"/>
      <c r="HC67" s="1167"/>
      <c r="HD67" s="1167"/>
      <c r="HE67" s="1167"/>
      <c r="HF67" s="1167"/>
      <c r="HG67" s="1167"/>
      <c r="HH67" s="1167"/>
      <c r="HI67" s="1167"/>
      <c r="HJ67" s="1167"/>
      <c r="HK67" s="1167"/>
      <c r="HL67" s="1167"/>
      <c r="HM67" s="1167"/>
      <c r="HN67" s="1167"/>
      <c r="HO67" s="1167"/>
      <c r="HP67" s="1167"/>
      <c r="HQ67" s="1167"/>
    </row>
    <row r="68" customFormat="false" ht="15" hidden="false" customHeight="true" outlineLevel="0" collapsed="false">
      <c r="A68" s="1453"/>
      <c r="B68" s="1167"/>
      <c r="C68" s="1167"/>
      <c r="D68" s="1167"/>
      <c r="E68" s="1453"/>
      <c r="F68" s="1167"/>
      <c r="G68" s="1167"/>
      <c r="H68" s="1167"/>
      <c r="I68" s="1453"/>
      <c r="J68" s="1167"/>
      <c r="K68" s="1167"/>
      <c r="L68" s="1167"/>
      <c r="M68" s="1167"/>
      <c r="N68" s="1167"/>
      <c r="O68" s="1167"/>
      <c r="P68" s="1167"/>
      <c r="Q68" s="1453"/>
      <c r="R68" s="1167"/>
      <c r="S68" s="1198"/>
      <c r="T68" s="1198"/>
      <c r="U68" s="1198"/>
      <c r="V68" s="1198"/>
      <c r="W68" s="1198"/>
      <c r="X68" s="1198"/>
      <c r="Y68" s="1198"/>
      <c r="Z68" s="1198"/>
      <c r="AA68" s="1198"/>
      <c r="AB68" s="1198"/>
      <c r="AC68" s="1198"/>
      <c r="AD68" s="1198"/>
      <c r="AE68" s="1167"/>
      <c r="AF68" s="1453"/>
      <c r="AG68" s="1468"/>
      <c r="AH68" s="1198"/>
      <c r="AI68" s="1198"/>
      <c r="AJ68" s="1198"/>
      <c r="AK68" s="1198"/>
      <c r="AL68" s="1198"/>
      <c r="AM68" s="1198"/>
      <c r="AN68" s="1481"/>
      <c r="AO68" s="1468"/>
      <c r="AP68" s="1198"/>
      <c r="AQ68" s="1198"/>
      <c r="AR68" s="1198"/>
      <c r="AS68" s="1198"/>
      <c r="AT68" s="1198"/>
      <c r="AU68" s="1198"/>
      <c r="AV68" s="1167"/>
      <c r="AW68" s="1167"/>
      <c r="AX68" s="1167"/>
      <c r="AY68" s="1167"/>
      <c r="AZ68" s="1167"/>
      <c r="BA68" s="1167"/>
      <c r="BB68" s="1189"/>
      <c r="BC68" s="1189"/>
      <c r="BD68" s="1189"/>
      <c r="BE68" s="1150"/>
      <c r="BF68" s="1189"/>
      <c r="BG68" s="1189"/>
      <c r="BH68" s="1189"/>
      <c r="BI68" s="1189"/>
      <c r="BJ68" s="1189"/>
      <c r="BK68" s="1189"/>
      <c r="BL68" s="1189"/>
      <c r="BM68" s="1150"/>
      <c r="BN68" s="1262"/>
      <c r="BO68" s="1262"/>
      <c r="BP68" s="1262"/>
      <c r="BQ68" s="1262"/>
      <c r="BR68" s="1262"/>
      <c r="BS68" s="1262"/>
      <c r="BT68" s="1262"/>
      <c r="BU68" s="1262"/>
      <c r="BV68" s="1262"/>
      <c r="BW68" s="1262"/>
      <c r="BX68" s="1262"/>
      <c r="BY68" s="1262"/>
      <c r="BZ68" s="1189"/>
      <c r="CA68" s="1189"/>
      <c r="CB68" s="1482"/>
      <c r="CC68" s="1446"/>
      <c r="CD68" s="1167"/>
      <c r="CE68" s="1167"/>
      <c r="CF68" s="1167"/>
      <c r="CG68" s="1167"/>
      <c r="CH68" s="1167"/>
      <c r="CI68" s="1167"/>
      <c r="CJ68" s="1453"/>
      <c r="CK68" s="1167"/>
      <c r="CL68" s="1198"/>
      <c r="CM68" s="1198"/>
      <c r="CN68" s="1198"/>
      <c r="CO68" s="1198"/>
      <c r="CP68" s="1198"/>
      <c r="CQ68" s="1198"/>
      <c r="CR68" s="1198"/>
      <c r="CS68" s="1198"/>
      <c r="CT68" s="1198"/>
      <c r="CU68" s="1198"/>
      <c r="CV68" s="1198"/>
      <c r="CW68" s="1198"/>
      <c r="CX68" s="1167"/>
      <c r="CY68" s="1167"/>
      <c r="CZ68" s="1167"/>
      <c r="DA68" s="1262"/>
      <c r="DB68" s="1198"/>
      <c r="DC68" s="1198"/>
      <c r="DD68" s="1198"/>
      <c r="DE68" s="1198"/>
      <c r="DF68" s="1167"/>
      <c r="DG68" s="1453"/>
      <c r="DH68" s="1466"/>
      <c r="DI68" s="1198"/>
      <c r="DJ68" s="1198"/>
      <c r="DK68" s="1198"/>
      <c r="DL68" s="1198"/>
      <c r="DM68" s="1198"/>
      <c r="DN68" s="1198"/>
      <c r="DO68" s="1198"/>
      <c r="DP68" s="1198"/>
      <c r="DQ68" s="1198"/>
      <c r="DR68" s="1198"/>
      <c r="DS68" s="1198"/>
      <c r="DT68" s="1198"/>
      <c r="DU68" s="1167"/>
      <c r="DV68" s="1453"/>
      <c r="DW68" s="1466"/>
      <c r="DX68" s="1198"/>
      <c r="DY68" s="1198"/>
      <c r="DZ68" s="1198"/>
      <c r="EA68" s="1198"/>
      <c r="EB68" s="1198"/>
      <c r="EC68" s="1167"/>
      <c r="ED68" s="1453"/>
      <c r="EE68" s="1466"/>
      <c r="EF68" s="1262"/>
      <c r="EG68" s="1262"/>
      <c r="EH68" s="1262"/>
      <c r="EI68" s="1262"/>
      <c r="EJ68" s="1262"/>
      <c r="EK68" s="1262"/>
      <c r="EL68" s="1262"/>
      <c r="EM68" s="1262"/>
      <c r="EN68" s="1198"/>
      <c r="EO68" s="1198"/>
      <c r="EP68" s="1198"/>
      <c r="EQ68" s="1198"/>
      <c r="ER68" s="1475"/>
      <c r="ES68" s="1465"/>
      <c r="ET68" s="1375"/>
      <c r="EU68" s="1167"/>
      <c r="EV68" s="1167"/>
      <c r="EW68" s="1167"/>
      <c r="EX68" s="1167"/>
      <c r="EY68" s="1167"/>
      <c r="EZ68" s="1167"/>
      <c r="FA68" s="1167"/>
      <c r="FB68" s="1466"/>
      <c r="FC68" s="1167"/>
      <c r="FD68" s="1167"/>
      <c r="FE68" s="1167"/>
      <c r="FF68" s="1167"/>
      <c r="FG68" s="1167"/>
      <c r="FH68" s="1167"/>
      <c r="FI68" s="1167"/>
      <c r="FJ68" s="1453"/>
      <c r="FK68" s="1466"/>
      <c r="FL68" s="1167"/>
      <c r="FM68" s="1167"/>
      <c r="FN68" s="1167"/>
      <c r="FO68" s="1167"/>
      <c r="FP68" s="1453"/>
      <c r="FQ68" s="1466"/>
      <c r="FR68" s="1167"/>
      <c r="FS68" s="1167"/>
      <c r="FT68" s="1167"/>
      <c r="FU68" s="1167"/>
      <c r="FV68" s="1167"/>
      <c r="FW68" s="1167"/>
      <c r="FX68" s="1485"/>
      <c r="FY68" s="1167"/>
      <c r="FZ68" s="1167"/>
      <c r="GA68" s="1466"/>
      <c r="GB68" s="1167"/>
      <c r="GC68" s="1167"/>
      <c r="GD68" s="1167"/>
      <c r="GE68" s="1167"/>
      <c r="GF68" s="1167"/>
      <c r="GG68" s="1167"/>
      <c r="GH68" s="1167"/>
      <c r="GI68" s="1167"/>
      <c r="GJ68" s="1167"/>
      <c r="GK68" s="1167"/>
      <c r="GL68" s="1167"/>
      <c r="GM68" s="1167"/>
      <c r="GN68" s="1167"/>
      <c r="GO68" s="1167"/>
      <c r="GP68" s="1167"/>
      <c r="GQ68" s="1167"/>
      <c r="GR68" s="1167"/>
      <c r="GS68" s="1167"/>
      <c r="GT68" s="1167"/>
      <c r="GU68" s="1167"/>
      <c r="GV68" s="1167"/>
      <c r="GW68" s="1167"/>
      <c r="GX68" s="1167"/>
      <c r="GY68" s="1167"/>
      <c r="GZ68" s="1167"/>
      <c r="HA68" s="1167"/>
      <c r="HB68" s="1167"/>
      <c r="HC68" s="1167"/>
      <c r="HD68" s="1167"/>
      <c r="HE68" s="1167"/>
      <c r="HF68" s="1167"/>
      <c r="HG68" s="1167"/>
      <c r="HH68" s="1167"/>
      <c r="HI68" s="1167"/>
      <c r="HJ68" s="1167"/>
      <c r="HK68" s="1167"/>
      <c r="HL68" s="1167"/>
      <c r="HM68" s="1167"/>
      <c r="HN68" s="1167"/>
      <c r="HO68" s="1167"/>
      <c r="HP68" s="1167"/>
      <c r="HQ68" s="1167"/>
    </row>
    <row r="69" customFormat="false" ht="15" hidden="false" customHeight="true" outlineLevel="0" collapsed="false">
      <c r="A69" s="1453"/>
      <c r="B69" s="1167"/>
      <c r="C69" s="1167"/>
      <c r="D69" s="1167"/>
      <c r="E69" s="1453"/>
      <c r="F69" s="1167"/>
      <c r="G69" s="1167"/>
      <c r="H69" s="1167"/>
      <c r="I69" s="1453"/>
      <c r="J69" s="1167"/>
      <c r="K69" s="1167"/>
      <c r="L69" s="1167"/>
      <c r="M69" s="1167"/>
      <c r="N69" s="1167"/>
      <c r="O69" s="1167"/>
      <c r="P69" s="1167"/>
      <c r="Q69" s="1453"/>
      <c r="R69" s="1167"/>
      <c r="S69" s="1198"/>
      <c r="T69" s="1198"/>
      <c r="U69" s="1198"/>
      <c r="V69" s="1198"/>
      <c r="W69" s="1198"/>
      <c r="X69" s="1198"/>
      <c r="Y69" s="1198"/>
      <c r="Z69" s="1198"/>
      <c r="AA69" s="1198"/>
      <c r="AB69" s="1198"/>
      <c r="AC69" s="1198"/>
      <c r="AD69" s="1198"/>
      <c r="AE69" s="1167"/>
      <c r="AF69" s="1453"/>
      <c r="AG69" s="1468"/>
      <c r="AH69" s="1198"/>
      <c r="AI69" s="1198"/>
      <c r="AJ69" s="1198"/>
      <c r="AK69" s="1198"/>
      <c r="AL69" s="1198"/>
      <c r="AM69" s="1198"/>
      <c r="AN69" s="1481"/>
      <c r="AO69" s="1468"/>
      <c r="AP69" s="1198"/>
      <c r="AQ69" s="1198"/>
      <c r="AR69" s="1198"/>
      <c r="AS69" s="1198"/>
      <c r="AT69" s="1198"/>
      <c r="AU69" s="1198"/>
      <c r="AV69" s="1167"/>
      <c r="AW69" s="1167"/>
      <c r="AX69" s="1167"/>
      <c r="AY69" s="1167"/>
      <c r="AZ69" s="1167"/>
      <c r="BA69" s="1167"/>
      <c r="BB69" s="1189"/>
      <c r="BC69" s="1189"/>
      <c r="BD69" s="1189"/>
      <c r="BE69" s="1150"/>
      <c r="BF69" s="1189"/>
      <c r="BG69" s="1189"/>
      <c r="BH69" s="1189"/>
      <c r="BI69" s="1189"/>
      <c r="BJ69" s="1189"/>
      <c r="BK69" s="1189"/>
      <c r="BL69" s="1189"/>
      <c r="BM69" s="1150"/>
      <c r="BN69" s="1262"/>
      <c r="BO69" s="1262"/>
      <c r="BP69" s="1262"/>
      <c r="BQ69" s="1262"/>
      <c r="BR69" s="1262"/>
      <c r="BS69" s="1262"/>
      <c r="BT69" s="1262"/>
      <c r="BU69" s="1262"/>
      <c r="BV69" s="1262"/>
      <c r="BW69" s="1262"/>
      <c r="BX69" s="1262"/>
      <c r="BY69" s="1262"/>
      <c r="BZ69" s="1189"/>
      <c r="CA69" s="1189"/>
      <c r="CB69" s="1482"/>
      <c r="CC69" s="1446"/>
      <c r="CD69" s="1167"/>
      <c r="CE69" s="1167"/>
      <c r="CF69" s="1167"/>
      <c r="CG69" s="1167"/>
      <c r="CH69" s="1167"/>
      <c r="CI69" s="1167"/>
      <c r="CJ69" s="1453"/>
      <c r="CK69" s="1167"/>
      <c r="CL69" s="1198"/>
      <c r="CM69" s="1198"/>
      <c r="CN69" s="1198"/>
      <c r="CO69" s="1198"/>
      <c r="CP69" s="1198"/>
      <c r="CQ69" s="1198"/>
      <c r="CR69" s="1198"/>
      <c r="CS69" s="1198"/>
      <c r="CT69" s="1198"/>
      <c r="CU69" s="1198"/>
      <c r="CV69" s="1198"/>
      <c r="CW69" s="1198"/>
      <c r="CX69" s="1167"/>
      <c r="CY69" s="1167"/>
      <c r="CZ69" s="1167"/>
      <c r="DA69" s="1262"/>
      <c r="DB69" s="1198"/>
      <c r="DC69" s="1198"/>
      <c r="DD69" s="1198"/>
      <c r="DE69" s="1198"/>
      <c r="DF69" s="1167"/>
      <c r="DG69" s="1453"/>
      <c r="DH69" s="1466"/>
      <c r="DI69" s="1198"/>
      <c r="DJ69" s="1198"/>
      <c r="DK69" s="1198"/>
      <c r="DL69" s="1198"/>
      <c r="DM69" s="1198"/>
      <c r="DN69" s="1198"/>
      <c r="DO69" s="1198"/>
      <c r="DP69" s="1198"/>
      <c r="DQ69" s="1198"/>
      <c r="DR69" s="1198"/>
      <c r="DS69" s="1198"/>
      <c r="DT69" s="1198"/>
      <c r="DU69" s="1167"/>
      <c r="DV69" s="1453"/>
      <c r="DW69" s="1466"/>
      <c r="DX69" s="1198"/>
      <c r="DY69" s="1198"/>
      <c r="DZ69" s="1198"/>
      <c r="EA69" s="1198"/>
      <c r="EB69" s="1198"/>
      <c r="EC69" s="1167"/>
      <c r="ED69" s="1453"/>
      <c r="EE69" s="1466"/>
      <c r="EF69" s="1262"/>
      <c r="EG69" s="1262"/>
      <c r="EH69" s="1262"/>
      <c r="EI69" s="1262"/>
      <c r="EJ69" s="1262"/>
      <c r="EK69" s="1262"/>
      <c r="EL69" s="1262"/>
      <c r="EM69" s="1262"/>
      <c r="EN69" s="1198"/>
      <c r="EO69" s="1198"/>
      <c r="EP69" s="1198"/>
      <c r="EQ69" s="1198"/>
      <c r="ER69" s="1475"/>
      <c r="ES69" s="1465"/>
      <c r="ET69" s="1375"/>
      <c r="EU69" s="1167"/>
      <c r="EV69" s="1167"/>
      <c r="EW69" s="1167"/>
      <c r="EX69" s="1167"/>
      <c r="EY69" s="1167"/>
      <c r="EZ69" s="1167"/>
      <c r="FA69" s="1167"/>
      <c r="FB69" s="1466"/>
      <c r="FC69" s="1167"/>
      <c r="FD69" s="1167"/>
      <c r="FE69" s="1167"/>
      <c r="FF69" s="1167"/>
      <c r="FG69" s="1167"/>
      <c r="FH69" s="1167"/>
      <c r="FI69" s="1167"/>
      <c r="FJ69" s="1453"/>
      <c r="FK69" s="1466"/>
      <c r="FL69" s="1167"/>
      <c r="FM69" s="1167"/>
      <c r="FN69" s="1167"/>
      <c r="FO69" s="1167"/>
      <c r="FP69" s="1453"/>
      <c r="FQ69" s="1466"/>
      <c r="FR69" s="1167"/>
      <c r="FS69" s="1167"/>
      <c r="FT69" s="1167"/>
      <c r="FU69" s="1167"/>
      <c r="FV69" s="1167"/>
      <c r="FW69" s="1167"/>
      <c r="FX69" s="1485"/>
      <c r="FY69" s="1167"/>
      <c r="FZ69" s="1167"/>
      <c r="GA69" s="1466"/>
      <c r="GB69" s="1167"/>
      <c r="GC69" s="1167"/>
      <c r="GD69" s="1167"/>
      <c r="GE69" s="1167"/>
      <c r="GF69" s="1167"/>
      <c r="GG69" s="1167"/>
      <c r="GH69" s="1167"/>
      <c r="GI69" s="1167"/>
      <c r="GJ69" s="1167"/>
      <c r="GK69" s="1167"/>
      <c r="GL69" s="1167"/>
      <c r="GM69" s="1167"/>
      <c r="GN69" s="1167"/>
      <c r="GO69" s="1167"/>
      <c r="GP69" s="1167"/>
      <c r="GQ69" s="1167"/>
      <c r="GR69" s="1167"/>
      <c r="GS69" s="1167"/>
      <c r="GT69" s="1167"/>
      <c r="GU69" s="1167"/>
      <c r="GV69" s="1167"/>
      <c r="GW69" s="1167"/>
      <c r="GX69" s="1167"/>
      <c r="GY69" s="1167"/>
      <c r="GZ69" s="1167"/>
      <c r="HA69" s="1167"/>
      <c r="HB69" s="1167"/>
      <c r="HC69" s="1167"/>
      <c r="HD69" s="1167"/>
      <c r="HE69" s="1167"/>
      <c r="HF69" s="1167"/>
      <c r="HG69" s="1167"/>
      <c r="HH69" s="1167"/>
      <c r="HI69" s="1167"/>
      <c r="HJ69" s="1167"/>
      <c r="HK69" s="1167"/>
      <c r="HL69" s="1167"/>
      <c r="HM69" s="1167"/>
      <c r="HN69" s="1167"/>
      <c r="HO69" s="1167"/>
      <c r="HP69" s="1167"/>
      <c r="HQ69" s="1167"/>
    </row>
    <row r="70" customFormat="false" ht="15" hidden="false" customHeight="true" outlineLevel="0" collapsed="false">
      <c r="A70" s="1453"/>
      <c r="B70" s="1167"/>
      <c r="C70" s="1167"/>
      <c r="D70" s="1167"/>
      <c r="E70" s="1453"/>
      <c r="F70" s="1167"/>
      <c r="G70" s="1167"/>
      <c r="H70" s="1167"/>
      <c r="I70" s="1453"/>
      <c r="J70" s="1167"/>
      <c r="K70" s="1167"/>
      <c r="L70" s="1167"/>
      <c r="M70" s="1167"/>
      <c r="N70" s="1167"/>
      <c r="O70" s="1167"/>
      <c r="P70" s="1167"/>
      <c r="Q70" s="1453"/>
      <c r="R70" s="1167"/>
      <c r="S70" s="1198"/>
      <c r="T70" s="1198"/>
      <c r="U70" s="1198"/>
      <c r="V70" s="1198"/>
      <c r="W70" s="1198"/>
      <c r="X70" s="1198"/>
      <c r="Y70" s="1198"/>
      <c r="Z70" s="1198"/>
      <c r="AA70" s="1198"/>
      <c r="AB70" s="1198"/>
      <c r="AC70" s="1198"/>
      <c r="AD70" s="1198"/>
      <c r="AE70" s="1167"/>
      <c r="AF70" s="1453"/>
      <c r="AG70" s="1468"/>
      <c r="AH70" s="1198"/>
      <c r="AI70" s="1198"/>
      <c r="AJ70" s="1198"/>
      <c r="AK70" s="1198"/>
      <c r="AL70" s="1198"/>
      <c r="AM70" s="1198"/>
      <c r="AN70" s="1481"/>
      <c r="AO70" s="1468"/>
      <c r="AP70" s="1198"/>
      <c r="AQ70" s="1198"/>
      <c r="AR70" s="1198"/>
      <c r="AS70" s="1198"/>
      <c r="AT70" s="1198"/>
      <c r="AU70" s="1198"/>
      <c r="AV70" s="1167"/>
      <c r="AW70" s="1167"/>
      <c r="AX70" s="1167"/>
      <c r="AY70" s="1167"/>
      <c r="AZ70" s="1167"/>
      <c r="BA70" s="1167"/>
      <c r="BB70" s="1189"/>
      <c r="BC70" s="1189"/>
      <c r="BD70" s="1189"/>
      <c r="BE70" s="1150"/>
      <c r="BF70" s="1189"/>
      <c r="BG70" s="1189"/>
      <c r="BH70" s="1189"/>
      <c r="BI70" s="1189"/>
      <c r="BJ70" s="1189"/>
      <c r="BK70" s="1189"/>
      <c r="BL70" s="1189"/>
      <c r="BM70" s="1150"/>
      <c r="BN70" s="1262"/>
      <c r="BO70" s="1262"/>
      <c r="BP70" s="1262"/>
      <c r="BQ70" s="1262"/>
      <c r="BR70" s="1262"/>
      <c r="BS70" s="1262"/>
      <c r="BT70" s="1262"/>
      <c r="BU70" s="1262"/>
      <c r="BV70" s="1262"/>
      <c r="BW70" s="1262"/>
      <c r="BX70" s="1262"/>
      <c r="BY70" s="1262"/>
      <c r="BZ70" s="1189"/>
      <c r="CA70" s="1189"/>
      <c r="CB70" s="1482"/>
      <c r="CC70" s="1446"/>
      <c r="CD70" s="1167"/>
      <c r="CE70" s="1167"/>
      <c r="CF70" s="1167"/>
      <c r="CG70" s="1167"/>
      <c r="CH70" s="1167"/>
      <c r="CI70" s="1167"/>
      <c r="CJ70" s="1453"/>
      <c r="CK70" s="1167"/>
      <c r="CL70" s="1198"/>
      <c r="CM70" s="1198"/>
      <c r="CN70" s="1198"/>
      <c r="CO70" s="1198"/>
      <c r="CP70" s="1198"/>
      <c r="CQ70" s="1198"/>
      <c r="CR70" s="1198"/>
      <c r="CS70" s="1198"/>
      <c r="CT70" s="1198"/>
      <c r="CU70" s="1198"/>
      <c r="CV70" s="1198"/>
      <c r="CW70" s="1198"/>
      <c r="CX70" s="1167"/>
      <c r="CY70" s="1167"/>
      <c r="CZ70" s="1167"/>
      <c r="DA70" s="1262"/>
      <c r="DB70" s="1198"/>
      <c r="DC70" s="1198"/>
      <c r="DD70" s="1198"/>
      <c r="DE70" s="1198"/>
      <c r="DF70" s="1167"/>
      <c r="DG70" s="1453"/>
      <c r="DH70" s="1466"/>
      <c r="DI70" s="1198"/>
      <c r="DJ70" s="1198"/>
      <c r="DK70" s="1198"/>
      <c r="DL70" s="1198"/>
      <c r="DM70" s="1198"/>
      <c r="DN70" s="1198"/>
      <c r="DO70" s="1198"/>
      <c r="DP70" s="1198"/>
      <c r="DQ70" s="1198"/>
      <c r="DR70" s="1198"/>
      <c r="DS70" s="1198"/>
      <c r="DT70" s="1198"/>
      <c r="DU70" s="1167"/>
      <c r="DV70" s="1453"/>
      <c r="DW70" s="1466"/>
      <c r="DX70" s="1198"/>
      <c r="DY70" s="1198"/>
      <c r="DZ70" s="1198"/>
      <c r="EA70" s="1198"/>
      <c r="EB70" s="1198"/>
      <c r="EC70" s="1167"/>
      <c r="ED70" s="1453"/>
      <c r="EE70" s="1466"/>
      <c r="EF70" s="1262"/>
      <c r="EG70" s="1262"/>
      <c r="EH70" s="1262"/>
      <c r="EI70" s="1262"/>
      <c r="EJ70" s="1262"/>
      <c r="EK70" s="1262"/>
      <c r="EL70" s="1262"/>
      <c r="EM70" s="1262"/>
      <c r="EN70" s="1198"/>
      <c r="EO70" s="1198"/>
      <c r="EP70" s="1198"/>
      <c r="EQ70" s="1198"/>
      <c r="ER70" s="1475"/>
      <c r="ES70" s="1465"/>
      <c r="ET70" s="1375"/>
      <c r="EU70" s="1167"/>
      <c r="EV70" s="1167"/>
      <c r="EW70" s="1167"/>
      <c r="EX70" s="1167"/>
      <c r="EY70" s="1167"/>
      <c r="EZ70" s="1167"/>
      <c r="FA70" s="1167"/>
      <c r="FB70" s="1466"/>
      <c r="FC70" s="1167"/>
      <c r="FD70" s="1167"/>
      <c r="FE70" s="1167"/>
      <c r="FF70" s="1167"/>
      <c r="FG70" s="1167"/>
      <c r="FH70" s="1167"/>
      <c r="FI70" s="1167"/>
      <c r="FJ70" s="1453"/>
      <c r="FK70" s="1466"/>
      <c r="FL70" s="1167"/>
      <c r="FM70" s="1167"/>
      <c r="FN70" s="1167"/>
      <c r="FO70" s="1167"/>
      <c r="FP70" s="1453"/>
      <c r="FQ70" s="1466"/>
      <c r="FR70" s="1167"/>
      <c r="FS70" s="1167"/>
      <c r="FT70" s="1167"/>
      <c r="FU70" s="1167"/>
      <c r="FV70" s="1167"/>
      <c r="FW70" s="1167"/>
      <c r="FX70" s="1485"/>
      <c r="FY70" s="1167"/>
      <c r="FZ70" s="1167"/>
      <c r="GA70" s="1466"/>
      <c r="GB70" s="1167"/>
      <c r="GC70" s="1167"/>
      <c r="GD70" s="1167"/>
      <c r="GE70" s="1167"/>
      <c r="GF70" s="1167"/>
      <c r="GG70" s="1167"/>
      <c r="GH70" s="1167"/>
      <c r="GI70" s="1167"/>
      <c r="GJ70" s="1167"/>
      <c r="GK70" s="1167"/>
      <c r="GL70" s="1167"/>
      <c r="GM70" s="1167"/>
      <c r="GN70" s="1167"/>
      <c r="GO70" s="1167"/>
      <c r="GP70" s="1167"/>
      <c r="GQ70" s="1167"/>
      <c r="GR70" s="1167"/>
      <c r="GS70" s="1167"/>
      <c r="GT70" s="1167"/>
      <c r="GU70" s="1167"/>
      <c r="GV70" s="1167"/>
      <c r="GW70" s="1167"/>
      <c r="GX70" s="1167"/>
      <c r="GY70" s="1167"/>
      <c r="GZ70" s="1167"/>
      <c r="HA70" s="1167"/>
      <c r="HB70" s="1167"/>
      <c r="HC70" s="1167"/>
      <c r="HD70" s="1167"/>
      <c r="HE70" s="1167"/>
      <c r="HF70" s="1167"/>
      <c r="HG70" s="1167"/>
      <c r="HH70" s="1167"/>
      <c r="HI70" s="1167"/>
      <c r="HJ70" s="1167"/>
      <c r="HK70" s="1167"/>
      <c r="HL70" s="1167"/>
      <c r="HM70" s="1167"/>
      <c r="HN70" s="1167"/>
      <c r="HO70" s="1167"/>
      <c r="HP70" s="1167"/>
      <c r="HQ70" s="1167"/>
    </row>
    <row r="71" customFormat="false" ht="15" hidden="false" customHeight="true" outlineLevel="0" collapsed="false">
      <c r="A71" s="1453"/>
      <c r="B71" s="1167"/>
      <c r="C71" s="1167"/>
      <c r="D71" s="1167"/>
      <c r="E71" s="1453"/>
      <c r="F71" s="1167"/>
      <c r="G71" s="1167"/>
      <c r="H71" s="1167"/>
      <c r="I71" s="1453"/>
      <c r="J71" s="1167"/>
      <c r="K71" s="1167"/>
      <c r="L71" s="1167"/>
      <c r="M71" s="1167"/>
      <c r="N71" s="1167"/>
      <c r="O71" s="1167"/>
      <c r="P71" s="1167"/>
      <c r="Q71" s="1453"/>
      <c r="R71" s="1167"/>
      <c r="S71" s="1198"/>
      <c r="T71" s="1198"/>
      <c r="U71" s="1198"/>
      <c r="V71" s="1198"/>
      <c r="W71" s="1198"/>
      <c r="X71" s="1198"/>
      <c r="Y71" s="1198"/>
      <c r="Z71" s="1198"/>
      <c r="AA71" s="1198"/>
      <c r="AB71" s="1198"/>
      <c r="AC71" s="1198"/>
      <c r="AD71" s="1198"/>
      <c r="AE71" s="1167"/>
      <c r="AF71" s="1453"/>
      <c r="AG71" s="1468"/>
      <c r="AH71" s="1198"/>
      <c r="AI71" s="1198"/>
      <c r="AJ71" s="1198"/>
      <c r="AK71" s="1198"/>
      <c r="AL71" s="1198"/>
      <c r="AM71" s="1198"/>
      <c r="AN71" s="1481"/>
      <c r="AO71" s="1468"/>
      <c r="AP71" s="1198"/>
      <c r="AQ71" s="1198"/>
      <c r="AR71" s="1198"/>
      <c r="AS71" s="1198"/>
      <c r="AT71" s="1198"/>
      <c r="AU71" s="1198"/>
      <c r="AV71" s="1167"/>
      <c r="AW71" s="1167"/>
      <c r="AX71" s="1167"/>
      <c r="AY71" s="1167"/>
      <c r="AZ71" s="1167"/>
      <c r="BA71" s="1167"/>
      <c r="BB71" s="1189"/>
      <c r="BC71" s="1189"/>
      <c r="BD71" s="1189"/>
      <c r="BE71" s="1150"/>
      <c r="BF71" s="1189"/>
      <c r="BG71" s="1189"/>
      <c r="BH71" s="1189"/>
      <c r="BI71" s="1189"/>
      <c r="BJ71" s="1189"/>
      <c r="BK71" s="1189"/>
      <c r="BL71" s="1189"/>
      <c r="BM71" s="1150"/>
      <c r="BN71" s="1262"/>
      <c r="BO71" s="1262"/>
      <c r="BP71" s="1262"/>
      <c r="BQ71" s="1262"/>
      <c r="BR71" s="1262"/>
      <c r="BS71" s="1262"/>
      <c r="BT71" s="1262"/>
      <c r="BU71" s="1262"/>
      <c r="BV71" s="1262"/>
      <c r="BW71" s="1262"/>
      <c r="BX71" s="1262"/>
      <c r="BY71" s="1262"/>
      <c r="BZ71" s="1189"/>
      <c r="CA71" s="1189"/>
      <c r="CB71" s="1486"/>
      <c r="CC71" s="1446"/>
      <c r="CD71" s="1167"/>
      <c r="CE71" s="1167"/>
      <c r="CF71" s="1167"/>
      <c r="CG71" s="1167"/>
      <c r="CH71" s="1167"/>
      <c r="CI71" s="1167"/>
      <c r="CJ71" s="1453"/>
      <c r="CK71" s="1167"/>
      <c r="CL71" s="1198"/>
      <c r="CM71" s="1198"/>
      <c r="CN71" s="1198"/>
      <c r="CO71" s="1198"/>
      <c r="CP71" s="1198"/>
      <c r="CQ71" s="1198"/>
      <c r="CR71" s="1198"/>
      <c r="CS71" s="1198"/>
      <c r="CT71" s="1198"/>
      <c r="CU71" s="1198"/>
      <c r="CV71" s="1198"/>
      <c r="CW71" s="1198"/>
      <c r="CX71" s="1167"/>
      <c r="CY71" s="1167"/>
      <c r="CZ71" s="1167"/>
      <c r="DA71" s="1262"/>
      <c r="DB71" s="1198"/>
      <c r="DC71" s="1198"/>
      <c r="DD71" s="1198"/>
      <c r="DE71" s="1198"/>
      <c r="DF71" s="1167"/>
      <c r="DG71" s="1453"/>
      <c r="DH71" s="1466"/>
      <c r="DI71" s="1198"/>
      <c r="DJ71" s="1198"/>
      <c r="DK71" s="1198"/>
      <c r="DL71" s="1198"/>
      <c r="DM71" s="1198"/>
      <c r="DN71" s="1198"/>
      <c r="DO71" s="1198"/>
      <c r="DP71" s="1198"/>
      <c r="DQ71" s="1198"/>
      <c r="DR71" s="1198"/>
      <c r="DS71" s="1198"/>
      <c r="DT71" s="1198"/>
      <c r="DU71" s="1167"/>
      <c r="DV71" s="1453"/>
      <c r="DW71" s="1466"/>
      <c r="DX71" s="1198"/>
      <c r="DY71" s="1198"/>
      <c r="DZ71" s="1198"/>
      <c r="EA71" s="1198"/>
      <c r="EB71" s="1198"/>
      <c r="EC71" s="1167"/>
      <c r="ED71" s="1453"/>
      <c r="EE71" s="1466"/>
      <c r="EF71" s="1262"/>
      <c r="EG71" s="1262"/>
      <c r="EH71" s="1262"/>
      <c r="EI71" s="1262"/>
      <c r="EJ71" s="1262"/>
      <c r="EK71" s="1262"/>
      <c r="EL71" s="1262"/>
      <c r="EM71" s="1262"/>
      <c r="EN71" s="1198"/>
      <c r="EO71" s="1198"/>
      <c r="EP71" s="1198"/>
      <c r="EQ71" s="1198"/>
      <c r="ER71" s="1475"/>
      <c r="ES71" s="1465"/>
      <c r="ET71" s="1375"/>
      <c r="EU71" s="1167"/>
      <c r="EV71" s="1167"/>
      <c r="EW71" s="1167"/>
      <c r="EX71" s="1167"/>
      <c r="EY71" s="1167"/>
      <c r="EZ71" s="1167"/>
      <c r="FA71" s="1167"/>
      <c r="FB71" s="1466"/>
      <c r="FC71" s="1167"/>
      <c r="FD71" s="1167"/>
      <c r="FE71" s="1167"/>
      <c r="FF71" s="1167"/>
      <c r="FG71" s="1167"/>
      <c r="FH71" s="1167"/>
      <c r="FI71" s="1167"/>
      <c r="FJ71" s="1453"/>
      <c r="FK71" s="1466"/>
      <c r="FL71" s="1167"/>
      <c r="FM71" s="1167"/>
      <c r="FN71" s="1167"/>
      <c r="FO71" s="1167"/>
      <c r="FP71" s="1453"/>
      <c r="FQ71" s="1466"/>
      <c r="FR71" s="1167"/>
      <c r="FS71" s="1167"/>
      <c r="FT71" s="1167"/>
      <c r="FU71" s="1167"/>
      <c r="FV71" s="1167"/>
      <c r="FW71" s="1167"/>
      <c r="FX71" s="1485"/>
      <c r="FY71" s="1167"/>
      <c r="FZ71" s="1167"/>
      <c r="GA71" s="1466"/>
      <c r="GB71" s="1167"/>
      <c r="GC71" s="1167"/>
      <c r="GD71" s="1167"/>
      <c r="GE71" s="1167"/>
      <c r="GF71" s="1167"/>
      <c r="GG71" s="1167"/>
      <c r="GH71" s="1167"/>
      <c r="GI71" s="1167"/>
      <c r="GJ71" s="1167"/>
      <c r="GK71" s="1167"/>
      <c r="GL71" s="1167"/>
      <c r="GM71" s="1167"/>
      <c r="GN71" s="1167"/>
      <c r="GO71" s="1167"/>
      <c r="GP71" s="1167"/>
      <c r="GQ71" s="1167"/>
      <c r="GR71" s="1167"/>
      <c r="GS71" s="1167"/>
      <c r="GT71" s="1167"/>
      <c r="GU71" s="1167"/>
      <c r="GV71" s="1167"/>
      <c r="GW71" s="1167"/>
      <c r="GX71" s="1167"/>
      <c r="GY71" s="1167"/>
      <c r="GZ71" s="1167"/>
      <c r="HA71" s="1167"/>
      <c r="HB71" s="1167"/>
      <c r="HC71" s="1167"/>
      <c r="HD71" s="1167"/>
      <c r="HE71" s="1167"/>
      <c r="HF71" s="1167"/>
      <c r="HG71" s="1167"/>
      <c r="HH71" s="1167"/>
      <c r="HI71" s="1167"/>
      <c r="HJ71" s="1167"/>
      <c r="HK71" s="1167"/>
      <c r="HL71" s="1167"/>
      <c r="HM71" s="1167"/>
      <c r="HN71" s="1167"/>
      <c r="HO71" s="1167"/>
      <c r="HP71" s="1167"/>
      <c r="HQ71" s="1167"/>
    </row>
    <row r="72" customFormat="false" ht="15" hidden="false" customHeight="true" outlineLevel="0" collapsed="false">
      <c r="A72" s="1453"/>
      <c r="B72" s="1167"/>
      <c r="C72" s="1167"/>
      <c r="D72" s="1167"/>
      <c r="E72" s="1453"/>
      <c r="F72" s="1167"/>
      <c r="G72" s="1167"/>
      <c r="H72" s="1167"/>
      <c r="I72" s="1453"/>
      <c r="J72" s="1167"/>
      <c r="K72" s="1167"/>
      <c r="L72" s="1167"/>
      <c r="M72" s="1167"/>
      <c r="N72" s="1167"/>
      <c r="O72" s="1167"/>
      <c r="P72" s="1167"/>
      <c r="Q72" s="1453"/>
      <c r="R72" s="1167"/>
      <c r="S72" s="1198"/>
      <c r="T72" s="1198"/>
      <c r="U72" s="1198"/>
      <c r="V72" s="1198"/>
      <c r="W72" s="1198"/>
      <c r="X72" s="1198"/>
      <c r="Y72" s="1198"/>
      <c r="Z72" s="1198"/>
      <c r="AA72" s="1198"/>
      <c r="AB72" s="1198"/>
      <c r="AC72" s="1198"/>
      <c r="AD72" s="1198"/>
      <c r="AE72" s="1167"/>
      <c r="AF72" s="1453"/>
      <c r="AG72" s="1468"/>
      <c r="AH72" s="1198"/>
      <c r="AI72" s="1198"/>
      <c r="AJ72" s="1198"/>
      <c r="AK72" s="1198"/>
      <c r="AL72" s="1198"/>
      <c r="AM72" s="1198"/>
      <c r="AN72" s="1481"/>
      <c r="AO72" s="1468"/>
      <c r="AP72" s="1198"/>
      <c r="AQ72" s="1198"/>
      <c r="AR72" s="1198"/>
      <c r="AS72" s="1198"/>
      <c r="AT72" s="1198"/>
      <c r="AU72" s="1198"/>
      <c r="AV72" s="1167"/>
      <c r="AW72" s="1167"/>
      <c r="AX72" s="1167"/>
      <c r="AY72" s="1167"/>
      <c r="AZ72" s="1167"/>
      <c r="BA72" s="1167"/>
      <c r="BB72" s="1189"/>
      <c r="BC72" s="1189"/>
      <c r="BD72" s="1189"/>
      <c r="BE72" s="1150"/>
      <c r="BF72" s="1189"/>
      <c r="BG72" s="1189"/>
      <c r="BH72" s="1189"/>
      <c r="BI72" s="1189"/>
      <c r="BJ72" s="1189"/>
      <c r="BK72" s="1189"/>
      <c r="BL72" s="1189"/>
      <c r="BM72" s="1150"/>
      <c r="BN72" s="1262"/>
      <c r="BO72" s="1262"/>
      <c r="BP72" s="1262"/>
      <c r="BQ72" s="1262"/>
      <c r="BR72" s="1262"/>
      <c r="BS72" s="1262"/>
      <c r="BT72" s="1262"/>
      <c r="BU72" s="1262"/>
      <c r="BV72" s="1262"/>
      <c r="BW72" s="1262"/>
      <c r="BX72" s="1262"/>
      <c r="BY72" s="1262"/>
      <c r="BZ72" s="1189"/>
      <c r="CA72" s="1189"/>
      <c r="CB72" s="1453"/>
      <c r="CC72" s="1446"/>
      <c r="CD72" s="1167"/>
      <c r="CE72" s="1167"/>
      <c r="CF72" s="1167"/>
      <c r="CG72" s="1167"/>
      <c r="CH72" s="1167"/>
      <c r="CI72" s="1167"/>
      <c r="CJ72" s="1453"/>
      <c r="CK72" s="1167"/>
      <c r="CL72" s="1198"/>
      <c r="CM72" s="1198"/>
      <c r="CN72" s="1198"/>
      <c r="CO72" s="1198"/>
      <c r="CP72" s="1198"/>
      <c r="CQ72" s="1198"/>
      <c r="CR72" s="1198"/>
      <c r="CS72" s="1198"/>
      <c r="CT72" s="1198"/>
      <c r="CU72" s="1198"/>
      <c r="CV72" s="1198"/>
      <c r="CW72" s="1198"/>
      <c r="CX72" s="1167"/>
      <c r="CY72" s="1167"/>
      <c r="CZ72" s="1167"/>
      <c r="DA72" s="1262"/>
      <c r="DB72" s="1198"/>
      <c r="DC72" s="1198"/>
      <c r="DD72" s="1198"/>
      <c r="DE72" s="1198"/>
      <c r="DF72" s="1167"/>
      <c r="DG72" s="1453"/>
      <c r="DH72" s="1466"/>
      <c r="DI72" s="1198"/>
      <c r="DJ72" s="1198"/>
      <c r="DK72" s="1198"/>
      <c r="DL72" s="1198"/>
      <c r="DM72" s="1198"/>
      <c r="DN72" s="1198"/>
      <c r="DO72" s="1198"/>
      <c r="DP72" s="1198"/>
      <c r="DQ72" s="1198"/>
      <c r="DR72" s="1198"/>
      <c r="DS72" s="1198"/>
      <c r="DT72" s="1198"/>
      <c r="DU72" s="1167"/>
      <c r="DV72" s="1453"/>
      <c r="DW72" s="1466"/>
      <c r="DX72" s="1198"/>
      <c r="DY72" s="1198"/>
      <c r="DZ72" s="1198"/>
      <c r="EA72" s="1198"/>
      <c r="EB72" s="1198"/>
      <c r="EC72" s="1167"/>
      <c r="ED72" s="1453"/>
      <c r="EE72" s="1466"/>
      <c r="EF72" s="1262"/>
      <c r="EG72" s="1262"/>
      <c r="EH72" s="1262"/>
      <c r="EI72" s="1262"/>
      <c r="EJ72" s="1262"/>
      <c r="EK72" s="1262"/>
      <c r="EL72" s="1262"/>
      <c r="EM72" s="1262"/>
      <c r="EN72" s="1198"/>
      <c r="EO72" s="1198"/>
      <c r="EP72" s="1198"/>
      <c r="EQ72" s="1198"/>
      <c r="ER72" s="1475"/>
      <c r="ES72" s="1465"/>
      <c r="ET72" s="1375"/>
      <c r="EU72" s="1167"/>
      <c r="EV72" s="1167"/>
      <c r="EW72" s="1167"/>
      <c r="EX72" s="1167"/>
      <c r="EY72" s="1167"/>
      <c r="EZ72" s="1167"/>
      <c r="FA72" s="1167"/>
      <c r="FB72" s="1466"/>
      <c r="FC72" s="1167"/>
      <c r="FD72" s="1167"/>
      <c r="FE72" s="1167"/>
      <c r="FF72" s="1167"/>
      <c r="FG72" s="1167"/>
      <c r="FH72" s="1167"/>
      <c r="FI72" s="1167"/>
      <c r="FJ72" s="1453"/>
      <c r="FK72" s="1466"/>
      <c r="FL72" s="1167"/>
      <c r="FM72" s="1167"/>
      <c r="FN72" s="1167"/>
      <c r="FO72" s="1167"/>
      <c r="FP72" s="1453"/>
      <c r="FQ72" s="1466"/>
      <c r="FR72" s="1167"/>
      <c r="FS72" s="1167"/>
      <c r="FT72" s="1167"/>
      <c r="FU72" s="1167"/>
      <c r="FV72" s="1167"/>
      <c r="FW72" s="1167"/>
      <c r="FX72" s="1485"/>
      <c r="FY72" s="1167"/>
      <c r="FZ72" s="1167"/>
      <c r="GA72" s="1466"/>
      <c r="GB72" s="1167"/>
      <c r="GC72" s="1167"/>
      <c r="GD72" s="1167"/>
      <c r="GE72" s="1167"/>
      <c r="GF72" s="1167"/>
      <c r="GG72" s="1167"/>
      <c r="GH72" s="1167"/>
      <c r="GI72" s="1167"/>
      <c r="GJ72" s="1167"/>
      <c r="GK72" s="1167"/>
      <c r="GL72" s="1167"/>
      <c r="GM72" s="1167"/>
      <c r="GN72" s="1167"/>
      <c r="GO72" s="1167"/>
      <c r="GP72" s="1167"/>
      <c r="GQ72" s="1167"/>
      <c r="GR72" s="1167"/>
      <c r="GS72" s="1167"/>
      <c r="GT72" s="1167"/>
      <c r="GU72" s="1167"/>
      <c r="GV72" s="1167"/>
      <c r="GW72" s="1167"/>
      <c r="GX72" s="1167"/>
      <c r="GY72" s="1167"/>
      <c r="GZ72" s="1167"/>
      <c r="HA72" s="1167"/>
      <c r="HB72" s="1167"/>
      <c r="HC72" s="1167"/>
      <c r="HD72" s="1167"/>
      <c r="HE72" s="1167"/>
      <c r="HF72" s="1167"/>
      <c r="HG72" s="1167"/>
      <c r="HH72" s="1167"/>
      <c r="HI72" s="1167"/>
      <c r="HJ72" s="1167"/>
      <c r="HK72" s="1167"/>
      <c r="HL72" s="1167"/>
      <c r="HM72" s="1167"/>
      <c r="HN72" s="1167"/>
      <c r="HO72" s="1167"/>
      <c r="HP72" s="1167"/>
      <c r="HQ72" s="1167"/>
    </row>
    <row r="73" customFormat="false" ht="15" hidden="false" customHeight="true" outlineLevel="0" collapsed="false">
      <c r="A73" s="1453"/>
      <c r="B73" s="1167"/>
      <c r="C73" s="1167"/>
      <c r="D73" s="1167"/>
      <c r="E73" s="1453"/>
      <c r="F73" s="1167"/>
      <c r="G73" s="1167"/>
      <c r="H73" s="1167"/>
      <c r="I73" s="1453"/>
      <c r="J73" s="1167"/>
      <c r="K73" s="1167"/>
      <c r="L73" s="1167"/>
      <c r="M73" s="1167"/>
      <c r="N73" s="1167"/>
      <c r="O73" s="1167"/>
      <c r="P73" s="1167"/>
      <c r="Q73" s="1453"/>
      <c r="R73" s="1167"/>
      <c r="S73" s="1198"/>
      <c r="T73" s="1198"/>
      <c r="U73" s="1198"/>
      <c r="V73" s="1198"/>
      <c r="W73" s="1198"/>
      <c r="X73" s="1198"/>
      <c r="Y73" s="1198"/>
      <c r="Z73" s="1198"/>
      <c r="AA73" s="1198"/>
      <c r="AB73" s="1198"/>
      <c r="AC73" s="1198"/>
      <c r="AD73" s="1198"/>
      <c r="AE73" s="1167"/>
      <c r="AF73" s="1453"/>
      <c r="AG73" s="1468"/>
      <c r="AH73" s="1198"/>
      <c r="AI73" s="1198"/>
      <c r="AJ73" s="1198"/>
      <c r="AK73" s="1198"/>
      <c r="AL73" s="1198"/>
      <c r="AM73" s="1198"/>
      <c r="AN73" s="1481"/>
      <c r="AO73" s="1468"/>
      <c r="AP73" s="1198"/>
      <c r="AQ73" s="1198"/>
      <c r="AR73" s="1198"/>
      <c r="AS73" s="1198"/>
      <c r="AT73" s="1198"/>
      <c r="AU73" s="1198"/>
      <c r="AV73" s="1167"/>
      <c r="AW73" s="1167"/>
      <c r="AX73" s="1167"/>
      <c r="AY73" s="1167"/>
      <c r="AZ73" s="1167"/>
      <c r="BA73" s="1167"/>
      <c r="BB73" s="1189"/>
      <c r="BC73" s="1189"/>
      <c r="BD73" s="1189"/>
      <c r="BE73" s="1150"/>
      <c r="BF73" s="1189"/>
      <c r="BG73" s="1189"/>
      <c r="BH73" s="1189"/>
      <c r="BI73" s="1189"/>
      <c r="BJ73" s="1189"/>
      <c r="BK73" s="1189"/>
      <c r="BL73" s="1189"/>
      <c r="BM73" s="1150"/>
      <c r="BN73" s="1262"/>
      <c r="BO73" s="1262"/>
      <c r="BP73" s="1262"/>
      <c r="BQ73" s="1262"/>
      <c r="BR73" s="1262"/>
      <c r="BS73" s="1262"/>
      <c r="BT73" s="1262"/>
      <c r="BU73" s="1262"/>
      <c r="BV73" s="1262"/>
      <c r="BW73" s="1262"/>
      <c r="BX73" s="1262"/>
      <c r="BY73" s="1262"/>
      <c r="BZ73" s="1189"/>
      <c r="CA73" s="1189"/>
      <c r="CB73" s="1453"/>
      <c r="CC73" s="1446"/>
      <c r="CD73" s="1167"/>
      <c r="CE73" s="1167"/>
      <c r="CF73" s="1167"/>
      <c r="CG73" s="1167"/>
      <c r="CH73" s="1167"/>
      <c r="CI73" s="1167"/>
      <c r="CJ73" s="1453"/>
      <c r="CK73" s="1167"/>
      <c r="CL73" s="1198"/>
      <c r="CM73" s="1198"/>
      <c r="CN73" s="1198"/>
      <c r="CO73" s="1198"/>
      <c r="CP73" s="1198"/>
      <c r="CQ73" s="1198"/>
      <c r="CR73" s="1198"/>
      <c r="CS73" s="1198"/>
      <c r="CT73" s="1198"/>
      <c r="CU73" s="1198"/>
      <c r="CV73" s="1198"/>
      <c r="CW73" s="1198"/>
      <c r="CX73" s="1167"/>
      <c r="CY73" s="1167"/>
      <c r="CZ73" s="1167"/>
      <c r="DA73" s="1262"/>
      <c r="DB73" s="1198"/>
      <c r="DC73" s="1198"/>
      <c r="DD73" s="1198"/>
      <c r="DE73" s="1198"/>
      <c r="DF73" s="1167"/>
      <c r="DG73" s="1453"/>
      <c r="DH73" s="1466"/>
      <c r="DI73" s="1198"/>
      <c r="DJ73" s="1198"/>
      <c r="DK73" s="1198"/>
      <c r="DL73" s="1198"/>
      <c r="DM73" s="1198"/>
      <c r="DN73" s="1198"/>
      <c r="DO73" s="1198"/>
      <c r="DP73" s="1198"/>
      <c r="DQ73" s="1198"/>
      <c r="DR73" s="1198"/>
      <c r="DS73" s="1198"/>
      <c r="DT73" s="1198"/>
      <c r="DU73" s="1167"/>
      <c r="DV73" s="1453"/>
      <c r="DW73" s="1466"/>
      <c r="DX73" s="1198"/>
      <c r="DY73" s="1198"/>
      <c r="DZ73" s="1198"/>
      <c r="EA73" s="1198"/>
      <c r="EB73" s="1198"/>
      <c r="EC73" s="1167"/>
      <c r="ED73" s="1453"/>
      <c r="EE73" s="1466"/>
      <c r="EF73" s="1262"/>
      <c r="EG73" s="1262"/>
      <c r="EH73" s="1262"/>
      <c r="EI73" s="1262"/>
      <c r="EJ73" s="1262"/>
      <c r="EK73" s="1262"/>
      <c r="EL73" s="1262"/>
      <c r="EM73" s="1262"/>
      <c r="EN73" s="1198"/>
      <c r="EO73" s="1198"/>
      <c r="EP73" s="1198"/>
      <c r="EQ73" s="1198"/>
      <c r="ER73" s="1475"/>
      <c r="ES73" s="1465"/>
      <c r="ET73" s="1375"/>
      <c r="EU73" s="1167"/>
      <c r="EV73" s="1167"/>
      <c r="EW73" s="1167"/>
      <c r="EX73" s="1167"/>
      <c r="EY73" s="1167"/>
      <c r="EZ73" s="1167"/>
      <c r="FA73" s="1167"/>
      <c r="FB73" s="1466"/>
      <c r="FC73" s="1167"/>
      <c r="FD73" s="1167"/>
      <c r="FE73" s="1167"/>
      <c r="FF73" s="1167"/>
      <c r="FG73" s="1167"/>
      <c r="FH73" s="1167"/>
      <c r="FI73" s="1167"/>
      <c r="FJ73" s="1453"/>
      <c r="FK73" s="1466"/>
      <c r="FL73" s="1167"/>
      <c r="FM73" s="1167"/>
      <c r="FN73" s="1167"/>
      <c r="FO73" s="1167"/>
      <c r="FP73" s="1453"/>
      <c r="FQ73" s="1466"/>
      <c r="FR73" s="1167"/>
      <c r="FS73" s="1167"/>
      <c r="FT73" s="1167"/>
      <c r="FU73" s="1167"/>
      <c r="FV73" s="1167"/>
      <c r="FW73" s="1167"/>
      <c r="FX73" s="1485"/>
      <c r="FY73" s="1167"/>
      <c r="FZ73" s="1167"/>
      <c r="GA73" s="1466"/>
      <c r="GB73" s="1167"/>
      <c r="GC73" s="1167"/>
      <c r="GD73" s="1167"/>
      <c r="GE73" s="1167"/>
      <c r="GF73" s="1167"/>
      <c r="GG73" s="1167"/>
      <c r="GH73" s="1167"/>
      <c r="GI73" s="1167"/>
      <c r="GJ73" s="1167"/>
      <c r="GK73" s="1167"/>
      <c r="GL73" s="1167"/>
      <c r="GM73" s="1167"/>
      <c r="GN73" s="1167"/>
      <c r="GO73" s="1167"/>
      <c r="GP73" s="1167"/>
      <c r="GQ73" s="1167"/>
      <c r="GR73" s="1167"/>
      <c r="GS73" s="1167"/>
      <c r="GT73" s="1167"/>
      <c r="GU73" s="1167"/>
      <c r="GV73" s="1167"/>
      <c r="GW73" s="1167"/>
      <c r="GX73" s="1167"/>
      <c r="GY73" s="1167"/>
      <c r="GZ73" s="1167"/>
      <c r="HA73" s="1167"/>
      <c r="HB73" s="1167"/>
      <c r="HC73" s="1167"/>
      <c r="HD73" s="1167"/>
      <c r="HE73" s="1167"/>
      <c r="HF73" s="1167"/>
      <c r="HG73" s="1167"/>
      <c r="HH73" s="1167"/>
      <c r="HI73" s="1167"/>
      <c r="HJ73" s="1167"/>
      <c r="HK73" s="1167"/>
      <c r="HL73" s="1167"/>
      <c r="HM73" s="1167"/>
      <c r="HN73" s="1167"/>
      <c r="HO73" s="1167"/>
      <c r="HP73" s="1167"/>
      <c r="HQ73" s="1167"/>
    </row>
    <row r="74" customFormat="false" ht="15" hidden="false" customHeight="true" outlineLevel="0" collapsed="false">
      <c r="A74" s="1453"/>
      <c r="B74" s="1167"/>
      <c r="C74" s="1167"/>
      <c r="D74" s="1167"/>
      <c r="E74" s="1453"/>
      <c r="F74" s="1167"/>
      <c r="G74" s="1167"/>
      <c r="H74" s="1167"/>
      <c r="I74" s="1453"/>
      <c r="J74" s="1167"/>
      <c r="K74" s="1167"/>
      <c r="L74" s="1167"/>
      <c r="M74" s="1167"/>
      <c r="N74" s="1167"/>
      <c r="O74" s="1167"/>
      <c r="P74" s="1167"/>
      <c r="Q74" s="1453"/>
      <c r="R74" s="1167"/>
      <c r="S74" s="1198"/>
      <c r="T74" s="1198"/>
      <c r="U74" s="1198"/>
      <c r="V74" s="1198"/>
      <c r="W74" s="1198"/>
      <c r="X74" s="1198"/>
      <c r="Y74" s="1198"/>
      <c r="Z74" s="1198"/>
      <c r="AA74" s="1198"/>
      <c r="AB74" s="1198"/>
      <c r="AC74" s="1198"/>
      <c r="AD74" s="1198"/>
      <c r="AE74" s="1167"/>
      <c r="AF74" s="1453"/>
      <c r="AG74" s="1468"/>
      <c r="AH74" s="1198"/>
      <c r="AI74" s="1198"/>
      <c r="AJ74" s="1198"/>
      <c r="AK74" s="1198"/>
      <c r="AL74" s="1198"/>
      <c r="AM74" s="1198"/>
      <c r="AN74" s="1481"/>
      <c r="AO74" s="1468"/>
      <c r="AP74" s="1198"/>
      <c r="AQ74" s="1198"/>
      <c r="AR74" s="1198"/>
      <c r="AS74" s="1198"/>
      <c r="AT74" s="1198"/>
      <c r="AU74" s="1198"/>
      <c r="AV74" s="1167"/>
      <c r="AW74" s="1167"/>
      <c r="AX74" s="1167"/>
      <c r="AY74" s="1167"/>
      <c r="AZ74" s="1167"/>
      <c r="BA74" s="1167"/>
      <c r="BB74" s="1189"/>
      <c r="BC74" s="1189"/>
      <c r="BD74" s="1189"/>
      <c r="BE74" s="1150"/>
      <c r="BF74" s="1189"/>
      <c r="BG74" s="1189"/>
      <c r="BH74" s="1189"/>
      <c r="BI74" s="1189"/>
      <c r="BJ74" s="1189"/>
      <c r="BK74" s="1189"/>
      <c r="BL74" s="1189"/>
      <c r="BM74" s="1150"/>
      <c r="BN74" s="1262"/>
      <c r="BO74" s="1262"/>
      <c r="BP74" s="1262"/>
      <c r="BQ74" s="1262"/>
      <c r="BR74" s="1262"/>
      <c r="BS74" s="1262"/>
      <c r="BT74" s="1262"/>
      <c r="BU74" s="1262"/>
      <c r="BV74" s="1262"/>
      <c r="BW74" s="1262"/>
      <c r="BX74" s="1262"/>
      <c r="BY74" s="1262"/>
      <c r="BZ74" s="1189"/>
      <c r="CA74" s="1189"/>
      <c r="CB74" s="1453"/>
      <c r="CC74" s="1446"/>
      <c r="CD74" s="1167"/>
      <c r="CE74" s="1167"/>
      <c r="CF74" s="1167"/>
      <c r="CG74" s="1167"/>
      <c r="CH74" s="1167"/>
      <c r="CI74" s="1167"/>
      <c r="CJ74" s="1453"/>
      <c r="CK74" s="1167"/>
      <c r="CL74" s="1198"/>
      <c r="CM74" s="1198"/>
      <c r="CN74" s="1198"/>
      <c r="CO74" s="1198"/>
      <c r="CP74" s="1198"/>
      <c r="CQ74" s="1198"/>
      <c r="CR74" s="1198"/>
      <c r="CS74" s="1198"/>
      <c r="CT74" s="1198"/>
      <c r="CU74" s="1198"/>
      <c r="CV74" s="1198"/>
      <c r="CW74" s="1198"/>
      <c r="CX74" s="1167"/>
      <c r="CY74" s="1167"/>
      <c r="CZ74" s="1167"/>
      <c r="DA74" s="1262"/>
      <c r="DB74" s="1198"/>
      <c r="DC74" s="1198"/>
      <c r="DD74" s="1198"/>
      <c r="DE74" s="1198"/>
      <c r="DF74" s="1167"/>
      <c r="DG74" s="1453"/>
      <c r="DH74" s="1466"/>
      <c r="DI74" s="1198"/>
      <c r="DJ74" s="1198"/>
      <c r="DK74" s="1198"/>
      <c r="DL74" s="1198"/>
      <c r="DM74" s="1198"/>
      <c r="DN74" s="1198"/>
      <c r="DO74" s="1198"/>
      <c r="DP74" s="1198"/>
      <c r="DQ74" s="1198"/>
      <c r="DR74" s="1198"/>
      <c r="DS74" s="1198"/>
      <c r="DT74" s="1198"/>
      <c r="DU74" s="1167"/>
      <c r="DV74" s="1453"/>
      <c r="DW74" s="1466"/>
      <c r="DX74" s="1198"/>
      <c r="DY74" s="1198"/>
      <c r="DZ74" s="1198"/>
      <c r="EA74" s="1198"/>
      <c r="EB74" s="1198"/>
      <c r="EC74" s="1167"/>
      <c r="ED74" s="1453"/>
      <c r="EE74" s="1466"/>
      <c r="EF74" s="1262"/>
      <c r="EG74" s="1262"/>
      <c r="EH74" s="1262"/>
      <c r="EI74" s="1262"/>
      <c r="EJ74" s="1262"/>
      <c r="EK74" s="1262"/>
      <c r="EL74" s="1262"/>
      <c r="EM74" s="1262"/>
      <c r="EN74" s="1198"/>
      <c r="EO74" s="1198"/>
      <c r="EP74" s="1198"/>
      <c r="EQ74" s="1198"/>
      <c r="ER74" s="1475"/>
      <c r="ES74" s="1465"/>
      <c r="ET74" s="1375"/>
      <c r="EU74" s="1167"/>
      <c r="EV74" s="1167"/>
      <c r="EW74" s="1167"/>
      <c r="EX74" s="1167"/>
      <c r="EY74" s="1167"/>
      <c r="EZ74" s="1167"/>
      <c r="FA74" s="1167"/>
      <c r="FB74" s="1466"/>
      <c r="FC74" s="1167"/>
      <c r="FD74" s="1167"/>
      <c r="FE74" s="1167"/>
      <c r="FF74" s="1167"/>
      <c r="FG74" s="1167"/>
      <c r="FH74" s="1167"/>
      <c r="FI74" s="1167"/>
      <c r="FJ74" s="1453"/>
      <c r="FK74" s="1466"/>
      <c r="FL74" s="1167"/>
      <c r="FM74" s="1167"/>
      <c r="FN74" s="1167"/>
      <c r="FO74" s="1167"/>
      <c r="FP74" s="1453"/>
      <c r="FQ74" s="1466"/>
      <c r="FR74" s="1167"/>
      <c r="FS74" s="1167"/>
      <c r="FT74" s="1167"/>
      <c r="FU74" s="1167"/>
      <c r="FV74" s="1167"/>
      <c r="FW74" s="1167"/>
      <c r="FX74" s="1485"/>
      <c r="FY74" s="1167"/>
      <c r="FZ74" s="1167"/>
      <c r="GA74" s="1466"/>
      <c r="GB74" s="1167"/>
      <c r="GC74" s="1167"/>
      <c r="GD74" s="1167"/>
      <c r="GE74" s="1167"/>
      <c r="GF74" s="1167"/>
      <c r="GG74" s="1167"/>
      <c r="GH74" s="1167"/>
      <c r="GI74" s="1167"/>
      <c r="GJ74" s="1167"/>
      <c r="GK74" s="1167"/>
      <c r="GL74" s="1167"/>
      <c r="GM74" s="1167"/>
      <c r="GN74" s="1167"/>
      <c r="GO74" s="1167"/>
      <c r="GP74" s="1167"/>
      <c r="GQ74" s="1167"/>
      <c r="GR74" s="1167"/>
      <c r="GS74" s="1167"/>
      <c r="GT74" s="1167"/>
      <c r="GU74" s="1167"/>
      <c r="GV74" s="1167"/>
      <c r="GW74" s="1167"/>
      <c r="GX74" s="1167"/>
      <c r="GY74" s="1167"/>
      <c r="GZ74" s="1167"/>
      <c r="HA74" s="1167"/>
      <c r="HB74" s="1167"/>
      <c r="HC74" s="1167"/>
      <c r="HD74" s="1167"/>
      <c r="HE74" s="1167"/>
      <c r="HF74" s="1167"/>
      <c r="HG74" s="1167"/>
      <c r="HH74" s="1167"/>
      <c r="HI74" s="1167"/>
      <c r="HJ74" s="1167"/>
      <c r="HK74" s="1167"/>
      <c r="HL74" s="1167"/>
      <c r="HM74" s="1167"/>
      <c r="HN74" s="1167"/>
      <c r="HO74" s="1167"/>
      <c r="HP74" s="1167"/>
      <c r="HQ74" s="1167"/>
    </row>
    <row r="75" customFormat="false" ht="15" hidden="false" customHeight="true" outlineLevel="0" collapsed="false">
      <c r="A75" s="1453"/>
      <c r="B75" s="1167"/>
      <c r="C75" s="1167"/>
      <c r="D75" s="1167"/>
      <c r="E75" s="1453"/>
      <c r="F75" s="1167"/>
      <c r="G75" s="1167"/>
      <c r="H75" s="1167"/>
      <c r="I75" s="1453"/>
      <c r="J75" s="1167"/>
      <c r="K75" s="1167"/>
      <c r="L75" s="1167"/>
      <c r="M75" s="1167"/>
      <c r="N75" s="1167"/>
      <c r="O75" s="1167"/>
      <c r="P75" s="1167"/>
      <c r="Q75" s="1453"/>
      <c r="R75" s="1167"/>
      <c r="S75" s="1198"/>
      <c r="T75" s="1198"/>
      <c r="U75" s="1198"/>
      <c r="V75" s="1198"/>
      <c r="W75" s="1198"/>
      <c r="X75" s="1198"/>
      <c r="Y75" s="1198"/>
      <c r="Z75" s="1198"/>
      <c r="AA75" s="1198"/>
      <c r="AB75" s="1198"/>
      <c r="AC75" s="1198"/>
      <c r="AD75" s="1198"/>
      <c r="AE75" s="1167"/>
      <c r="AF75" s="1453"/>
      <c r="AG75" s="1468"/>
      <c r="AH75" s="1198"/>
      <c r="AI75" s="1198"/>
      <c r="AJ75" s="1198"/>
      <c r="AK75" s="1198"/>
      <c r="AL75" s="1198"/>
      <c r="AM75" s="1198"/>
      <c r="AN75" s="1481"/>
      <c r="AO75" s="1468"/>
      <c r="AP75" s="1198"/>
      <c r="AQ75" s="1198"/>
      <c r="AR75" s="1198"/>
      <c r="AS75" s="1198"/>
      <c r="AT75" s="1198"/>
      <c r="AU75" s="1198"/>
      <c r="AV75" s="1167"/>
      <c r="AW75" s="1167"/>
      <c r="AX75" s="1167"/>
      <c r="AY75" s="1167"/>
      <c r="AZ75" s="1167"/>
      <c r="BA75" s="1167"/>
      <c r="BB75" s="1189"/>
      <c r="BC75" s="1189"/>
      <c r="BD75" s="1189"/>
      <c r="BE75" s="1150"/>
      <c r="BF75" s="1189"/>
      <c r="BG75" s="1189"/>
      <c r="BH75" s="1189"/>
      <c r="BI75" s="1189"/>
      <c r="BJ75" s="1189"/>
      <c r="BK75" s="1189"/>
      <c r="BL75" s="1189"/>
      <c r="BM75" s="1150"/>
      <c r="BN75" s="1262"/>
      <c r="BO75" s="1262"/>
      <c r="BP75" s="1262"/>
      <c r="BQ75" s="1262"/>
      <c r="BR75" s="1262"/>
      <c r="BS75" s="1262"/>
      <c r="BT75" s="1262"/>
      <c r="BU75" s="1262"/>
      <c r="BV75" s="1262"/>
      <c r="BW75" s="1262"/>
      <c r="BX75" s="1262"/>
      <c r="BY75" s="1262"/>
      <c r="BZ75" s="1189"/>
      <c r="CA75" s="1189"/>
      <c r="CB75" s="1453"/>
      <c r="CC75" s="1446"/>
      <c r="CD75" s="1167"/>
      <c r="CE75" s="1167"/>
      <c r="CF75" s="1167"/>
      <c r="CG75" s="1167"/>
      <c r="CH75" s="1167"/>
      <c r="CI75" s="1167"/>
      <c r="CJ75" s="1453"/>
      <c r="CK75" s="1167"/>
      <c r="CL75" s="1198"/>
      <c r="CM75" s="1198"/>
      <c r="CN75" s="1198"/>
      <c r="CO75" s="1198"/>
      <c r="CP75" s="1198"/>
      <c r="CQ75" s="1198"/>
      <c r="CR75" s="1198"/>
      <c r="CS75" s="1198"/>
      <c r="CT75" s="1198"/>
      <c r="CU75" s="1198"/>
      <c r="CV75" s="1198"/>
      <c r="CW75" s="1198"/>
      <c r="CX75" s="1167"/>
      <c r="CY75" s="1167"/>
      <c r="CZ75" s="1167"/>
      <c r="DA75" s="1262"/>
      <c r="DB75" s="1198"/>
      <c r="DC75" s="1198"/>
      <c r="DD75" s="1198"/>
      <c r="DE75" s="1198"/>
      <c r="DF75" s="1167"/>
      <c r="DG75" s="1453"/>
      <c r="DH75" s="1466"/>
      <c r="DI75" s="1198"/>
      <c r="DJ75" s="1198"/>
      <c r="DK75" s="1198"/>
      <c r="DL75" s="1198"/>
      <c r="DM75" s="1198"/>
      <c r="DN75" s="1198"/>
      <c r="DO75" s="1198"/>
      <c r="DP75" s="1198"/>
      <c r="DQ75" s="1198"/>
      <c r="DR75" s="1198"/>
      <c r="DS75" s="1198"/>
      <c r="DT75" s="1198"/>
      <c r="DU75" s="1167"/>
      <c r="DV75" s="1453"/>
      <c r="DW75" s="1466"/>
      <c r="DX75" s="1198"/>
      <c r="DY75" s="1198"/>
      <c r="DZ75" s="1198"/>
      <c r="EA75" s="1198"/>
      <c r="EB75" s="1198"/>
      <c r="EC75" s="1167"/>
      <c r="ED75" s="1453"/>
      <c r="EE75" s="1466"/>
      <c r="EF75" s="1262"/>
      <c r="EG75" s="1262"/>
      <c r="EH75" s="1262"/>
      <c r="EI75" s="1262"/>
      <c r="EJ75" s="1262"/>
      <c r="EK75" s="1262"/>
      <c r="EL75" s="1262"/>
      <c r="EM75" s="1262"/>
      <c r="EN75" s="1198"/>
      <c r="EO75" s="1198"/>
      <c r="EP75" s="1198"/>
      <c r="EQ75" s="1198"/>
      <c r="ER75" s="1475"/>
      <c r="ES75" s="1465"/>
      <c r="ET75" s="1375"/>
      <c r="EU75" s="1167"/>
      <c r="EV75" s="1167"/>
      <c r="EW75" s="1167"/>
      <c r="EX75" s="1167"/>
      <c r="EY75" s="1167"/>
      <c r="EZ75" s="1167"/>
      <c r="FA75" s="1167"/>
      <c r="FB75" s="1466"/>
      <c r="FC75" s="1167"/>
      <c r="FD75" s="1167"/>
      <c r="FE75" s="1167"/>
      <c r="FF75" s="1167"/>
      <c r="FG75" s="1167"/>
      <c r="FH75" s="1167"/>
      <c r="FI75" s="1167"/>
      <c r="FJ75" s="1453"/>
      <c r="FK75" s="1466"/>
      <c r="FL75" s="1167"/>
      <c r="FM75" s="1167"/>
      <c r="FN75" s="1167"/>
      <c r="FO75" s="1167"/>
      <c r="FP75" s="1453"/>
      <c r="FQ75" s="1466"/>
      <c r="FR75" s="1167"/>
      <c r="FS75" s="1167"/>
      <c r="FT75" s="1167"/>
      <c r="FU75" s="1167"/>
      <c r="FV75" s="1167"/>
      <c r="FW75" s="1167"/>
      <c r="FX75" s="1485"/>
      <c r="FY75" s="1167"/>
      <c r="FZ75" s="1167"/>
      <c r="GA75" s="1466"/>
      <c r="GB75" s="1167"/>
      <c r="GC75" s="1167"/>
      <c r="GD75" s="1167"/>
      <c r="GE75" s="1167"/>
      <c r="GF75" s="1167"/>
      <c r="GG75" s="1167"/>
      <c r="GH75" s="1167"/>
      <c r="GI75" s="1167"/>
      <c r="GJ75" s="1167"/>
      <c r="GK75" s="1167"/>
      <c r="GL75" s="1167"/>
      <c r="GM75" s="1167"/>
      <c r="GN75" s="1167"/>
      <c r="GO75" s="1167"/>
      <c r="GP75" s="1167"/>
      <c r="GQ75" s="1167"/>
      <c r="GR75" s="1167"/>
      <c r="GS75" s="1167"/>
      <c r="GT75" s="1167"/>
      <c r="GU75" s="1167"/>
      <c r="GV75" s="1167"/>
      <c r="GW75" s="1167"/>
      <c r="GX75" s="1167"/>
      <c r="GY75" s="1167"/>
      <c r="GZ75" s="1167"/>
      <c r="HA75" s="1167"/>
      <c r="HB75" s="1167"/>
      <c r="HC75" s="1167"/>
      <c r="HD75" s="1167"/>
      <c r="HE75" s="1167"/>
      <c r="HF75" s="1167"/>
      <c r="HG75" s="1167"/>
      <c r="HH75" s="1167"/>
      <c r="HI75" s="1167"/>
      <c r="HJ75" s="1167"/>
      <c r="HK75" s="1167"/>
      <c r="HL75" s="1167"/>
      <c r="HM75" s="1167"/>
      <c r="HN75" s="1167"/>
      <c r="HO75" s="1167"/>
      <c r="HP75" s="1167"/>
      <c r="HQ75" s="1167"/>
    </row>
    <row r="76" customFormat="false" ht="15" hidden="false" customHeight="true" outlineLevel="0" collapsed="false">
      <c r="A76" s="1453"/>
      <c r="B76" s="1167"/>
      <c r="C76" s="1167"/>
      <c r="D76" s="1167"/>
      <c r="E76" s="1453"/>
      <c r="F76" s="1167"/>
      <c r="G76" s="1167"/>
      <c r="H76" s="1167"/>
      <c r="I76" s="1453"/>
      <c r="J76" s="1167"/>
      <c r="K76" s="1167"/>
      <c r="L76" s="1167"/>
      <c r="M76" s="1167"/>
      <c r="N76" s="1167"/>
      <c r="O76" s="1167"/>
      <c r="P76" s="1167"/>
      <c r="Q76" s="1453"/>
      <c r="R76" s="1167"/>
      <c r="S76" s="1198"/>
      <c r="T76" s="1198"/>
      <c r="U76" s="1198"/>
      <c r="V76" s="1198"/>
      <c r="W76" s="1198"/>
      <c r="X76" s="1198"/>
      <c r="Y76" s="1198"/>
      <c r="Z76" s="1198"/>
      <c r="AA76" s="1198"/>
      <c r="AB76" s="1198"/>
      <c r="AC76" s="1198"/>
      <c r="AD76" s="1198"/>
      <c r="AE76" s="1167"/>
      <c r="AF76" s="1453"/>
      <c r="AG76" s="1468"/>
      <c r="AH76" s="1198"/>
      <c r="AI76" s="1198"/>
      <c r="AJ76" s="1198"/>
      <c r="AK76" s="1198"/>
      <c r="AL76" s="1198"/>
      <c r="AM76" s="1198"/>
      <c r="AN76" s="1481"/>
      <c r="AO76" s="1468"/>
      <c r="AP76" s="1198"/>
      <c r="AQ76" s="1198"/>
      <c r="AR76" s="1198"/>
      <c r="AS76" s="1198"/>
      <c r="AT76" s="1198"/>
      <c r="AU76" s="1198"/>
      <c r="AV76" s="1167"/>
      <c r="AW76" s="1167"/>
      <c r="AX76" s="1167"/>
      <c r="AY76" s="1167"/>
      <c r="AZ76" s="1167"/>
      <c r="BA76" s="1167"/>
      <c r="BB76" s="1189"/>
      <c r="BC76" s="1189"/>
      <c r="BD76" s="1189"/>
      <c r="BE76" s="1150"/>
      <c r="BF76" s="1189"/>
      <c r="BG76" s="1189"/>
      <c r="BH76" s="1189"/>
      <c r="BI76" s="1189"/>
      <c r="BJ76" s="1189"/>
      <c r="BK76" s="1189"/>
      <c r="BL76" s="1189"/>
      <c r="BM76" s="1150"/>
      <c r="BN76" s="1262"/>
      <c r="BO76" s="1262"/>
      <c r="BP76" s="1262"/>
      <c r="BQ76" s="1262"/>
      <c r="BR76" s="1262"/>
      <c r="BS76" s="1262"/>
      <c r="BT76" s="1262"/>
      <c r="BU76" s="1262"/>
      <c r="BV76" s="1262"/>
      <c r="BW76" s="1262"/>
      <c r="BX76" s="1262"/>
      <c r="BY76" s="1262"/>
      <c r="BZ76" s="1189"/>
      <c r="CA76" s="1150"/>
      <c r="CB76" s="1453"/>
      <c r="CC76" s="1446"/>
      <c r="CD76" s="1167"/>
      <c r="CE76" s="1167"/>
      <c r="CF76" s="1167"/>
      <c r="CG76" s="1167"/>
      <c r="CH76" s="1167"/>
      <c r="CI76" s="1167"/>
      <c r="CJ76" s="1453"/>
      <c r="CK76" s="1167"/>
      <c r="CL76" s="1198"/>
      <c r="CM76" s="1198"/>
      <c r="CN76" s="1198"/>
      <c r="CO76" s="1198"/>
      <c r="CP76" s="1198"/>
      <c r="CQ76" s="1198"/>
      <c r="CR76" s="1198"/>
      <c r="CS76" s="1198"/>
      <c r="CT76" s="1198"/>
      <c r="CU76" s="1198"/>
      <c r="CV76" s="1198"/>
      <c r="CW76" s="1198"/>
      <c r="CX76" s="1167"/>
      <c r="CY76" s="1167"/>
      <c r="CZ76" s="1167"/>
      <c r="DA76" s="1262"/>
      <c r="DB76" s="1198"/>
      <c r="DC76" s="1198"/>
      <c r="DD76" s="1198"/>
      <c r="DE76" s="1198"/>
      <c r="DF76" s="1167"/>
      <c r="DG76" s="1453"/>
      <c r="DH76" s="1466"/>
      <c r="DI76" s="1198"/>
      <c r="DJ76" s="1198"/>
      <c r="DK76" s="1198"/>
      <c r="DL76" s="1198"/>
      <c r="DM76" s="1198"/>
      <c r="DN76" s="1198"/>
      <c r="DO76" s="1198"/>
      <c r="DP76" s="1198"/>
      <c r="DQ76" s="1198"/>
      <c r="DR76" s="1198"/>
      <c r="DS76" s="1198"/>
      <c r="DT76" s="1198"/>
      <c r="DU76" s="1167"/>
      <c r="DV76" s="1453"/>
      <c r="DW76" s="1466"/>
      <c r="DX76" s="1198"/>
      <c r="DY76" s="1198"/>
      <c r="DZ76" s="1198"/>
      <c r="EA76" s="1198"/>
      <c r="EB76" s="1198"/>
      <c r="EC76" s="1167"/>
      <c r="ED76" s="1453"/>
      <c r="EE76" s="1466"/>
      <c r="EF76" s="1262"/>
      <c r="EG76" s="1262"/>
      <c r="EH76" s="1262"/>
      <c r="EI76" s="1262"/>
      <c r="EJ76" s="1262"/>
      <c r="EK76" s="1262"/>
      <c r="EL76" s="1262"/>
      <c r="EM76" s="1262"/>
      <c r="EN76" s="1198"/>
      <c r="EO76" s="1198"/>
      <c r="EP76" s="1198"/>
      <c r="EQ76" s="1198"/>
      <c r="ER76" s="1475"/>
      <c r="ES76" s="1465"/>
      <c r="ET76" s="1375"/>
      <c r="EU76" s="1167"/>
      <c r="EV76" s="1167"/>
      <c r="EW76" s="1167"/>
      <c r="EX76" s="1167"/>
      <c r="EY76" s="1167"/>
      <c r="EZ76" s="1167"/>
      <c r="FA76" s="1167"/>
      <c r="FB76" s="1466"/>
      <c r="FC76" s="1167"/>
      <c r="FD76" s="1167"/>
      <c r="FE76" s="1167"/>
      <c r="FF76" s="1167"/>
      <c r="FG76" s="1167"/>
      <c r="FH76" s="1167"/>
      <c r="FI76" s="1167"/>
      <c r="FJ76" s="1453"/>
      <c r="FK76" s="1466"/>
      <c r="FL76" s="1167"/>
      <c r="FM76" s="1167"/>
      <c r="FN76" s="1167"/>
      <c r="FO76" s="1167"/>
      <c r="FP76" s="1453"/>
      <c r="FQ76" s="1466"/>
      <c r="FR76" s="1167"/>
      <c r="FS76" s="1167"/>
      <c r="FT76" s="1167"/>
      <c r="FU76" s="1167"/>
      <c r="FV76" s="1167"/>
      <c r="FW76" s="1167"/>
      <c r="FX76" s="1485"/>
      <c r="FY76" s="1167"/>
      <c r="FZ76" s="1167"/>
      <c r="GA76" s="1466"/>
      <c r="GB76" s="1167"/>
      <c r="GC76" s="1167"/>
      <c r="GD76" s="1167"/>
      <c r="GE76" s="1167"/>
      <c r="GF76" s="1167"/>
      <c r="GG76" s="1167"/>
      <c r="GH76" s="1167"/>
      <c r="GI76" s="1167"/>
      <c r="GJ76" s="1167"/>
      <c r="GK76" s="1167"/>
      <c r="GL76" s="1167"/>
      <c r="GM76" s="1167"/>
      <c r="GN76" s="1167"/>
      <c r="GO76" s="1167"/>
      <c r="GP76" s="1167"/>
      <c r="GQ76" s="1167"/>
      <c r="GR76" s="1167"/>
      <c r="GS76" s="1167"/>
      <c r="GT76" s="1167"/>
      <c r="GU76" s="1167"/>
      <c r="GV76" s="1167"/>
      <c r="GW76" s="1167"/>
      <c r="GX76" s="1167"/>
      <c r="GY76" s="1167"/>
      <c r="GZ76" s="1167"/>
      <c r="HA76" s="1167"/>
      <c r="HB76" s="1167"/>
      <c r="HC76" s="1167"/>
      <c r="HD76" s="1167"/>
      <c r="HE76" s="1167"/>
      <c r="HF76" s="1167"/>
      <c r="HG76" s="1167"/>
      <c r="HH76" s="1167"/>
      <c r="HI76" s="1167"/>
      <c r="HJ76" s="1167"/>
      <c r="HK76" s="1167"/>
      <c r="HL76" s="1167"/>
      <c r="HM76" s="1167"/>
      <c r="HN76" s="1167"/>
      <c r="HO76" s="1167"/>
      <c r="HP76" s="1167"/>
      <c r="HQ76" s="1167"/>
    </row>
    <row r="77" customFormat="false" ht="15" hidden="false" customHeight="true" outlineLevel="0" collapsed="false">
      <c r="A77" s="1453"/>
      <c r="B77" s="1167"/>
      <c r="C77" s="1167"/>
      <c r="D77" s="1167"/>
      <c r="E77" s="1453"/>
      <c r="F77" s="1167"/>
      <c r="G77" s="1167"/>
      <c r="H77" s="1167"/>
      <c r="I77" s="1453"/>
      <c r="J77" s="1167"/>
      <c r="K77" s="1167"/>
      <c r="L77" s="1167"/>
      <c r="M77" s="1167"/>
      <c r="N77" s="1167"/>
      <c r="O77" s="1167"/>
      <c r="P77" s="1167"/>
      <c r="Q77" s="1453"/>
      <c r="R77" s="1167"/>
      <c r="S77" s="1198"/>
      <c r="T77" s="1198"/>
      <c r="U77" s="1198"/>
      <c r="V77" s="1198"/>
      <c r="W77" s="1198"/>
      <c r="X77" s="1198"/>
      <c r="Y77" s="1198"/>
      <c r="Z77" s="1198"/>
      <c r="AA77" s="1198"/>
      <c r="AB77" s="1198"/>
      <c r="AC77" s="1198"/>
      <c r="AD77" s="1198"/>
      <c r="AE77" s="1167"/>
      <c r="AF77" s="1453"/>
      <c r="AG77" s="1468"/>
      <c r="AH77" s="1198"/>
      <c r="AI77" s="1198"/>
      <c r="AJ77" s="1198"/>
      <c r="AK77" s="1198"/>
      <c r="AL77" s="1198"/>
      <c r="AM77" s="1198"/>
      <c r="AN77" s="1481"/>
      <c r="AO77" s="1468"/>
      <c r="AP77" s="1198"/>
      <c r="AQ77" s="1198"/>
      <c r="AR77" s="1198"/>
      <c r="AS77" s="1198"/>
      <c r="AT77" s="1198"/>
      <c r="AU77" s="1198"/>
      <c r="AV77" s="1167"/>
      <c r="AW77" s="1167"/>
      <c r="AX77" s="1167"/>
      <c r="AY77" s="1167"/>
      <c r="AZ77" s="1167"/>
      <c r="BA77" s="1167"/>
      <c r="BB77" s="1189"/>
      <c r="BC77" s="1189"/>
      <c r="BD77" s="1189"/>
      <c r="BE77" s="1150"/>
      <c r="BF77" s="1150"/>
      <c r="BG77" s="1150"/>
      <c r="BH77" s="1150"/>
      <c r="BI77" s="1150"/>
      <c r="BJ77" s="1150"/>
      <c r="BK77" s="1189"/>
      <c r="BL77" s="1189"/>
      <c r="BM77" s="1150"/>
      <c r="BN77" s="1483"/>
      <c r="BO77" s="1483"/>
      <c r="BP77" s="1483"/>
      <c r="BQ77" s="1483"/>
      <c r="BR77" s="1483"/>
      <c r="BS77" s="1483"/>
      <c r="BT77" s="1483"/>
      <c r="BU77" s="1483"/>
      <c r="BV77" s="1483"/>
      <c r="BW77" s="1483"/>
      <c r="BX77" s="1483"/>
      <c r="BY77" s="1483"/>
      <c r="BZ77" s="1189"/>
      <c r="CA77" s="1167"/>
      <c r="CB77" s="1453"/>
      <c r="CC77" s="1446"/>
      <c r="CD77" s="1167"/>
      <c r="CE77" s="1167"/>
      <c r="CF77" s="1167"/>
      <c r="CG77" s="1167"/>
      <c r="CH77" s="1167"/>
      <c r="CI77" s="1167"/>
      <c r="CJ77" s="1453"/>
      <c r="CK77" s="1167"/>
      <c r="CL77" s="1198"/>
      <c r="CM77" s="1198"/>
      <c r="CN77" s="1198"/>
      <c r="CO77" s="1198"/>
      <c r="CP77" s="1198"/>
      <c r="CQ77" s="1198"/>
      <c r="CR77" s="1198"/>
      <c r="CS77" s="1198"/>
      <c r="CT77" s="1198"/>
      <c r="CU77" s="1198"/>
      <c r="CV77" s="1198"/>
      <c r="CW77" s="1198"/>
      <c r="CX77" s="1167"/>
      <c r="CY77" s="1167"/>
      <c r="CZ77" s="1167"/>
      <c r="DA77" s="1262"/>
      <c r="DB77" s="1198"/>
      <c r="DC77" s="1198"/>
      <c r="DD77" s="1198"/>
      <c r="DE77" s="1198"/>
      <c r="DF77" s="1167"/>
      <c r="DG77" s="1453"/>
      <c r="DH77" s="1466"/>
      <c r="DI77" s="1198"/>
      <c r="DJ77" s="1198"/>
      <c r="DK77" s="1198"/>
      <c r="DL77" s="1198"/>
      <c r="DM77" s="1198"/>
      <c r="DN77" s="1198"/>
      <c r="DO77" s="1198"/>
      <c r="DP77" s="1198"/>
      <c r="DQ77" s="1198"/>
      <c r="DR77" s="1198"/>
      <c r="DS77" s="1198"/>
      <c r="DT77" s="1198"/>
      <c r="DU77" s="1167"/>
      <c r="DV77" s="1453"/>
      <c r="DW77" s="1466"/>
      <c r="DX77" s="1198"/>
      <c r="DY77" s="1198"/>
      <c r="DZ77" s="1198"/>
      <c r="EA77" s="1198"/>
      <c r="EB77" s="1198"/>
      <c r="EC77" s="1167"/>
      <c r="ED77" s="1453"/>
      <c r="EE77" s="1466"/>
      <c r="EF77" s="1262"/>
      <c r="EG77" s="1262"/>
      <c r="EH77" s="1262"/>
      <c r="EI77" s="1262"/>
      <c r="EJ77" s="1262"/>
      <c r="EK77" s="1262"/>
      <c r="EL77" s="1262"/>
      <c r="EM77" s="1262"/>
      <c r="EN77" s="1198"/>
      <c r="EO77" s="1198"/>
      <c r="EP77" s="1198"/>
      <c r="EQ77" s="1198"/>
      <c r="ER77" s="1475"/>
      <c r="ES77" s="1465"/>
      <c r="ET77" s="1375"/>
      <c r="EU77" s="1167"/>
      <c r="EV77" s="1167"/>
      <c r="EW77" s="1167"/>
      <c r="EX77" s="1167"/>
      <c r="EY77" s="1167"/>
      <c r="EZ77" s="1167"/>
      <c r="FA77" s="1167"/>
      <c r="FB77" s="1466"/>
      <c r="FC77" s="1167"/>
      <c r="FD77" s="1167"/>
      <c r="FE77" s="1167"/>
      <c r="FF77" s="1167"/>
      <c r="FG77" s="1167"/>
      <c r="FH77" s="1167"/>
      <c r="FI77" s="1167"/>
      <c r="FJ77" s="1453"/>
      <c r="FK77" s="1466"/>
      <c r="FL77" s="1167"/>
      <c r="FM77" s="1167"/>
      <c r="FN77" s="1167"/>
      <c r="FO77" s="1167"/>
      <c r="FP77" s="1453"/>
      <c r="FQ77" s="1466"/>
      <c r="FR77" s="1167"/>
      <c r="FS77" s="1167"/>
      <c r="FT77" s="1167"/>
      <c r="FU77" s="1167"/>
      <c r="FV77" s="1167"/>
      <c r="FW77" s="1167"/>
      <c r="FX77" s="1485"/>
      <c r="FY77" s="1167"/>
      <c r="FZ77" s="1167"/>
      <c r="GA77" s="1466"/>
      <c r="GB77" s="1167"/>
      <c r="GC77" s="1167"/>
      <c r="GD77" s="1167"/>
      <c r="GE77" s="1167"/>
      <c r="GF77" s="1167"/>
      <c r="GG77" s="1167"/>
      <c r="GH77" s="1167"/>
      <c r="GI77" s="1167"/>
      <c r="GJ77" s="1167"/>
      <c r="GK77" s="1167"/>
      <c r="GL77" s="1167"/>
      <c r="GM77" s="1167"/>
      <c r="GN77" s="1167"/>
      <c r="GO77" s="1167"/>
      <c r="GP77" s="1167"/>
      <c r="GQ77" s="1167"/>
      <c r="GR77" s="1167"/>
      <c r="GS77" s="1167"/>
      <c r="GT77" s="1167"/>
      <c r="GU77" s="1167"/>
      <c r="GV77" s="1167"/>
      <c r="GW77" s="1167"/>
      <c r="GX77" s="1167"/>
      <c r="GY77" s="1167"/>
      <c r="GZ77" s="1167"/>
      <c r="HA77" s="1167"/>
      <c r="HB77" s="1167"/>
      <c r="HC77" s="1167"/>
      <c r="HD77" s="1167"/>
      <c r="HE77" s="1167"/>
      <c r="HF77" s="1167"/>
      <c r="HG77" s="1167"/>
      <c r="HH77" s="1167"/>
      <c r="HI77" s="1167"/>
      <c r="HJ77" s="1167"/>
      <c r="HK77" s="1167"/>
      <c r="HL77" s="1167"/>
      <c r="HM77" s="1167"/>
      <c r="HN77" s="1167"/>
      <c r="HO77" s="1167"/>
      <c r="HP77" s="1167"/>
      <c r="HQ77" s="1167"/>
    </row>
    <row r="78" customFormat="false" ht="15" hidden="false" customHeight="true" outlineLevel="0" collapsed="false">
      <c r="A78" s="1453"/>
      <c r="B78" s="1167"/>
      <c r="C78" s="1167"/>
      <c r="D78" s="1167"/>
      <c r="E78" s="1453"/>
      <c r="F78" s="1167"/>
      <c r="G78" s="1167"/>
      <c r="H78" s="1167"/>
      <c r="I78" s="1453"/>
      <c r="J78" s="1167"/>
      <c r="K78" s="1167"/>
      <c r="L78" s="1167"/>
      <c r="M78" s="1167"/>
      <c r="N78" s="1167"/>
      <c r="O78" s="1167"/>
      <c r="P78" s="1167"/>
      <c r="Q78" s="1453"/>
      <c r="R78" s="1167"/>
      <c r="S78" s="1198"/>
      <c r="T78" s="1198"/>
      <c r="U78" s="1198"/>
      <c r="V78" s="1198"/>
      <c r="W78" s="1198"/>
      <c r="X78" s="1198"/>
      <c r="Y78" s="1198"/>
      <c r="Z78" s="1198"/>
      <c r="AA78" s="1198"/>
      <c r="AB78" s="1198"/>
      <c r="AC78" s="1198"/>
      <c r="AD78" s="1198"/>
      <c r="AE78" s="1167"/>
      <c r="AF78" s="1453"/>
      <c r="AG78" s="1468"/>
      <c r="AH78" s="1198"/>
      <c r="AI78" s="1198"/>
      <c r="AJ78" s="1198"/>
      <c r="AK78" s="1198"/>
      <c r="AL78" s="1198"/>
      <c r="AM78" s="1198"/>
      <c r="AN78" s="1481"/>
      <c r="AO78" s="1468"/>
      <c r="AP78" s="1198"/>
      <c r="AQ78" s="1198"/>
      <c r="AR78" s="1198"/>
      <c r="AS78" s="1198"/>
      <c r="AT78" s="1198"/>
      <c r="AU78" s="1198"/>
      <c r="AV78" s="1167"/>
      <c r="AW78" s="1167"/>
      <c r="AX78" s="1167"/>
      <c r="AY78" s="1167"/>
      <c r="AZ78" s="1167"/>
      <c r="BA78" s="1167"/>
      <c r="BB78" s="1150"/>
      <c r="BC78" s="1150"/>
      <c r="BD78" s="1150"/>
      <c r="BE78" s="1446"/>
      <c r="BF78" s="1167"/>
      <c r="BG78" s="1167"/>
      <c r="BH78" s="1167"/>
      <c r="BI78" s="1167"/>
      <c r="BJ78" s="1167"/>
      <c r="BK78" s="1150"/>
      <c r="BL78" s="1150"/>
      <c r="BM78" s="1446"/>
      <c r="BN78" s="1198"/>
      <c r="BO78" s="1198"/>
      <c r="BP78" s="1198"/>
      <c r="BQ78" s="1198"/>
      <c r="BR78" s="1198"/>
      <c r="BS78" s="1198"/>
      <c r="BT78" s="1198"/>
      <c r="BU78" s="1198"/>
      <c r="BV78" s="1198"/>
      <c r="BW78" s="1198"/>
      <c r="BX78" s="1198"/>
      <c r="BY78" s="1198"/>
      <c r="BZ78" s="1150"/>
      <c r="CA78" s="1167"/>
      <c r="CB78" s="1453"/>
      <c r="CC78" s="1446"/>
      <c r="CD78" s="1167"/>
      <c r="CE78" s="1167"/>
      <c r="CF78" s="1167"/>
      <c r="CG78" s="1167"/>
      <c r="CH78" s="1167"/>
      <c r="CI78" s="1167"/>
      <c r="CJ78" s="1453"/>
      <c r="CK78" s="1167"/>
      <c r="CL78" s="1198"/>
      <c r="CM78" s="1198"/>
      <c r="CN78" s="1198"/>
      <c r="CO78" s="1198"/>
      <c r="CP78" s="1198"/>
      <c r="CQ78" s="1198"/>
      <c r="CR78" s="1198"/>
      <c r="CS78" s="1198"/>
      <c r="CT78" s="1198"/>
      <c r="CU78" s="1198"/>
      <c r="CV78" s="1198"/>
      <c r="CW78" s="1198"/>
      <c r="CX78" s="1167"/>
      <c r="CY78" s="1167"/>
      <c r="CZ78" s="1167"/>
      <c r="DA78" s="1262"/>
      <c r="DB78" s="1198"/>
      <c r="DC78" s="1198"/>
      <c r="DD78" s="1198"/>
      <c r="DE78" s="1198"/>
      <c r="DF78" s="1167"/>
      <c r="DG78" s="1453"/>
      <c r="DH78" s="1466"/>
      <c r="DI78" s="1198"/>
      <c r="DJ78" s="1198"/>
      <c r="DK78" s="1198"/>
      <c r="DL78" s="1198"/>
      <c r="DM78" s="1198"/>
      <c r="DN78" s="1198"/>
      <c r="DO78" s="1198"/>
      <c r="DP78" s="1198"/>
      <c r="DQ78" s="1198"/>
      <c r="DR78" s="1198"/>
      <c r="DS78" s="1198"/>
      <c r="DT78" s="1198"/>
      <c r="DU78" s="1167"/>
      <c r="DV78" s="1453"/>
      <c r="DW78" s="1466"/>
      <c r="DX78" s="1198"/>
      <c r="DY78" s="1198"/>
      <c r="DZ78" s="1198"/>
      <c r="EA78" s="1198"/>
      <c r="EB78" s="1198"/>
      <c r="EC78" s="1167"/>
      <c r="ED78" s="1453"/>
      <c r="EE78" s="1466"/>
      <c r="EF78" s="1262"/>
      <c r="EG78" s="1262"/>
      <c r="EH78" s="1262"/>
      <c r="EI78" s="1262"/>
      <c r="EJ78" s="1262"/>
      <c r="EK78" s="1262"/>
      <c r="EL78" s="1262"/>
      <c r="EM78" s="1262"/>
      <c r="EN78" s="1198"/>
      <c r="EO78" s="1198"/>
      <c r="EP78" s="1198"/>
      <c r="EQ78" s="1198"/>
      <c r="ER78" s="1475"/>
      <c r="ES78" s="1465"/>
      <c r="ET78" s="1375"/>
      <c r="EU78" s="1167"/>
      <c r="EV78" s="1167"/>
      <c r="EW78" s="1167"/>
      <c r="EX78" s="1167"/>
      <c r="EY78" s="1167"/>
      <c r="EZ78" s="1167"/>
      <c r="FA78" s="1167"/>
      <c r="FB78" s="1466"/>
      <c r="FC78" s="1167"/>
      <c r="FD78" s="1167"/>
      <c r="FE78" s="1167"/>
      <c r="FF78" s="1167"/>
      <c r="FG78" s="1167"/>
      <c r="FH78" s="1167"/>
      <c r="FI78" s="1167"/>
      <c r="FJ78" s="1453"/>
      <c r="FK78" s="1466"/>
      <c r="FL78" s="1167"/>
      <c r="FM78" s="1167"/>
      <c r="FN78" s="1167"/>
      <c r="FO78" s="1167"/>
      <c r="FP78" s="1453"/>
      <c r="FQ78" s="1466"/>
      <c r="FR78" s="1167"/>
      <c r="FS78" s="1167"/>
      <c r="FT78" s="1167"/>
      <c r="FU78" s="1167"/>
      <c r="FV78" s="1167"/>
      <c r="FW78" s="1167"/>
      <c r="FX78" s="1485"/>
      <c r="FY78" s="1167"/>
      <c r="FZ78" s="1167"/>
      <c r="GA78" s="1466"/>
      <c r="GB78" s="1167"/>
      <c r="GC78" s="1167"/>
      <c r="GD78" s="1167"/>
      <c r="GE78" s="1167"/>
      <c r="GF78" s="1167"/>
      <c r="GG78" s="1167"/>
      <c r="GH78" s="1167"/>
      <c r="GI78" s="1167"/>
      <c r="GJ78" s="1167"/>
      <c r="GK78" s="1167"/>
      <c r="GL78" s="1167"/>
      <c r="GM78" s="1167"/>
      <c r="GN78" s="1167"/>
      <c r="GO78" s="1167"/>
      <c r="GP78" s="1167"/>
      <c r="GQ78" s="1167"/>
      <c r="GR78" s="1167"/>
      <c r="GS78" s="1167"/>
      <c r="GT78" s="1167"/>
      <c r="GU78" s="1167"/>
      <c r="GV78" s="1167"/>
      <c r="GW78" s="1167"/>
      <c r="GX78" s="1167"/>
      <c r="GY78" s="1167"/>
      <c r="GZ78" s="1167"/>
      <c r="HA78" s="1167"/>
      <c r="HB78" s="1167"/>
      <c r="HC78" s="1167"/>
      <c r="HD78" s="1167"/>
      <c r="HE78" s="1167"/>
      <c r="HF78" s="1167"/>
      <c r="HG78" s="1167"/>
      <c r="HH78" s="1167"/>
      <c r="HI78" s="1167"/>
      <c r="HJ78" s="1167"/>
      <c r="HK78" s="1167"/>
      <c r="HL78" s="1167"/>
      <c r="HM78" s="1167"/>
      <c r="HN78" s="1167"/>
      <c r="HO78" s="1167"/>
      <c r="HP78" s="1167"/>
      <c r="HQ78" s="1167"/>
    </row>
  </sheetData>
  <mergeCells count="30">
    <mergeCell ref="A1:A30"/>
    <mergeCell ref="B1:C1"/>
    <mergeCell ref="E1:E28"/>
    <mergeCell ref="F1:G1"/>
    <mergeCell ref="I1:I41"/>
    <mergeCell ref="Q1:Q41"/>
    <mergeCell ref="AF1:AF31"/>
    <mergeCell ref="AN1:AN31"/>
    <mergeCell ref="BD1:BD36"/>
    <mergeCell ref="BL1:BL36"/>
    <mergeCell ref="CB1:CB29"/>
    <mergeCell ref="CJ1:CJ29"/>
    <mergeCell ref="CY1:CY30"/>
    <mergeCell ref="DG1:DG31"/>
    <mergeCell ref="DV1:DV31"/>
    <mergeCell ref="ED1:ED31"/>
    <mergeCell ref="ES1:ES26"/>
    <mergeCell ref="FA1:FA29"/>
    <mergeCell ref="FB1:FG1"/>
    <mergeCell ref="FJ1:FJ38"/>
    <mergeCell ref="FP1:FP19"/>
    <mergeCell ref="FX1:FX55"/>
    <mergeCell ref="FZ1:FZ55"/>
    <mergeCell ref="GI1:GI12"/>
    <mergeCell ref="GS1:GS12"/>
    <mergeCell ref="HJ1:HJ13"/>
    <mergeCell ref="B6:C6"/>
    <mergeCell ref="F6:G6"/>
    <mergeCell ref="ET7:ET8"/>
    <mergeCell ref="FB16:FG16"/>
  </mergeCells>
  <printOptions headings="false" gridLines="false" gridLinesSet="true" horizontalCentered="false" verticalCentered="false"/>
  <pageMargins left="0.75" right="0.75" top="1" bottom="1" header="0.511811023622047" footer="0.511811023622047"/>
  <pageSetup paperSize="5"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1B474D"/>
    <pageSetUpPr fitToPage="false"/>
  </sheetPr>
  <dimension ref="B1:I79"/>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pane xSplit="1" ySplit="4" topLeftCell="B16" activePane="bottomRight" state="frozen"/>
      <selection pane="topLeft" activeCell="A1" activeCellId="0" sqref="A1"/>
      <selection pane="topRight" activeCell="B1" activeCellId="0" sqref="B1"/>
      <selection pane="bottomLeft" activeCell="A16" activeCellId="0" sqref="A16"/>
      <selection pane="bottomRight" activeCell="E80" activeCellId="0" sqref="E80"/>
    </sheetView>
  </sheetViews>
  <sheetFormatPr defaultColWidth="8.6328125" defaultRowHeight="15" customHeight="true" zeroHeight="false" outlineLevelRow="0" outlineLevelCol="0"/>
  <cols>
    <col collapsed="false" customWidth="true" hidden="false" outlineLevel="0" max="1" min="1" style="1" width="3"/>
    <col collapsed="false" customWidth="true" hidden="false" outlineLevel="0" max="2" min="2" style="1" width="38"/>
    <col collapsed="false" customWidth="true" hidden="false" outlineLevel="0" max="3" min="3" style="1" width="15.36"/>
    <col collapsed="false" customWidth="true" hidden="false" outlineLevel="0" max="7" min="4" style="1" width="14"/>
    <col collapsed="false" customWidth="true" hidden="false" outlineLevel="0" max="8" min="8" style="1" width="16"/>
    <col collapsed="false" customWidth="true" hidden="false" outlineLevel="0" max="9" min="9" style="1" width="36"/>
  </cols>
  <sheetData>
    <row r="1" customFormat="false" ht="7.5" hidden="false" customHeight="true" outlineLevel="0" collapsed="false"/>
    <row r="2" customFormat="false" ht="31.5" hidden="false" customHeight="true" outlineLevel="0" collapsed="false">
      <c r="B2" s="1487" t="s">
        <v>1937</v>
      </c>
      <c r="C2" s="1487"/>
      <c r="D2" s="1487"/>
      <c r="E2" s="1487"/>
      <c r="F2" s="1487"/>
      <c r="G2" s="1487"/>
      <c r="H2" s="1487"/>
      <c r="I2" s="1487"/>
    </row>
    <row r="3" customFormat="false" ht="15" hidden="false" customHeight="true" outlineLevel="0" collapsed="false">
      <c r="B3" s="1488" t="s">
        <v>1938</v>
      </c>
      <c r="C3" s="1488"/>
      <c r="D3" s="1488"/>
      <c r="E3" s="1488"/>
      <c r="F3" s="1488"/>
      <c r="G3" s="1488"/>
      <c r="H3" s="1488"/>
      <c r="I3" s="1488"/>
    </row>
    <row r="5" customFormat="false" ht="16.5" hidden="false" customHeight="true" outlineLevel="0" collapsed="false">
      <c r="B5" s="1489" t="s">
        <v>1939</v>
      </c>
      <c r="C5" s="1489"/>
      <c r="D5" s="1489"/>
      <c r="E5" s="1489"/>
      <c r="F5" s="1489"/>
      <c r="G5" s="1489"/>
      <c r="H5" s="1489"/>
      <c r="I5" s="1489"/>
    </row>
    <row r="7" customFormat="false" ht="15" hidden="false" customHeight="true" outlineLevel="0" collapsed="false">
      <c r="B7" s="1490" t="s">
        <v>1811</v>
      </c>
      <c r="C7" s="1490" t="s">
        <v>386</v>
      </c>
      <c r="D7" s="1490" t="s">
        <v>387</v>
      </c>
      <c r="E7" s="1490" t="s">
        <v>388</v>
      </c>
      <c r="F7" s="1490" t="s">
        <v>389</v>
      </c>
      <c r="G7" s="1490" t="s">
        <v>390</v>
      </c>
      <c r="H7" s="1490" t="s">
        <v>1940</v>
      </c>
      <c r="I7" s="1490" t="s">
        <v>76</v>
      </c>
    </row>
    <row r="8" customFormat="false" ht="15" hidden="false" customHeight="true" outlineLevel="0" collapsed="false">
      <c r="B8" s="1491" t="s">
        <v>228</v>
      </c>
      <c r="C8" s="1492" t="n">
        <f aca="false">SUM('P&amp;L'!B19:M19)</f>
        <v>9797302.58344048</v>
      </c>
      <c r="D8" s="1492" t="n">
        <f aca="false">SUM('P&amp;L'!N19:Y19)</f>
        <v>63473726.2030143</v>
      </c>
      <c r="E8" s="1492" t="n">
        <f aca="false">SUM('P&amp;L'!Z19:AK19)</f>
        <v>167140846.428</v>
      </c>
      <c r="F8" s="1492" t="n">
        <f aca="false">SUM('P&amp;L'!AL19:AW19)</f>
        <v>181069250.297</v>
      </c>
      <c r="G8" s="1492" t="n">
        <f aca="false">SUM('P&amp;L'!AX19:BI19)</f>
        <v>194997654.166</v>
      </c>
      <c r="H8" s="1493" t="n">
        <f aca="false">SUM(C8:G8)</f>
        <v>616478779.677455</v>
      </c>
      <c r="I8" s="1491" t="s">
        <v>1941</v>
      </c>
    </row>
    <row r="9" customFormat="false" ht="15" hidden="false" customHeight="true" outlineLevel="0" collapsed="false">
      <c r="B9" s="1491" t="s">
        <v>1942</v>
      </c>
      <c r="C9" s="1492" t="n">
        <f aca="false">SUM('P&amp;L'!B21:M21)</f>
        <v>5108615.40330407</v>
      </c>
      <c r="D9" s="1492" t="n">
        <f aca="false">SUM('P&amp;L'!N21:Y21)</f>
        <v>25568044.7694644</v>
      </c>
      <c r="E9" s="1492" t="n">
        <f aca="false">SUM('P&amp;L'!Z21:AK21)</f>
        <v>64654825.8538181</v>
      </c>
      <c r="F9" s="1492" t="n">
        <f aca="false">SUM('P&amp;L'!AL21:AW21)</f>
        <v>67593681.5744462</v>
      </c>
      <c r="G9" s="1492" t="n">
        <f aca="false">SUM('P&amp;L'!AX21:BI21)</f>
        <v>70532537.2950743</v>
      </c>
      <c r="H9" s="1493" t="n">
        <f aca="false">SUM(C9:G9)</f>
        <v>233457704.896107</v>
      </c>
      <c r="I9" s="1491" t="s">
        <v>1943</v>
      </c>
    </row>
    <row r="10" customFormat="false" ht="15" hidden="false" customHeight="true" outlineLevel="0" collapsed="false">
      <c r="B10" s="1491" t="s">
        <v>1944</v>
      </c>
      <c r="C10" s="1492" t="n">
        <f aca="false">SUM('P&amp;L'!B22:M22)</f>
        <v>979730.258344048</v>
      </c>
      <c r="D10" s="1492" t="n">
        <f aca="false">SUM('P&amp;L'!N22:Y22)</f>
        <v>6347372.62030143</v>
      </c>
      <c r="E10" s="1492" t="n">
        <f aca="false">SUM('P&amp;L'!Z22:AK22)</f>
        <v>16714084.6428</v>
      </c>
      <c r="F10" s="1492" t="n">
        <f aca="false">SUM('P&amp;L'!AL22:AW22)</f>
        <v>18106925.0297</v>
      </c>
      <c r="G10" s="1492" t="n">
        <f aca="false">SUM('P&amp;L'!AX22:BI22)</f>
        <v>19499765.4166</v>
      </c>
      <c r="H10" s="1493" t="n">
        <f aca="false">SUM(C10:G10)</f>
        <v>61647877.9677455</v>
      </c>
      <c r="I10" s="1491" t="s">
        <v>1945</v>
      </c>
    </row>
    <row r="11" customFormat="false" ht="15" hidden="false" customHeight="true" outlineLevel="0" collapsed="false">
      <c r="B11" s="1491" t="s">
        <v>1909</v>
      </c>
      <c r="C11" s="1492" t="n">
        <f aca="false">SUM('P&amp;L'!B25:M25)</f>
        <v>3708956.92179236</v>
      </c>
      <c r="D11" s="1492" t="n">
        <f aca="false">SUM('P&amp;L'!N25:Y25)</f>
        <v>31558308.8132484</v>
      </c>
      <c r="E11" s="1492" t="n">
        <f aca="false">SUM('P&amp;L'!Z25:AK25)</f>
        <v>85771935.9313818</v>
      </c>
      <c r="F11" s="1492" t="n">
        <f aca="false">SUM('P&amp;L'!AL25:AW25)</f>
        <v>95368643.6928538</v>
      </c>
      <c r="G11" s="1492" t="n">
        <f aca="false">SUM('P&amp;L'!AX25:BI25)</f>
        <v>104965351.454326</v>
      </c>
      <c r="H11" s="1493" t="n">
        <f aca="false">SUM(C11:G11)</f>
        <v>321373196.813602</v>
      </c>
      <c r="I11" s="1491" t="s">
        <v>1946</v>
      </c>
    </row>
    <row r="12" customFormat="false" ht="15" hidden="false" customHeight="true" outlineLevel="0" collapsed="false">
      <c r="B12" s="1491" t="s">
        <v>1947</v>
      </c>
      <c r="C12" s="1492" t="n">
        <f aca="false">SUM('P&amp;L'!B41:M41)</f>
        <v>7158057.74494405</v>
      </c>
      <c r="D12" s="1492" t="n">
        <f aca="false">SUM('P&amp;L'!N41:Y41)</f>
        <v>20895282.5696614</v>
      </c>
      <c r="E12" s="1492" t="n">
        <f aca="false">SUM('P&amp;L'!Z41:AK41)</f>
        <v>35027776.063542</v>
      </c>
      <c r="F12" s="1492" t="n">
        <f aca="false">SUM('P&amp;L'!AL41:AW41)</f>
        <v>37218991.7694791</v>
      </c>
      <c r="G12" s="1492" t="n">
        <f aca="false">SUM('P&amp;L'!AX41:BI41)</f>
        <v>39450126.2413681</v>
      </c>
      <c r="H12" s="1493" t="n">
        <f aca="false">SUM(C12:G12)</f>
        <v>139750234.388995</v>
      </c>
      <c r="I12" s="1491" t="s">
        <v>1948</v>
      </c>
    </row>
    <row r="13" customFormat="false" ht="15" hidden="false" customHeight="true" outlineLevel="0" collapsed="false">
      <c r="B13" s="1491" t="s">
        <v>1734</v>
      </c>
      <c r="C13" s="1492" t="n">
        <f aca="false">SUM('P&amp;L'!B49:M49)</f>
        <v>-2805020.99815169</v>
      </c>
      <c r="D13" s="1492" t="n">
        <f aca="false">SUM('P&amp;L'!N49:Y49)</f>
        <v>12997560.903587</v>
      </c>
      <c r="E13" s="1492" t="n">
        <f aca="false">SUM('P&amp;L'!Z49:AK49)</f>
        <v>53090344.9078398</v>
      </c>
      <c r="F13" s="1492" t="n">
        <f aca="false">SUM('P&amp;L'!AL49:AW49)</f>
        <v>60495836.9633747</v>
      </c>
      <c r="G13" s="1492" t="n">
        <f aca="false">SUM('P&amp;L'!AX49:BI49)</f>
        <v>67861410.2529576</v>
      </c>
      <c r="H13" s="1493" t="n">
        <f aca="false">SUM(C13:G13)</f>
        <v>191640132.029607</v>
      </c>
      <c r="I13" s="1491" t="s">
        <v>1949</v>
      </c>
    </row>
    <row r="14" customFormat="false" ht="15" hidden="false" customHeight="true" outlineLevel="0" collapsed="false">
      <c r="B14" s="1491" t="s">
        <v>111</v>
      </c>
      <c r="C14" s="1492" t="n">
        <f aca="false">SUM('P&amp;L'!B46:M46)</f>
        <v>-3831207.37527624</v>
      </c>
      <c r="D14" s="1492" t="n">
        <f aca="false">SUM('P&amp;L'!N46:Y46)</f>
        <v>8408716.91682543</v>
      </c>
      <c r="E14" s="1492" t="n">
        <f aca="false">SUM('P&amp;L'!Z46:AK46)</f>
        <v>42095422.6414667</v>
      </c>
      <c r="F14" s="1492" t="n">
        <f aca="false">SUM('P&amp;L'!AL46:AW46)</f>
        <v>48489992.1730687</v>
      </c>
      <c r="G14" s="1492" t="n">
        <f aca="false">SUM('P&amp;L'!AX46:BI46)</f>
        <v>54856792.4462355</v>
      </c>
      <c r="H14" s="1493" t="n">
        <f aca="false">SUM(C14:G14)</f>
        <v>150019716.80232</v>
      </c>
      <c r="I14" s="1491" t="s">
        <v>1950</v>
      </c>
    </row>
    <row r="15" customFormat="false" ht="15" hidden="false" customHeight="true" outlineLevel="0" collapsed="false">
      <c r="B15" s="1491" t="s">
        <v>1735</v>
      </c>
      <c r="C15" s="1494" t="n">
        <f aca="false">IFERROR(C13/C8,0)</f>
        <v>-0.28630543705905</v>
      </c>
      <c r="D15" s="1494" t="n">
        <f aca="false">IFERROR(D13/D8,0)</f>
        <v>0.204770724535938</v>
      </c>
      <c r="E15" s="1494" t="n">
        <f aca="false">IFERROR(E13/E8,0)</f>
        <v>0.317638363347106</v>
      </c>
      <c r="F15" s="1494" t="n">
        <f aca="false">IFERROR(F13/F8,0)</f>
        <v>0.334103316074629</v>
      </c>
      <c r="G15" s="1494" t="n">
        <f aca="false">IFERROR(G13/G8,0)</f>
        <v>0.34801141861526</v>
      </c>
      <c r="H15" s="1495" t="n">
        <f aca="false">IFERROR(H13/H8,0)</f>
        <v>0.310862495753503</v>
      </c>
      <c r="I15" s="1491" t="s">
        <v>1951</v>
      </c>
    </row>
    <row r="16" customFormat="false" ht="15" hidden="false" customHeight="true" outlineLevel="0" collapsed="false">
      <c r="B16" s="1" t="s">
        <v>1952</v>
      </c>
    </row>
    <row r="17" customFormat="false" ht="16.5" hidden="false" customHeight="true" outlineLevel="0" collapsed="false">
      <c r="B17" s="1489" t="s">
        <v>1953</v>
      </c>
      <c r="C17" s="1489"/>
      <c r="D17" s="1489"/>
      <c r="E17" s="1489"/>
      <c r="F17" s="1489"/>
      <c r="G17" s="1489"/>
      <c r="H17" s="1489"/>
      <c r="I17" s="1489"/>
    </row>
    <row r="19" customFormat="false" ht="15" hidden="false" customHeight="true" outlineLevel="0" collapsed="false">
      <c r="B19" s="1490" t="s">
        <v>1811</v>
      </c>
      <c r="C19" s="1490" t="s">
        <v>386</v>
      </c>
      <c r="D19" s="1490" t="s">
        <v>387</v>
      </c>
      <c r="E19" s="1490" t="s">
        <v>388</v>
      </c>
      <c r="F19" s="1490" t="s">
        <v>389</v>
      </c>
      <c r="G19" s="1490" t="s">
        <v>390</v>
      </c>
      <c r="H19" s="1490" t="s">
        <v>1940</v>
      </c>
      <c r="I19" s="1490" t="s">
        <v>76</v>
      </c>
    </row>
    <row r="20" customFormat="false" ht="15" hidden="false" customHeight="true" outlineLevel="0" collapsed="false">
      <c r="B20" s="1491" t="s">
        <v>228</v>
      </c>
      <c r="C20" s="1496" t="n">
        <v>0</v>
      </c>
      <c r="D20" s="1496" t="n">
        <v>15000000</v>
      </c>
      <c r="E20" s="1496" t="n">
        <v>60000000</v>
      </c>
      <c r="F20" s="1496" t="n">
        <v>115000000</v>
      </c>
      <c r="G20" s="1496" t="n">
        <v>150000000</v>
      </c>
      <c r="H20" s="1493" t="n">
        <f aca="false">SUM(C20:G20)</f>
        <v>340000000</v>
      </c>
      <c r="I20" s="1491" t="s">
        <v>1954</v>
      </c>
    </row>
    <row r="21" customFormat="false" ht="15" hidden="false" customHeight="true" outlineLevel="0" collapsed="false">
      <c r="B21" s="1491" t="s">
        <v>1955</v>
      </c>
      <c r="C21" s="1497" t="n">
        <v>0</v>
      </c>
      <c r="D21" s="1497" t="n">
        <v>-0.08</v>
      </c>
      <c r="E21" s="1497" t="n">
        <v>0.06</v>
      </c>
      <c r="F21" s="1497" t="n">
        <v>0.155</v>
      </c>
      <c r="G21" s="1497" t="n">
        <v>0.204</v>
      </c>
      <c r="I21" s="1491" t="s">
        <v>1956</v>
      </c>
    </row>
    <row r="22" customFormat="false" ht="15" hidden="false" customHeight="true" outlineLevel="0" collapsed="false">
      <c r="B22" s="1491" t="s">
        <v>1734</v>
      </c>
      <c r="C22" s="1492" t="n">
        <f aca="false">C20*C21</f>
        <v>0</v>
      </c>
      <c r="D22" s="1492" t="n">
        <f aca="false">D20*D21</f>
        <v>-1200000</v>
      </c>
      <c r="E22" s="1492" t="n">
        <f aca="false">E20*E21</f>
        <v>3600000</v>
      </c>
      <c r="F22" s="1492" t="n">
        <f aca="false">F20*F21</f>
        <v>17825000</v>
      </c>
      <c r="G22" s="1492" t="n">
        <f aca="false">G20*G21</f>
        <v>30600000</v>
      </c>
      <c r="H22" s="1493" t="n">
        <f aca="false">SUM(C22:G22)</f>
        <v>50825000</v>
      </c>
      <c r="I22" s="1491" t="s">
        <v>1957</v>
      </c>
    </row>
    <row r="23" customFormat="false" ht="15" hidden="false" customHeight="true" outlineLevel="0" collapsed="false">
      <c r="B23" s="1491" t="s">
        <v>1958</v>
      </c>
      <c r="C23" s="1492" t="n">
        <f aca="false">IF(C22&lt;=0,C22,C22*0.85)</f>
        <v>0</v>
      </c>
      <c r="D23" s="1492" t="n">
        <f aca="false">IF(D22&lt;=0,D22,D22*0.85)</f>
        <v>-1200000</v>
      </c>
      <c r="E23" s="1492" t="n">
        <f aca="false">IF(E22&lt;=0,E22,E22*0.85)</f>
        <v>3060000</v>
      </c>
      <c r="F23" s="1492" t="n">
        <f aca="false">IF(F22&lt;=0,F22,F22*0.85)</f>
        <v>15151250</v>
      </c>
      <c r="G23" s="1492" t="n">
        <f aca="false">IF(G22&lt;=0,G22,G22*0.85)</f>
        <v>26010000</v>
      </c>
      <c r="H23" s="1493" t="n">
        <f aca="false">SUM(C23:G23)</f>
        <v>43021250</v>
      </c>
      <c r="I23" s="1491" t="s">
        <v>1959</v>
      </c>
    </row>
    <row r="25" customFormat="false" ht="16.5" hidden="false" customHeight="true" outlineLevel="0" collapsed="false">
      <c r="B25" s="1489" t="s">
        <v>1960</v>
      </c>
      <c r="C25" s="1489"/>
      <c r="D25" s="1489"/>
      <c r="E25" s="1489"/>
      <c r="F25" s="1489"/>
      <c r="G25" s="1489"/>
      <c r="H25" s="1489"/>
      <c r="I25" s="1489"/>
    </row>
    <row r="27" customFormat="false" ht="15" hidden="false" customHeight="true" outlineLevel="0" collapsed="false">
      <c r="B27" s="1490" t="s">
        <v>1811</v>
      </c>
      <c r="C27" s="1490" t="s">
        <v>386</v>
      </c>
      <c r="D27" s="1490" t="s">
        <v>387</v>
      </c>
      <c r="E27" s="1490" t="s">
        <v>388</v>
      </c>
      <c r="F27" s="1490" t="s">
        <v>389</v>
      </c>
      <c r="G27" s="1490" t="s">
        <v>390</v>
      </c>
      <c r="H27" s="1490" t="s">
        <v>1940</v>
      </c>
      <c r="I27" s="1490" t="s">
        <v>76</v>
      </c>
    </row>
    <row r="28" customFormat="false" ht="15" hidden="false" customHeight="true" outlineLevel="0" collapsed="false">
      <c r="B28" s="1498" t="s">
        <v>1961</v>
      </c>
      <c r="C28" s="1499" t="n">
        <f aca="false">C8+C20</f>
        <v>9797302.58344048</v>
      </c>
      <c r="D28" s="1499" t="n">
        <f aca="false">D8+D20</f>
        <v>78473726.2030143</v>
      </c>
      <c r="E28" s="1499" t="n">
        <f aca="false">E8+E20</f>
        <v>227140846.428</v>
      </c>
      <c r="F28" s="1499" t="n">
        <f aca="false">F8+F20</f>
        <v>296069250.297</v>
      </c>
      <c r="G28" s="1499" t="n">
        <f aca="false">G8+G20</f>
        <v>344997654.166</v>
      </c>
      <c r="H28" s="1493" t="n">
        <f aca="false">SUM(C28:G28)</f>
        <v>956478779.677455</v>
      </c>
      <c r="I28" s="1491" t="s">
        <v>1962</v>
      </c>
    </row>
    <row r="29" customFormat="false" ht="15" hidden="false" customHeight="true" outlineLevel="0" collapsed="false">
      <c r="B29" s="1498" t="s">
        <v>1963</v>
      </c>
      <c r="C29" s="1500" t="n">
        <f aca="false">C13+C22</f>
        <v>-2805020.99815169</v>
      </c>
      <c r="D29" s="1500" t="n">
        <f aca="false">D13+D22</f>
        <v>11797560.903587</v>
      </c>
      <c r="E29" s="1500" t="n">
        <f aca="false">E13+E22</f>
        <v>56690344.9078398</v>
      </c>
      <c r="F29" s="1500" t="n">
        <f aca="false">F13+F22</f>
        <v>78320836.9633747</v>
      </c>
      <c r="G29" s="1500" t="n">
        <f aca="false">G13+G22</f>
        <v>98461410.2529576</v>
      </c>
      <c r="H29" s="1493" t="n">
        <f aca="false">SUM(C29:G29)</f>
        <v>242465132.029607</v>
      </c>
      <c r="I29" s="1491" t="s">
        <v>1962</v>
      </c>
    </row>
    <row r="30" customFormat="false" ht="15" hidden="false" customHeight="true" outlineLevel="0" collapsed="false">
      <c r="B30" s="1498" t="s">
        <v>1964</v>
      </c>
      <c r="C30" s="1499" t="n">
        <f aca="false">C14+C23</f>
        <v>-3831207.37527624</v>
      </c>
      <c r="D30" s="1499" t="n">
        <f aca="false">D14+D23</f>
        <v>7208716.91682543</v>
      </c>
      <c r="E30" s="1499" t="n">
        <f aca="false">E14+E23</f>
        <v>45155422.6414667</v>
      </c>
      <c r="F30" s="1499" t="n">
        <f aca="false">F14+F23</f>
        <v>63641242.1730687</v>
      </c>
      <c r="G30" s="1499" t="n">
        <f aca="false">G14+G23</f>
        <v>80866792.4462355</v>
      </c>
      <c r="H30" s="1493" t="n">
        <f aca="false">SUM(C30:G30)</f>
        <v>193040966.80232</v>
      </c>
      <c r="I30" s="1491" t="s">
        <v>1962</v>
      </c>
    </row>
    <row r="31" customFormat="false" ht="15" hidden="false" customHeight="true" outlineLevel="0" collapsed="false">
      <c r="B31" s="1498" t="s">
        <v>1965</v>
      </c>
      <c r="C31" s="1501" t="n">
        <f aca="false">IFERROR(C29/C28,0)</f>
        <v>-0.28630543705905</v>
      </c>
      <c r="D31" s="1501" t="n">
        <f aca="false">IFERROR(D29/D28,0)</f>
        <v>0.150337717786795</v>
      </c>
      <c r="E31" s="1501" t="n">
        <f aca="false">IFERROR(E29/E28,0)</f>
        <v>0.249582344168158</v>
      </c>
      <c r="F31" s="1501" t="n">
        <f aca="false">IFERROR(F29/F28,0)</f>
        <v>0.264535533105203</v>
      </c>
      <c r="G31" s="1501" t="n">
        <f aca="false">IFERROR(G29/G28,0)</f>
        <v>0.285397332602098</v>
      </c>
      <c r="H31" s="1495" t="n">
        <f aca="false">IFERROR(H29/H28,0)</f>
        <v>0.253497659520865</v>
      </c>
      <c r="I31" s="1491" t="s">
        <v>1966</v>
      </c>
    </row>
    <row r="33" customFormat="false" ht="16.5" hidden="false" customHeight="true" outlineLevel="0" collapsed="false">
      <c r="B33" s="1489" t="s">
        <v>1967</v>
      </c>
      <c r="C33" s="1489"/>
      <c r="D33" s="1489"/>
      <c r="E33" s="1489"/>
      <c r="F33" s="1489"/>
      <c r="G33" s="1489"/>
      <c r="H33" s="1489"/>
      <c r="I33" s="1489"/>
    </row>
    <row r="35" customFormat="false" ht="15" hidden="false" customHeight="true" outlineLevel="0" collapsed="false">
      <c r="B35" s="1490" t="s">
        <v>1968</v>
      </c>
      <c r="C35" s="1490" t="s">
        <v>305</v>
      </c>
      <c r="D35" s="1490" t="s">
        <v>1969</v>
      </c>
      <c r="E35" s="1490" t="s">
        <v>1970</v>
      </c>
      <c r="F35" s="1490" t="s">
        <v>1971</v>
      </c>
      <c r="G35" s="1502" t="s">
        <v>1972</v>
      </c>
      <c r="H35" s="1502"/>
      <c r="I35" s="1502"/>
    </row>
    <row r="36" customFormat="false" ht="15" hidden="false" customHeight="true" outlineLevel="0" collapsed="false">
      <c r="B36" s="1491" t="s">
        <v>1973</v>
      </c>
      <c r="C36" s="1492" t="n">
        <f aca="false">G13</f>
        <v>67861410.2529576</v>
      </c>
      <c r="D36" s="1503" t="n">
        <v>14.7</v>
      </c>
      <c r="E36" s="1499" t="n">
        <f aca="false">C36*D36</f>
        <v>997562730.718476</v>
      </c>
      <c r="F36" s="1492" t="n">
        <f aca="false">E36-1000000000</f>
        <v>-2437269.28152359</v>
      </c>
      <c r="G36" s="1504" t="s">
        <v>1974</v>
      </c>
      <c r="H36" s="1504"/>
      <c r="I36" s="1504"/>
    </row>
    <row r="37" customFormat="false" ht="15" hidden="false" customHeight="true" outlineLevel="0" collapsed="false">
      <c r="B37" s="1491" t="s">
        <v>1975</v>
      </c>
      <c r="C37" s="1492" t="n">
        <f aca="false">G13</f>
        <v>67861410.2529576</v>
      </c>
      <c r="D37" s="1503" t="n">
        <v>12</v>
      </c>
      <c r="E37" s="1499" t="n">
        <f aca="false">C37*D37</f>
        <v>814336923.035491</v>
      </c>
      <c r="F37" s="1492" t="n">
        <f aca="false">E37-1000000000</f>
        <v>-185663076.964509</v>
      </c>
      <c r="G37" s="1504" t="s">
        <v>1976</v>
      </c>
      <c r="H37" s="1504"/>
      <c r="I37" s="1504"/>
    </row>
    <row r="38" customFormat="false" ht="15" hidden="false" customHeight="true" outlineLevel="0" collapsed="false">
      <c r="B38" s="1491" t="s">
        <v>1977</v>
      </c>
      <c r="C38" s="1492" t="n">
        <f aca="false">G29</f>
        <v>98461410.2529576</v>
      </c>
      <c r="D38" s="1503" t="n">
        <v>9.6</v>
      </c>
      <c r="E38" s="1499" t="n">
        <f aca="false">C38*D38</f>
        <v>945229538.428393</v>
      </c>
      <c r="F38" s="1492" t="n">
        <f aca="false">E38-1000000000</f>
        <v>-54770461.5716072</v>
      </c>
      <c r="G38" s="1504" t="s">
        <v>1978</v>
      </c>
      <c r="H38" s="1504"/>
      <c r="I38" s="1504"/>
    </row>
    <row r="39" customFormat="false" ht="15" hidden="false" customHeight="true" outlineLevel="0" collapsed="false">
      <c r="B39" s="1505" t="s">
        <v>1979</v>
      </c>
      <c r="C39" s="1506" t="n">
        <f aca="false">G29</f>
        <v>98461410.2529576</v>
      </c>
      <c r="D39" s="1503" t="n">
        <v>12</v>
      </c>
      <c r="E39" s="1507" t="n">
        <f aca="false">C39*D39</f>
        <v>1181536923.03549</v>
      </c>
      <c r="F39" s="1506" t="n">
        <f aca="false">E39-1000000000</f>
        <v>181536923.035491</v>
      </c>
      <c r="G39" s="1504" t="s">
        <v>1980</v>
      </c>
      <c r="H39" s="1504"/>
      <c r="I39" s="1504"/>
    </row>
    <row r="40" customFormat="false" ht="15" hidden="false" customHeight="true" outlineLevel="0" collapsed="false">
      <c r="B40" s="1505" t="s">
        <v>1981</v>
      </c>
      <c r="C40" s="1506" t="n">
        <f aca="false">G29</f>
        <v>98461410.2529576</v>
      </c>
      <c r="D40" s="1503" t="n">
        <v>14</v>
      </c>
      <c r="E40" s="1507" t="n">
        <f aca="false">C40*D40</f>
        <v>1378459743.54141</v>
      </c>
      <c r="F40" s="1506" t="n">
        <f aca="false">E40-1000000000</f>
        <v>378459743.541406</v>
      </c>
      <c r="G40" s="1504" t="s">
        <v>1982</v>
      </c>
      <c r="H40" s="1504"/>
      <c r="I40" s="1504"/>
    </row>
    <row r="41" customFormat="false" ht="15" hidden="false" customHeight="true" outlineLevel="0" collapsed="false">
      <c r="B41" s="1505" t="s">
        <v>1983</v>
      </c>
      <c r="C41" s="1506" t="n">
        <f aca="false">G29*1.15</f>
        <v>113230621.790901</v>
      </c>
      <c r="D41" s="1503" t="n">
        <v>12</v>
      </c>
      <c r="E41" s="1507" t="n">
        <f aca="false">C41*D41</f>
        <v>1358767461.49081</v>
      </c>
      <c r="F41" s="1506" t="n">
        <f aca="false">E41-1000000000</f>
        <v>358767461.490815</v>
      </c>
      <c r="G41" s="1504" t="s">
        <v>1984</v>
      </c>
      <c r="H41" s="1504"/>
      <c r="I41" s="1504"/>
    </row>
    <row r="43" customFormat="false" ht="15" hidden="false" customHeight="true" outlineLevel="0" collapsed="false">
      <c r="B43" s="1508" t="s">
        <v>1985</v>
      </c>
      <c r="C43" s="1508"/>
      <c r="D43" s="1508"/>
      <c r="E43" s="1508"/>
      <c r="F43" s="1508"/>
      <c r="G43" s="1508"/>
      <c r="H43" s="1508"/>
      <c r="I43" s="1508"/>
    </row>
    <row r="45" customFormat="false" ht="16.5" hidden="false" customHeight="true" outlineLevel="0" collapsed="false">
      <c r="B45" s="1489" t="s">
        <v>1986</v>
      </c>
      <c r="C45" s="1489"/>
      <c r="D45" s="1489"/>
      <c r="E45" s="1489"/>
      <c r="F45" s="1489"/>
      <c r="G45" s="1489"/>
      <c r="H45" s="1489"/>
      <c r="I45" s="1489"/>
    </row>
    <row r="46" customFormat="false" ht="12" hidden="false" customHeight="true" outlineLevel="0" collapsed="false"/>
    <row r="47" customFormat="false" ht="23.25" hidden="false" customHeight="true" outlineLevel="0" collapsed="false">
      <c r="B47" s="1490" t="s">
        <v>1596</v>
      </c>
      <c r="C47" s="1490" t="s">
        <v>1987</v>
      </c>
      <c r="D47" s="1490" t="s">
        <v>1988</v>
      </c>
      <c r="E47" s="1490" t="s">
        <v>1989</v>
      </c>
      <c r="F47" s="1490" t="s">
        <v>304</v>
      </c>
      <c r="G47" s="1490" t="s">
        <v>1990</v>
      </c>
      <c r="H47" s="1490" t="s">
        <v>305</v>
      </c>
      <c r="I47" s="1490" t="s">
        <v>1991</v>
      </c>
    </row>
    <row r="48" customFormat="false" ht="34.5" hidden="false" customHeight="true" outlineLevel="0" collapsed="false">
      <c r="B48" s="1498" t="s">
        <v>1992</v>
      </c>
      <c r="C48" s="1491" t="s">
        <v>1993</v>
      </c>
      <c r="D48" s="1491" t="s">
        <v>1994</v>
      </c>
      <c r="E48" s="1492" t="n">
        <v>0</v>
      </c>
      <c r="F48" s="1492" t="n">
        <v>100000000</v>
      </c>
      <c r="G48" s="1494" t="n">
        <v>0.25</v>
      </c>
      <c r="H48" s="1492" t="n">
        <f aca="false">F48*G48</f>
        <v>25000000</v>
      </c>
      <c r="I48" s="1491" t="s">
        <v>1995</v>
      </c>
    </row>
    <row r="49" customFormat="false" ht="34.5" hidden="false" customHeight="true" outlineLevel="0" collapsed="false">
      <c r="B49" s="1498" t="s">
        <v>1996</v>
      </c>
      <c r="C49" s="1491" t="s">
        <v>1997</v>
      </c>
      <c r="D49" s="1491" t="s">
        <v>1994</v>
      </c>
      <c r="E49" s="1492" t="n">
        <v>0</v>
      </c>
      <c r="F49" s="1492" t="n">
        <v>30000000</v>
      </c>
      <c r="G49" s="1494" t="n">
        <v>0.12</v>
      </c>
      <c r="H49" s="1492" t="n">
        <f aca="false">F49*G49</f>
        <v>3600000</v>
      </c>
      <c r="I49" s="1491" t="s">
        <v>1998</v>
      </c>
    </row>
    <row r="50" customFormat="false" ht="34.5" hidden="false" customHeight="true" outlineLevel="0" collapsed="false">
      <c r="B50" s="1498" t="s">
        <v>1999</v>
      </c>
      <c r="C50" s="1491" t="s">
        <v>2000</v>
      </c>
      <c r="D50" s="1491" t="s">
        <v>1994</v>
      </c>
      <c r="E50" s="1492" t="n">
        <v>0</v>
      </c>
      <c r="F50" s="1492" t="n">
        <v>20000000</v>
      </c>
      <c r="G50" s="1494" t="n">
        <v>0.1</v>
      </c>
      <c r="H50" s="1492" t="n">
        <f aca="false">F50*G50</f>
        <v>2000000</v>
      </c>
      <c r="I50" s="1491" t="s">
        <v>2001</v>
      </c>
    </row>
    <row r="51" customFormat="false" ht="14.25" hidden="false" customHeight="true" outlineLevel="0" collapsed="false">
      <c r="B51" s="1509" t="s">
        <v>2002</v>
      </c>
      <c r="E51" s="1493" t="n">
        <f aca="false">SUM(E48:E50)</f>
        <v>0</v>
      </c>
      <c r="F51" s="1493" t="n">
        <f aca="false">SUM(F48:F50)</f>
        <v>150000000</v>
      </c>
      <c r="G51" s="1495" t="n">
        <f aca="false">IFERROR(H51/F51,0)</f>
        <v>0.204</v>
      </c>
      <c r="H51" s="1493" t="n">
        <f aca="false">SUM(H48:H50)</f>
        <v>30600000</v>
      </c>
    </row>
    <row r="52" customFormat="false" ht="54.75" hidden="false" customHeight="true" outlineLevel="0" collapsed="false"/>
    <row r="53" customFormat="false" ht="15" hidden="false" customHeight="true" outlineLevel="0" collapsed="false">
      <c r="B53" s="1510" t="s">
        <v>2003</v>
      </c>
      <c r="C53" s="1510"/>
      <c r="D53" s="1510"/>
      <c r="E53" s="1510"/>
      <c r="F53" s="1510"/>
      <c r="G53" s="1510"/>
      <c r="H53" s="1510"/>
      <c r="I53" s="1510"/>
    </row>
    <row r="54" customFormat="false" ht="48" hidden="false" customHeight="true" outlineLevel="0" collapsed="false"/>
    <row r="55" customFormat="false" ht="16.5" hidden="false" customHeight="true" outlineLevel="0" collapsed="false">
      <c r="B55" s="1489" t="s">
        <v>2004</v>
      </c>
      <c r="C55" s="1489"/>
      <c r="D55" s="1489"/>
      <c r="E55" s="1489"/>
      <c r="F55" s="1489"/>
      <c r="G55" s="1489"/>
      <c r="H55" s="1489"/>
      <c r="I55" s="1489"/>
    </row>
    <row r="57" customFormat="false" ht="25.5" hidden="false" customHeight="true" outlineLevel="0" collapsed="false">
      <c r="B57" s="1490" t="s">
        <v>2005</v>
      </c>
      <c r="C57" s="1490" t="s">
        <v>2006</v>
      </c>
      <c r="D57" s="1502" t="s">
        <v>2007</v>
      </c>
      <c r="E57" s="1502"/>
      <c r="F57" s="1490" t="s">
        <v>2008</v>
      </c>
      <c r="G57" s="1502" t="s">
        <v>218</v>
      </c>
      <c r="H57" s="1502"/>
      <c r="I57" s="1502"/>
    </row>
    <row r="58" customFormat="false" ht="15" hidden="false" customHeight="true" outlineLevel="0" collapsed="false">
      <c r="B58" s="1491" t="s">
        <v>2009</v>
      </c>
      <c r="C58" s="1511" t="s">
        <v>2010</v>
      </c>
      <c r="D58" s="1504" t="s">
        <v>2011</v>
      </c>
      <c r="E58" s="1504"/>
      <c r="F58" s="1511" t="s">
        <v>2012</v>
      </c>
      <c r="G58" s="1504" t="s">
        <v>2013</v>
      </c>
      <c r="H58" s="1504"/>
      <c r="I58" s="1504"/>
    </row>
    <row r="59" customFormat="false" ht="15" hidden="false" customHeight="true" outlineLevel="0" collapsed="false">
      <c r="B59" s="1491" t="s">
        <v>2014</v>
      </c>
      <c r="C59" s="1511" t="s">
        <v>2015</v>
      </c>
      <c r="D59" s="1504" t="s">
        <v>2016</v>
      </c>
      <c r="E59" s="1504"/>
      <c r="F59" s="1511" t="s">
        <v>2017</v>
      </c>
      <c r="G59" s="1504" t="s">
        <v>2018</v>
      </c>
      <c r="H59" s="1504"/>
      <c r="I59" s="1504"/>
    </row>
    <row r="60" customFormat="false" ht="15" hidden="false" customHeight="true" outlineLevel="0" collapsed="false">
      <c r="B60" s="1491" t="s">
        <v>2019</v>
      </c>
      <c r="C60" s="1511" t="s">
        <v>2020</v>
      </c>
      <c r="D60" s="1504" t="s">
        <v>2021</v>
      </c>
      <c r="E60" s="1504"/>
      <c r="F60" s="1511" t="s">
        <v>2022</v>
      </c>
      <c r="G60" s="1504" t="s">
        <v>2023</v>
      </c>
      <c r="H60" s="1504"/>
      <c r="I60" s="1504"/>
    </row>
    <row r="61" customFormat="false" ht="15" hidden="false" customHeight="true" outlineLevel="0" collapsed="false">
      <c r="B61" s="1491" t="s">
        <v>2024</v>
      </c>
      <c r="C61" s="1511" t="s">
        <v>2025</v>
      </c>
      <c r="D61" s="1504" t="s">
        <v>2026</v>
      </c>
      <c r="E61" s="1504"/>
      <c r="F61" s="1511" t="s">
        <v>2027</v>
      </c>
      <c r="G61" s="1504" t="s">
        <v>2028</v>
      </c>
      <c r="H61" s="1504"/>
      <c r="I61" s="1504"/>
    </row>
    <row r="62" customFormat="false" ht="15" hidden="false" customHeight="true" outlineLevel="0" collapsed="false">
      <c r="B62" s="1491" t="s">
        <v>2029</v>
      </c>
      <c r="C62" s="1511" t="s">
        <v>2030</v>
      </c>
      <c r="D62" s="1504" t="s">
        <v>2031</v>
      </c>
      <c r="E62" s="1504"/>
      <c r="F62" s="1511" t="s">
        <v>2032</v>
      </c>
      <c r="G62" s="1504" t="s">
        <v>2033</v>
      </c>
      <c r="H62" s="1504"/>
      <c r="I62" s="1504"/>
    </row>
    <row r="63" customFormat="false" ht="15" hidden="false" customHeight="true" outlineLevel="0" collapsed="false">
      <c r="B63" s="1491" t="s">
        <v>2034</v>
      </c>
      <c r="C63" s="1511" t="s">
        <v>2035</v>
      </c>
      <c r="D63" s="1504" t="s">
        <v>2036</v>
      </c>
      <c r="E63" s="1504"/>
      <c r="F63" s="1511" t="s">
        <v>2037</v>
      </c>
      <c r="G63" s="1504" t="s">
        <v>2038</v>
      </c>
      <c r="H63" s="1504"/>
      <c r="I63" s="1504"/>
    </row>
    <row r="64" customFormat="false" ht="15" hidden="false" customHeight="true" outlineLevel="0" collapsed="false">
      <c r="B64" s="1491" t="s">
        <v>2039</v>
      </c>
      <c r="C64" s="1511" t="s">
        <v>1608</v>
      </c>
      <c r="D64" s="1504" t="s">
        <v>2040</v>
      </c>
      <c r="E64" s="1504"/>
      <c r="F64" s="1511" t="s">
        <v>2041</v>
      </c>
      <c r="G64" s="1504" t="s">
        <v>2042</v>
      </c>
      <c r="H64" s="1504"/>
      <c r="I64" s="1504"/>
    </row>
    <row r="65" customFormat="false" ht="15" hidden="false" customHeight="true" outlineLevel="0" collapsed="false">
      <c r="B65" s="1491" t="s">
        <v>2043</v>
      </c>
      <c r="C65" s="1511" t="s">
        <v>1608</v>
      </c>
      <c r="D65" s="1504" t="s">
        <v>2044</v>
      </c>
      <c r="E65" s="1504"/>
      <c r="F65" s="1511" t="s">
        <v>2045</v>
      </c>
      <c r="G65" s="1504" t="s">
        <v>2046</v>
      </c>
      <c r="H65" s="1504"/>
      <c r="I65" s="1504"/>
    </row>
    <row r="66" customFormat="false" ht="12" hidden="false" customHeight="true" outlineLevel="0" collapsed="false"/>
    <row r="67" customFormat="false" ht="16.5" hidden="false" customHeight="true" outlineLevel="0" collapsed="false"/>
    <row r="68" customFormat="false" ht="16.5" hidden="false" customHeight="true" outlineLevel="0" collapsed="false">
      <c r="B68" s="1489" t="s">
        <v>2047</v>
      </c>
      <c r="C68" s="1489"/>
      <c r="D68" s="1489"/>
      <c r="E68" s="1489"/>
      <c r="F68" s="1489"/>
      <c r="G68" s="1489"/>
      <c r="H68" s="1489"/>
      <c r="I68" s="1489"/>
    </row>
    <row r="69" customFormat="false" ht="57" hidden="false" customHeight="true" outlineLevel="0" collapsed="false"/>
    <row r="70" customFormat="false" ht="33.75" hidden="false" customHeight="true" outlineLevel="0" collapsed="false">
      <c r="B70" s="1498" t="s">
        <v>2048</v>
      </c>
      <c r="C70" s="1504" t="s">
        <v>2049</v>
      </c>
      <c r="D70" s="1504"/>
      <c r="E70" s="1504"/>
      <c r="F70" s="1504"/>
      <c r="G70" s="1504"/>
      <c r="H70" s="1504"/>
      <c r="I70" s="1504"/>
    </row>
    <row r="71" customFormat="false" ht="33.75" hidden="false" customHeight="true" outlineLevel="0" collapsed="false">
      <c r="B71" s="1498" t="s">
        <v>2050</v>
      </c>
      <c r="C71" s="1504" t="s">
        <v>2051</v>
      </c>
      <c r="D71" s="1504"/>
      <c r="E71" s="1504"/>
      <c r="F71" s="1504"/>
      <c r="G71" s="1504"/>
      <c r="H71" s="1504"/>
      <c r="I71" s="1504"/>
    </row>
    <row r="72" customFormat="false" ht="33.75" hidden="false" customHeight="true" outlineLevel="0" collapsed="false">
      <c r="B72" s="1498" t="s">
        <v>2052</v>
      </c>
      <c r="C72" s="1504" t="s">
        <v>2053</v>
      </c>
      <c r="D72" s="1504"/>
      <c r="E72" s="1504"/>
      <c r="F72" s="1504"/>
      <c r="G72" s="1504"/>
      <c r="H72" s="1504"/>
      <c r="I72" s="1504"/>
    </row>
    <row r="73" customFormat="false" ht="33.75" hidden="false" customHeight="true" outlineLevel="0" collapsed="false">
      <c r="B73" s="1498" t="s">
        <v>2054</v>
      </c>
      <c r="C73" s="1504" t="s">
        <v>2055</v>
      </c>
      <c r="D73" s="1504"/>
      <c r="E73" s="1504"/>
      <c r="F73" s="1504"/>
      <c r="G73" s="1504"/>
      <c r="H73" s="1504"/>
      <c r="I73" s="1504"/>
    </row>
    <row r="74" customFormat="false" ht="33.75" hidden="false" customHeight="true" outlineLevel="0" collapsed="false">
      <c r="B74" s="1498" t="s">
        <v>2056</v>
      </c>
      <c r="C74" s="1504" t="s">
        <v>2057</v>
      </c>
      <c r="D74" s="1504"/>
      <c r="E74" s="1504"/>
      <c r="F74" s="1504"/>
      <c r="G74" s="1504"/>
      <c r="H74" s="1504"/>
      <c r="I74" s="1504"/>
    </row>
    <row r="75" customFormat="false" ht="33.75" hidden="false" customHeight="true" outlineLevel="0" collapsed="false">
      <c r="B75" s="1498" t="s">
        <v>2058</v>
      </c>
      <c r="C75" s="1504" t="s">
        <v>2059</v>
      </c>
      <c r="D75" s="1504"/>
      <c r="E75" s="1504"/>
      <c r="F75" s="1504"/>
      <c r="G75" s="1504"/>
      <c r="H75" s="1504"/>
      <c r="I75" s="1504"/>
    </row>
    <row r="76" customFormat="false" ht="33.75" hidden="false" customHeight="true" outlineLevel="0" collapsed="false">
      <c r="B76" s="1498" t="s">
        <v>2060</v>
      </c>
      <c r="C76" s="1504" t="s">
        <v>2061</v>
      </c>
      <c r="D76" s="1504"/>
      <c r="E76" s="1504"/>
      <c r="F76" s="1504"/>
      <c r="G76" s="1504"/>
      <c r="H76" s="1504"/>
      <c r="I76" s="1504"/>
    </row>
    <row r="77" customFormat="false" ht="33.75" hidden="false" customHeight="true" outlineLevel="0" collapsed="false">
      <c r="B77" s="1498" t="s">
        <v>2062</v>
      </c>
      <c r="C77" s="1504" t="s">
        <v>2063</v>
      </c>
      <c r="D77" s="1504"/>
      <c r="E77" s="1504"/>
      <c r="F77" s="1504"/>
      <c r="G77" s="1504"/>
      <c r="H77" s="1504"/>
      <c r="I77" s="1504"/>
    </row>
    <row r="78" customFormat="false" ht="33.75" hidden="false" customHeight="true" outlineLevel="0" collapsed="false">
      <c r="B78" s="1498" t="s">
        <v>2064</v>
      </c>
      <c r="C78" s="1504" t="s">
        <v>2065</v>
      </c>
      <c r="D78" s="1504"/>
      <c r="E78" s="1504"/>
      <c r="F78" s="1504"/>
      <c r="G78" s="1504"/>
      <c r="H78" s="1504"/>
      <c r="I78" s="1504"/>
    </row>
    <row r="79" customFormat="false" ht="12" hidden="false" customHeight="true" outlineLevel="0" collapsed="false"/>
  </sheetData>
  <mergeCells count="45">
    <mergeCell ref="B2:I2"/>
    <mergeCell ref="B3:I3"/>
    <mergeCell ref="B5:I5"/>
    <mergeCell ref="B17:I17"/>
    <mergeCell ref="B25:I25"/>
    <mergeCell ref="B33:I33"/>
    <mergeCell ref="G35:I35"/>
    <mergeCell ref="G36:I36"/>
    <mergeCell ref="G37:I37"/>
    <mergeCell ref="G38:I38"/>
    <mergeCell ref="G39:I39"/>
    <mergeCell ref="G40:I40"/>
    <mergeCell ref="G41:I41"/>
    <mergeCell ref="B43:I43"/>
    <mergeCell ref="B45:I45"/>
    <mergeCell ref="B53:I53"/>
    <mergeCell ref="B55:I55"/>
    <mergeCell ref="D57:E57"/>
    <mergeCell ref="G57:I57"/>
    <mergeCell ref="D58:E58"/>
    <mergeCell ref="G58:I58"/>
    <mergeCell ref="D59:E59"/>
    <mergeCell ref="G59:I59"/>
    <mergeCell ref="D60:E60"/>
    <mergeCell ref="G60:I60"/>
    <mergeCell ref="D61:E61"/>
    <mergeCell ref="G61:I61"/>
    <mergeCell ref="D62:E62"/>
    <mergeCell ref="G62:I62"/>
    <mergeCell ref="D63:E63"/>
    <mergeCell ref="G63:I63"/>
    <mergeCell ref="D64:E64"/>
    <mergeCell ref="G64:I64"/>
    <mergeCell ref="D65:E65"/>
    <mergeCell ref="G65:I65"/>
    <mergeCell ref="B68:I68"/>
    <mergeCell ref="C70:I70"/>
    <mergeCell ref="C71:I71"/>
    <mergeCell ref="C72:I72"/>
    <mergeCell ref="C73:I73"/>
    <mergeCell ref="C74:I74"/>
    <mergeCell ref="C75:I75"/>
    <mergeCell ref="C76:I76"/>
    <mergeCell ref="C77:I77"/>
    <mergeCell ref="C78:I78"/>
  </mergeCells>
  <printOptions headings="false" gridLines="false" gridLinesSet="true" horizontalCentered="false" verticalCentered="false"/>
  <pageMargins left="0.75" right="0.75" top="1" bottom="1"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0000"/>
    <pageSetUpPr fitToPage="false"/>
  </sheetPr>
  <dimension ref="A1:W187"/>
  <sheetViews>
    <sheetView showFormulas="false" showGridLines="true" showRowColHeaders="true" showZeros="true" rightToLeft="false" tabSelected="true" showOutlineSymbols="true" defaultGridColor="true" view="normal" topLeftCell="A134" colorId="64" zoomScale="100" zoomScaleNormal="100" zoomScalePageLayoutView="100" workbookViewId="0">
      <selection pane="topLeft" activeCell="A202" activeCellId="0" sqref="A202"/>
    </sheetView>
  </sheetViews>
  <sheetFormatPr defaultColWidth="9.18359375" defaultRowHeight="12" customHeight="true" zeroHeight="false" outlineLevelRow="0" outlineLevelCol="0"/>
  <cols>
    <col collapsed="false" customWidth="true" hidden="false" outlineLevel="0" max="1" min="1" style="1512" width="30.82"/>
    <col collapsed="false" customWidth="true" hidden="false" outlineLevel="0" max="2" min="2" style="1512" width="12.54"/>
    <col collapsed="false" customWidth="true" hidden="false" outlineLevel="0" max="3" min="3" style="1512" width="17"/>
    <col collapsed="false" customWidth="true" hidden="false" outlineLevel="0" max="6" min="4" style="1512" width="12.18"/>
    <col collapsed="false" customWidth="true" hidden="false" outlineLevel="0" max="7" min="7" style="1512" width="12"/>
    <col collapsed="false" customWidth="true" hidden="false" outlineLevel="0" max="8" min="8" style="1512" width="11.73"/>
    <col collapsed="false" customWidth="true" hidden="false" outlineLevel="0" max="9" min="9" style="1512" width="9.27"/>
    <col collapsed="false" customWidth="true" hidden="false" outlineLevel="0" max="10" min="10" style="1512" width="12"/>
    <col collapsed="false" customWidth="true" hidden="false" outlineLevel="0" max="12" min="11" style="1512" width="9.27"/>
    <col collapsed="false" customWidth="true" hidden="false" outlineLevel="0" max="13" min="13" style="1512" width="12"/>
    <col collapsed="false" customWidth="true" hidden="false" outlineLevel="0" max="15" min="14" style="1512" width="8.73"/>
    <col collapsed="false" customWidth="true" hidden="false" outlineLevel="0" max="18" min="16" style="1512" width="10.82"/>
    <col collapsed="false" customWidth="true" hidden="false" outlineLevel="0" max="19" min="19" style="1512" width="9.45"/>
    <col collapsed="false" customWidth="true" hidden="false" outlineLevel="0" max="21" min="20" style="1512" width="9.27"/>
    <col collapsed="false" customWidth="false" hidden="false" outlineLevel="0" max="16384" min="22" style="1512" width="9.18"/>
  </cols>
  <sheetData>
    <row r="1" customFormat="false" ht="15" hidden="false" customHeight="true" outlineLevel="0" collapsed="false">
      <c r="A1" s="1513" t="s">
        <v>2066</v>
      </c>
      <c r="B1" s="1514"/>
      <c r="C1" s="1514"/>
      <c r="D1" s="1514"/>
      <c r="E1" s="1514"/>
      <c r="F1" s="1514"/>
      <c r="G1" s="1514"/>
      <c r="H1" s="1514"/>
      <c r="I1" s="1514"/>
      <c r="J1" s="1514"/>
      <c r="K1" s="1514"/>
      <c r="L1" s="1514"/>
      <c r="M1" s="1514"/>
      <c r="N1" s="1514"/>
      <c r="O1" s="1514"/>
      <c r="P1" s="1514"/>
      <c r="Q1" s="1514"/>
      <c r="R1" s="1514"/>
      <c r="S1" s="1514"/>
      <c r="T1" s="1514"/>
      <c r="U1" s="1514"/>
      <c r="V1" s="1514"/>
      <c r="W1" s="1514"/>
    </row>
    <row r="2" customFormat="false" ht="12" hidden="false" customHeight="true" outlineLevel="0" collapsed="false">
      <c r="A2" s="1514"/>
      <c r="B2" s="1514" t="str">
        <f aca="false">'Tables 5Y'!EU1</f>
        <v>Year 1</v>
      </c>
      <c r="C2" s="1514" t="str">
        <f aca="false">'Tables 5Y'!EV1</f>
        <v>Year 2</v>
      </c>
      <c r="D2" s="1514" t="str">
        <f aca="false">'Tables 5Y'!EW1</f>
        <v>Year 3</v>
      </c>
      <c r="E2" s="1514" t="str">
        <f aca="false">'Tables 5Y'!EX1</f>
        <v>Year 4</v>
      </c>
      <c r="F2" s="1514" t="str">
        <f aca="false">'Tables 5Y'!EY1</f>
        <v>Year 5</v>
      </c>
      <c r="G2" s="1514"/>
      <c r="H2" s="1514"/>
      <c r="I2" s="1514"/>
      <c r="J2" s="1514"/>
      <c r="K2" s="1514"/>
      <c r="L2" s="1514"/>
      <c r="M2" s="1514"/>
      <c r="N2" s="1514"/>
      <c r="O2" s="1514"/>
      <c r="P2" s="1514"/>
      <c r="Q2" s="1514"/>
      <c r="R2" s="1514"/>
      <c r="S2" s="1514"/>
      <c r="T2" s="1514"/>
      <c r="U2" s="1514"/>
      <c r="V2" s="1514"/>
      <c r="W2" s="1514"/>
    </row>
    <row r="3" customFormat="false" ht="12" hidden="false" customHeight="true" outlineLevel="0" collapsed="false">
      <c r="A3" s="1514" t="str">
        <f aca="false">IF('P&amp;L'!E14="y","Funding","Revenue")</f>
        <v>Revenue</v>
      </c>
      <c r="B3" s="1514" t="n">
        <f aca="false">'Tables 5Y'!CD2</f>
        <v>0</v>
      </c>
      <c r="C3" s="1514" t="n">
        <f aca="false">'Tables 5Y'!CE2</f>
        <v>0</v>
      </c>
      <c r="D3" s="1514" t="n">
        <f aca="false">'Tables 5Y'!CF2</f>
        <v>0</v>
      </c>
      <c r="E3" s="1514" t="n">
        <f aca="false">'Tables 5Y'!CG2</f>
        <v>0</v>
      </c>
      <c r="F3" s="1514" t="n">
        <f aca="false">'Tables 5Y'!CH2</f>
        <v>0</v>
      </c>
      <c r="G3" s="1514"/>
      <c r="H3" s="1514"/>
      <c r="I3" s="1514"/>
      <c r="J3" s="1514"/>
      <c r="K3" s="1514"/>
      <c r="L3" s="1514"/>
      <c r="M3" s="1514"/>
      <c r="N3" s="1514"/>
      <c r="O3" s="1514"/>
      <c r="P3" s="1514"/>
      <c r="Q3" s="1514"/>
      <c r="R3" s="1514"/>
      <c r="S3" s="1514"/>
      <c r="T3" s="1514"/>
      <c r="U3" s="1514"/>
      <c r="V3" s="1514"/>
      <c r="W3" s="1514"/>
    </row>
    <row r="4" customFormat="false" ht="12" hidden="false" customHeight="true" outlineLevel="0" collapsed="false">
      <c r="A4" s="1514" t="s">
        <v>2067</v>
      </c>
      <c r="B4" s="1514" t="n">
        <f aca="false">'Tables 5Y'!CD3</f>
        <v>6087649.67781669</v>
      </c>
      <c r="C4" s="1514" t="n">
        <f aca="false">'Tables 5Y'!CE3</f>
        <v>31915417.3897659</v>
      </c>
      <c r="D4" s="1514" t="n">
        <f aca="false">'Tables 5Y'!CF3</f>
        <v>81368910.4966181</v>
      </c>
      <c r="E4" s="1514" t="n">
        <f aca="false">'Tables 5Y'!CG3</f>
        <v>85700606.6041462</v>
      </c>
      <c r="F4" s="1514" t="n">
        <f aca="false">'Tables 5Y'!CH3</f>
        <v>90032302.7116743</v>
      </c>
      <c r="G4" s="1514"/>
      <c r="H4" s="1514"/>
      <c r="I4" s="1514"/>
      <c r="J4" s="1514"/>
      <c r="K4" s="1514"/>
      <c r="L4" s="1514"/>
      <c r="M4" s="1514"/>
      <c r="N4" s="1514"/>
      <c r="O4" s="1514"/>
      <c r="P4" s="1514"/>
      <c r="Q4" s="1514"/>
      <c r="R4" s="1514"/>
      <c r="S4" s="1514"/>
      <c r="T4" s="1514"/>
      <c r="U4" s="1514"/>
      <c r="V4" s="1514"/>
      <c r="W4" s="1514"/>
    </row>
    <row r="5" customFormat="false" ht="12" hidden="false" customHeight="true" outlineLevel="0" collapsed="false">
      <c r="A5" s="1514" t="s">
        <v>1490</v>
      </c>
      <c r="B5" s="1514" t="n">
        <f aca="false">'Tables 5Y'!CD21</f>
        <v>7158057.74494405</v>
      </c>
      <c r="C5" s="1514" t="n">
        <f aca="false">'Tables 5Y'!CE21</f>
        <v>20895282.5696614</v>
      </c>
      <c r="D5" s="1514" t="n">
        <f aca="false">'Tables 5Y'!CF21</f>
        <v>35027776.063542</v>
      </c>
      <c r="E5" s="1514" t="n">
        <f aca="false">'Tables 5Y'!CG21</f>
        <v>37218991.7694791</v>
      </c>
      <c r="F5" s="1514" t="n">
        <f aca="false">'Tables 5Y'!CH21</f>
        <v>39450126.2413681</v>
      </c>
      <c r="G5" s="1514"/>
      <c r="H5" s="1514"/>
      <c r="I5" s="1514"/>
      <c r="J5" s="1514"/>
      <c r="K5" s="1514"/>
      <c r="L5" s="1514"/>
      <c r="M5" s="1514"/>
      <c r="N5" s="1514"/>
      <c r="O5" s="1514"/>
      <c r="P5" s="1514"/>
      <c r="Q5" s="1514"/>
      <c r="R5" s="1514"/>
      <c r="S5" s="1514"/>
      <c r="T5" s="1514"/>
      <c r="U5" s="1514"/>
      <c r="V5" s="1514"/>
      <c r="W5" s="1514"/>
    </row>
    <row r="6" customFormat="false" ht="12" hidden="false" customHeight="true" outlineLevel="0" collapsed="false">
      <c r="A6" s="1514" t="str">
        <f aca="false">IF('P&amp;L'!E14="y","Net Surplus","Net Profit")</f>
        <v>Net Profit</v>
      </c>
      <c r="B6" s="1514" t="n">
        <f aca="false">'Tables 5Y'!CD28</f>
        <v>0</v>
      </c>
      <c r="C6" s="1514" t="n">
        <f aca="false">'Tables 5Y'!CE28</f>
        <v>0</v>
      </c>
      <c r="D6" s="1514" t="n">
        <f aca="false">'Tables 5Y'!CF28</f>
        <v>0</v>
      </c>
      <c r="E6" s="1514" t="n">
        <f aca="false">'Tables 5Y'!CG28</f>
        <v>0</v>
      </c>
      <c r="F6" s="1514" t="n">
        <f aca="false">'Tables 5Y'!CH28</f>
        <v>0</v>
      </c>
      <c r="G6" s="1514"/>
      <c r="H6" s="1514"/>
      <c r="I6" s="1514"/>
      <c r="J6" s="1514"/>
      <c r="K6" s="1514"/>
      <c r="L6" s="1514"/>
      <c r="M6" s="1514"/>
      <c r="N6" s="1514"/>
      <c r="O6" s="1514"/>
      <c r="P6" s="1514"/>
      <c r="Q6" s="1514"/>
      <c r="R6" s="1514"/>
      <c r="S6" s="1514"/>
      <c r="T6" s="1514"/>
      <c r="U6" s="1514"/>
      <c r="V6" s="1514"/>
      <c r="W6" s="1514"/>
    </row>
    <row r="7" customFormat="false" ht="12" hidden="false" customHeight="true" outlineLevel="0" collapsed="false">
      <c r="A7" s="1514"/>
      <c r="B7" s="1514"/>
      <c r="C7" s="1514"/>
      <c r="D7" s="1514"/>
      <c r="E7" s="1514"/>
      <c r="F7" s="1514"/>
      <c r="G7" s="1514"/>
      <c r="H7" s="1514"/>
      <c r="I7" s="1514"/>
      <c r="J7" s="1514"/>
      <c r="K7" s="1514"/>
      <c r="L7" s="1514"/>
      <c r="M7" s="1514"/>
      <c r="N7" s="1514"/>
      <c r="O7" s="1514"/>
      <c r="P7" s="1514"/>
      <c r="Q7" s="1514"/>
      <c r="R7" s="1514"/>
      <c r="S7" s="1514"/>
      <c r="T7" s="1514"/>
      <c r="U7" s="1514"/>
      <c r="V7" s="1514"/>
      <c r="W7" s="1514"/>
    </row>
    <row r="8" customFormat="false" ht="12" hidden="false" customHeight="true" outlineLevel="0" collapsed="false">
      <c r="A8" s="1514"/>
      <c r="B8" s="1514"/>
      <c r="C8" s="1514"/>
      <c r="D8" s="1514"/>
      <c r="E8" s="1514"/>
      <c r="F8" s="1514"/>
      <c r="G8" s="1514"/>
      <c r="H8" s="1514"/>
      <c r="I8" s="1514"/>
      <c r="J8" s="1514"/>
      <c r="K8" s="1514"/>
      <c r="L8" s="1514"/>
      <c r="M8" s="1514"/>
      <c r="N8" s="1514"/>
      <c r="O8" s="1514"/>
      <c r="P8" s="1514"/>
      <c r="Q8" s="1514"/>
      <c r="R8" s="1514"/>
      <c r="S8" s="1514"/>
      <c r="T8" s="1514"/>
      <c r="U8" s="1514"/>
      <c r="V8" s="1514"/>
      <c r="W8" s="1514"/>
    </row>
    <row r="9" customFormat="false" ht="12" hidden="false" customHeight="true" outlineLevel="0" collapsed="false">
      <c r="A9" s="1514"/>
      <c r="B9" s="1514"/>
      <c r="C9" s="1514"/>
      <c r="D9" s="1514"/>
      <c r="E9" s="1514"/>
      <c r="F9" s="1514"/>
      <c r="G9" s="1514"/>
      <c r="H9" s="1514"/>
      <c r="I9" s="1514"/>
      <c r="J9" s="1514"/>
      <c r="K9" s="1514"/>
      <c r="L9" s="1514"/>
      <c r="M9" s="1514"/>
      <c r="N9" s="1514"/>
      <c r="O9" s="1514"/>
      <c r="P9" s="1514"/>
      <c r="Q9" s="1514"/>
      <c r="R9" s="1514"/>
      <c r="S9" s="1514"/>
      <c r="T9" s="1514"/>
      <c r="U9" s="1514"/>
      <c r="V9" s="1514"/>
      <c r="W9" s="1514"/>
    </row>
    <row r="10" customFormat="false" ht="12" hidden="false" customHeight="true" outlineLevel="0" collapsed="false">
      <c r="A10" s="1514"/>
      <c r="B10" s="1514"/>
      <c r="C10" s="1514"/>
      <c r="D10" s="1514"/>
      <c r="E10" s="1514"/>
      <c r="F10" s="1514"/>
      <c r="G10" s="1514"/>
      <c r="H10" s="1514"/>
      <c r="I10" s="1514"/>
      <c r="J10" s="1514"/>
      <c r="K10" s="1514"/>
      <c r="L10" s="1514"/>
      <c r="M10" s="1514"/>
      <c r="N10" s="1514"/>
      <c r="O10" s="1514"/>
      <c r="P10" s="1514"/>
      <c r="Q10" s="1514"/>
      <c r="R10" s="1514"/>
      <c r="S10" s="1514"/>
      <c r="T10" s="1514"/>
      <c r="U10" s="1514"/>
      <c r="V10" s="1514"/>
      <c r="W10" s="1514"/>
    </row>
    <row r="11" customFormat="false" ht="12" hidden="false" customHeight="true" outlineLevel="0" collapsed="false">
      <c r="A11" s="1514"/>
      <c r="B11" s="1514"/>
      <c r="C11" s="1514"/>
      <c r="D11" s="1514"/>
      <c r="E11" s="1514"/>
      <c r="F11" s="1514"/>
      <c r="G11" s="1514"/>
      <c r="H11" s="1355" t="s">
        <v>2068</v>
      </c>
      <c r="I11" s="1466"/>
      <c r="J11" s="1514"/>
      <c r="K11" s="1514"/>
      <c r="L11" s="1514"/>
      <c r="M11" s="1514"/>
      <c r="N11" s="1514"/>
      <c r="O11" s="1514"/>
      <c r="P11" s="1514"/>
      <c r="Q11" s="1514"/>
      <c r="R11" s="1514"/>
      <c r="S11" s="1514"/>
      <c r="T11" s="1514"/>
      <c r="U11" s="1514"/>
      <c r="V11" s="1514"/>
      <c r="W11" s="1514"/>
    </row>
    <row r="12" customFormat="false" ht="12" hidden="false" customHeight="true" outlineLevel="0" collapsed="false">
      <c r="A12" s="1514"/>
      <c r="B12" s="1514"/>
      <c r="C12" s="1514"/>
      <c r="D12" s="1514"/>
      <c r="E12" s="1514"/>
      <c r="F12" s="1514"/>
      <c r="G12" s="1514"/>
      <c r="H12" s="1515" t="s">
        <v>1718</v>
      </c>
      <c r="I12" s="1515" t="n">
        <f aca="false">'Sources &amp; Uses'!B24</f>
        <v>0</v>
      </c>
      <c r="J12" s="1514"/>
      <c r="K12" s="1514"/>
      <c r="L12" s="1514"/>
      <c r="M12" s="1514"/>
      <c r="N12" s="1514"/>
      <c r="O12" s="1514"/>
      <c r="P12" s="1514"/>
      <c r="Q12" s="1514"/>
      <c r="R12" s="1514"/>
      <c r="S12" s="1514"/>
      <c r="T12" s="1514"/>
      <c r="U12" s="1514"/>
      <c r="V12" s="1514"/>
      <c r="W12" s="1514"/>
    </row>
    <row r="13" customFormat="false" ht="12" hidden="false" customHeight="true" outlineLevel="0" collapsed="false">
      <c r="A13" s="1514"/>
      <c r="B13" s="1514"/>
      <c r="C13" s="1514"/>
      <c r="D13" s="1514"/>
      <c r="E13" s="1514"/>
      <c r="F13" s="1514"/>
      <c r="G13" s="1514"/>
      <c r="H13" s="1515" t="s">
        <v>199</v>
      </c>
      <c r="I13" s="1515" t="n">
        <f aca="false">'Sources &amp; Uses'!B34-'Sources &amp; Uses'!B27</f>
        <v>23461850.4</v>
      </c>
      <c r="J13" s="1514"/>
      <c r="K13" s="1514"/>
      <c r="L13" s="1514"/>
      <c r="M13" s="1514"/>
      <c r="N13" s="1514"/>
      <c r="O13" s="1514"/>
      <c r="P13" s="1514"/>
      <c r="Q13" s="1514"/>
      <c r="R13" s="1514"/>
      <c r="S13" s="1514"/>
      <c r="T13" s="1514"/>
      <c r="U13" s="1514"/>
      <c r="V13" s="1514"/>
      <c r="W13" s="1514"/>
    </row>
    <row r="14" customFormat="false" ht="12" hidden="false" customHeight="true" outlineLevel="0" collapsed="false">
      <c r="A14" s="1514"/>
      <c r="B14" s="1514"/>
      <c r="C14" s="1514"/>
      <c r="D14" s="1514"/>
      <c r="E14" s="1514"/>
      <c r="F14" s="1514"/>
      <c r="G14" s="1514"/>
      <c r="H14" s="1515" t="s">
        <v>1529</v>
      </c>
      <c r="I14" s="1515" t="n">
        <f aca="false">'Sources &amp; Uses'!B27</f>
        <v>10000000</v>
      </c>
      <c r="J14" s="1514"/>
      <c r="K14" s="1514"/>
      <c r="L14" s="1514"/>
      <c r="M14" s="1514"/>
      <c r="N14" s="1514"/>
      <c r="O14" s="1514"/>
      <c r="P14" s="1514"/>
      <c r="Q14" s="1514"/>
      <c r="R14" s="1514"/>
      <c r="S14" s="1514"/>
      <c r="T14" s="1514"/>
      <c r="U14" s="1514"/>
      <c r="V14" s="1514"/>
      <c r="W14" s="1514"/>
    </row>
    <row r="15" customFormat="false" ht="12.75" hidden="false" customHeight="true" outlineLevel="0" collapsed="false">
      <c r="A15" s="1516"/>
      <c r="B15" s="1514"/>
      <c r="C15" s="1514"/>
      <c r="D15" s="1514"/>
      <c r="E15" s="1514"/>
      <c r="F15" s="1514"/>
      <c r="G15" s="1514"/>
      <c r="H15" s="1514"/>
      <c r="I15" s="1514"/>
      <c r="J15" s="1514"/>
      <c r="K15" s="1514"/>
      <c r="L15" s="1514"/>
      <c r="M15" s="1514"/>
      <c r="N15" s="1514"/>
      <c r="O15" s="1514"/>
      <c r="P15" s="1514"/>
      <c r="Q15" s="1514"/>
      <c r="R15" s="1514"/>
      <c r="S15" s="1514"/>
      <c r="T15" s="1514"/>
      <c r="U15" s="1514"/>
      <c r="V15" s="1514"/>
      <c r="W15" s="1514"/>
    </row>
    <row r="16" customFormat="false" ht="12" hidden="false" customHeight="true" outlineLevel="0" collapsed="false">
      <c r="A16" s="1514"/>
      <c r="B16" s="1514"/>
      <c r="C16" s="1514"/>
      <c r="D16" s="1514"/>
      <c r="E16" s="1514"/>
      <c r="F16" s="1514"/>
      <c r="G16" s="1514"/>
      <c r="H16" s="1514"/>
      <c r="I16" s="1514"/>
      <c r="J16" s="1514"/>
      <c r="K16" s="1514"/>
      <c r="L16" s="1514"/>
      <c r="M16" s="1514"/>
      <c r="N16" s="1514"/>
      <c r="O16" s="1514"/>
      <c r="P16" s="1514"/>
      <c r="Q16" s="1514"/>
      <c r="R16" s="1514"/>
      <c r="S16" s="1514"/>
      <c r="T16" s="1514"/>
      <c r="U16" s="1514"/>
      <c r="V16" s="1514"/>
      <c r="W16" s="1514"/>
    </row>
    <row r="17" customFormat="false" ht="12" hidden="false" customHeight="true" outlineLevel="0" collapsed="false">
      <c r="A17" s="1514"/>
      <c r="B17" s="1514"/>
      <c r="C17" s="1514"/>
      <c r="D17" s="1514"/>
      <c r="E17" s="1514"/>
      <c r="F17" s="1514"/>
      <c r="G17" s="1514"/>
      <c r="H17" s="1514"/>
      <c r="I17" s="1514"/>
      <c r="J17" s="1514"/>
      <c r="K17" s="1514"/>
      <c r="L17" s="1514"/>
      <c r="M17" s="1514"/>
      <c r="N17" s="1514"/>
      <c r="O17" s="1514"/>
      <c r="P17" s="1514"/>
      <c r="Q17" s="1514"/>
      <c r="R17" s="1514"/>
      <c r="S17" s="1514"/>
      <c r="T17" s="1514"/>
      <c r="U17" s="1514"/>
      <c r="V17" s="1514"/>
      <c r="W17" s="1514"/>
    </row>
    <row r="18" customFormat="false" ht="12" hidden="false" customHeight="true" outlineLevel="0" collapsed="false">
      <c r="A18" s="1514"/>
      <c r="B18" s="1514"/>
      <c r="C18" s="1514"/>
      <c r="D18" s="1514"/>
      <c r="E18" s="1514"/>
      <c r="F18" s="1514"/>
      <c r="G18" s="1514"/>
      <c r="H18" s="1514"/>
      <c r="I18" s="1514"/>
      <c r="J18" s="1514"/>
      <c r="K18" s="1514"/>
      <c r="L18" s="1514"/>
      <c r="M18" s="1514"/>
      <c r="N18" s="1514"/>
      <c r="O18" s="1514"/>
      <c r="P18" s="1514"/>
      <c r="Q18" s="1514"/>
      <c r="R18" s="1514"/>
      <c r="S18" s="1514"/>
      <c r="T18" s="1514"/>
      <c r="U18" s="1514"/>
      <c r="V18" s="1514"/>
      <c r="W18" s="1514"/>
    </row>
    <row r="19" customFormat="false" ht="12" hidden="false" customHeight="true" outlineLevel="0" collapsed="false">
      <c r="A19" s="1514"/>
      <c r="B19" s="1514"/>
      <c r="C19" s="1514"/>
      <c r="D19" s="1514"/>
      <c r="E19" s="1514"/>
      <c r="F19" s="1514"/>
      <c r="G19" s="1514"/>
      <c r="H19" s="1514"/>
      <c r="I19" s="1514"/>
      <c r="J19" s="1514"/>
      <c r="K19" s="1514"/>
      <c r="L19" s="1514"/>
      <c r="M19" s="1514"/>
      <c r="N19" s="1514"/>
      <c r="O19" s="1514"/>
      <c r="P19" s="1514"/>
      <c r="Q19" s="1514"/>
      <c r="R19" s="1514"/>
      <c r="S19" s="1514"/>
      <c r="T19" s="1514"/>
      <c r="U19" s="1514"/>
      <c r="V19" s="1514"/>
      <c r="W19" s="1514"/>
    </row>
    <row r="20" customFormat="false" ht="12" hidden="false" customHeight="true" outlineLevel="0" collapsed="false">
      <c r="A20" s="1514"/>
      <c r="B20" s="1514"/>
      <c r="C20" s="1514"/>
      <c r="D20" s="1514"/>
      <c r="E20" s="1514"/>
      <c r="F20" s="1514"/>
      <c r="G20" s="1514"/>
      <c r="H20" s="1514"/>
      <c r="I20" s="1514"/>
      <c r="J20" s="1514"/>
      <c r="K20" s="1514"/>
      <c r="L20" s="1514"/>
      <c r="M20" s="1514"/>
      <c r="N20" s="1514"/>
      <c r="O20" s="1514"/>
      <c r="P20" s="1514"/>
      <c r="Q20" s="1514"/>
      <c r="R20" s="1514"/>
      <c r="S20" s="1514"/>
      <c r="T20" s="1514"/>
      <c r="U20" s="1514"/>
      <c r="V20" s="1514"/>
      <c r="W20" s="1514"/>
    </row>
    <row r="21" customFormat="false" ht="12" hidden="false" customHeight="true" outlineLevel="0" collapsed="false">
      <c r="A21" s="1514"/>
      <c r="B21" s="1514"/>
      <c r="C21" s="1514"/>
      <c r="D21" s="1514"/>
      <c r="E21" s="1514"/>
      <c r="F21" s="1514"/>
      <c r="G21" s="1514"/>
      <c r="H21" s="1514"/>
      <c r="I21" s="1514"/>
      <c r="J21" s="1514"/>
      <c r="K21" s="1514"/>
      <c r="L21" s="1514"/>
      <c r="M21" s="1514"/>
      <c r="N21" s="1514"/>
      <c r="O21" s="1514"/>
      <c r="P21" s="1514"/>
      <c r="Q21" s="1514"/>
      <c r="R21" s="1514"/>
      <c r="S21" s="1514"/>
      <c r="T21" s="1514"/>
      <c r="U21" s="1514"/>
      <c r="V21" s="1514"/>
      <c r="W21" s="1514"/>
    </row>
    <row r="22" customFormat="false" ht="12" hidden="false" customHeight="true" outlineLevel="0" collapsed="false">
      <c r="A22" s="1514"/>
      <c r="B22" s="1514"/>
      <c r="C22" s="1514"/>
      <c r="D22" s="1514"/>
      <c r="E22" s="1514"/>
      <c r="F22" s="1514"/>
      <c r="G22" s="1514"/>
      <c r="H22" s="1514"/>
      <c r="I22" s="1514"/>
      <c r="J22" s="1514"/>
      <c r="K22" s="1514"/>
      <c r="L22" s="1514"/>
      <c r="M22" s="1514"/>
      <c r="N22" s="1514"/>
      <c r="O22" s="1514"/>
      <c r="P22" s="1514"/>
      <c r="Q22" s="1514"/>
      <c r="R22" s="1514"/>
      <c r="S22" s="1514"/>
      <c r="T22" s="1514"/>
      <c r="U22" s="1514"/>
      <c r="V22" s="1514"/>
      <c r="W22" s="1514"/>
    </row>
    <row r="23" customFormat="false" ht="12" hidden="false" customHeight="true" outlineLevel="0" collapsed="false">
      <c r="A23" s="1514"/>
      <c r="B23" s="1514"/>
      <c r="C23" s="1514"/>
      <c r="D23" s="1514"/>
      <c r="E23" s="1514"/>
      <c r="F23" s="1514"/>
      <c r="G23" s="1514"/>
      <c r="H23" s="1514"/>
      <c r="I23" s="1514"/>
      <c r="J23" s="1514"/>
      <c r="K23" s="1514"/>
      <c r="L23" s="1514"/>
      <c r="M23" s="1514"/>
      <c r="N23" s="1514"/>
      <c r="O23" s="1514"/>
      <c r="P23" s="1514"/>
      <c r="Q23" s="1514"/>
      <c r="R23" s="1514"/>
      <c r="S23" s="1514"/>
      <c r="T23" s="1514"/>
      <c r="U23" s="1514"/>
      <c r="V23" s="1514"/>
      <c r="W23" s="1514"/>
    </row>
    <row r="24" customFormat="false" ht="12" hidden="false" customHeight="true" outlineLevel="0" collapsed="false">
      <c r="A24" s="1514"/>
      <c r="B24" s="1514"/>
      <c r="C24" s="1514"/>
      <c r="D24" s="1514"/>
      <c r="E24" s="1514"/>
      <c r="F24" s="1514"/>
      <c r="G24" s="1514"/>
      <c r="H24" s="1514"/>
      <c r="I24" s="1514"/>
      <c r="J24" s="1514"/>
      <c r="K24" s="1514"/>
      <c r="L24" s="1514"/>
      <c r="M24" s="1514"/>
      <c r="N24" s="1514"/>
      <c r="O24" s="1514"/>
      <c r="P24" s="1514"/>
      <c r="Q24" s="1514"/>
      <c r="R24" s="1514"/>
      <c r="S24" s="1514"/>
      <c r="T24" s="1514"/>
      <c r="U24" s="1514"/>
      <c r="V24" s="1514"/>
      <c r="W24" s="1514"/>
    </row>
    <row r="25" customFormat="false" ht="12" hidden="false" customHeight="true" outlineLevel="0" collapsed="false">
      <c r="A25" s="1514"/>
      <c r="B25" s="1514"/>
      <c r="C25" s="1514"/>
      <c r="D25" s="1514"/>
      <c r="E25" s="1514"/>
      <c r="F25" s="1514"/>
      <c r="G25" s="1514"/>
      <c r="H25" s="1514"/>
      <c r="I25" s="1514"/>
      <c r="J25" s="1514"/>
      <c r="K25" s="1514"/>
      <c r="L25" s="1514"/>
      <c r="M25" s="1514"/>
      <c r="N25" s="1514"/>
      <c r="O25" s="1514"/>
      <c r="P25" s="1514"/>
      <c r="Q25" s="1514"/>
      <c r="R25" s="1514"/>
      <c r="S25" s="1514"/>
      <c r="T25" s="1514"/>
      <c r="U25" s="1514"/>
      <c r="V25" s="1514"/>
      <c r="W25" s="1514"/>
    </row>
    <row r="26" customFormat="false" ht="12" hidden="false" customHeight="true" outlineLevel="0" collapsed="false">
      <c r="A26" s="1514"/>
      <c r="B26" s="1514"/>
      <c r="C26" s="1514"/>
      <c r="D26" s="1514"/>
      <c r="E26" s="1514"/>
      <c r="F26" s="1514"/>
      <c r="G26" s="1514"/>
      <c r="H26" s="1514"/>
      <c r="I26" s="1514"/>
      <c r="J26" s="1514"/>
      <c r="K26" s="1514"/>
      <c r="L26" s="1514"/>
      <c r="M26" s="1514"/>
      <c r="N26" s="1514"/>
      <c r="O26" s="1514"/>
      <c r="P26" s="1514"/>
      <c r="Q26" s="1514"/>
      <c r="R26" s="1514"/>
      <c r="S26" s="1514"/>
      <c r="T26" s="1514"/>
      <c r="U26" s="1514"/>
      <c r="V26" s="1514"/>
      <c r="W26" s="1514"/>
    </row>
    <row r="27" customFormat="false" ht="12" hidden="false" customHeight="true" outlineLevel="0" collapsed="false">
      <c r="A27" s="1514"/>
      <c r="B27" s="1514"/>
      <c r="C27" s="1514"/>
      <c r="D27" s="1514"/>
      <c r="E27" s="1514"/>
      <c r="F27" s="1514"/>
      <c r="G27" s="1514"/>
      <c r="H27" s="1514"/>
      <c r="I27" s="1514"/>
      <c r="J27" s="1514"/>
      <c r="K27" s="1514"/>
      <c r="L27" s="1514"/>
      <c r="M27" s="1514"/>
      <c r="N27" s="1514"/>
      <c r="O27" s="1514"/>
      <c r="P27" s="1514"/>
      <c r="Q27" s="1514"/>
      <c r="R27" s="1514"/>
      <c r="S27" s="1514"/>
      <c r="T27" s="1514"/>
      <c r="U27" s="1514"/>
      <c r="V27" s="1514"/>
      <c r="W27" s="1514"/>
    </row>
    <row r="28" customFormat="false" ht="12" hidden="false" customHeight="true" outlineLevel="0" collapsed="false">
      <c r="A28" s="1514"/>
      <c r="B28" s="1514"/>
      <c r="C28" s="1514"/>
      <c r="D28" s="1514"/>
      <c r="E28" s="1514"/>
      <c r="F28" s="1514"/>
      <c r="G28" s="1514"/>
      <c r="H28" s="1514"/>
      <c r="I28" s="1514"/>
      <c r="J28" s="1514"/>
      <c r="K28" s="1514"/>
      <c r="L28" s="1514"/>
      <c r="M28" s="1514"/>
      <c r="N28" s="1514"/>
      <c r="O28" s="1514"/>
      <c r="P28" s="1514"/>
      <c r="Q28" s="1514"/>
      <c r="R28" s="1514"/>
      <c r="S28" s="1514"/>
      <c r="T28" s="1514"/>
      <c r="U28" s="1514"/>
      <c r="V28" s="1514"/>
      <c r="W28" s="1514"/>
    </row>
    <row r="29" customFormat="false" ht="12" hidden="false" customHeight="true" outlineLevel="0" collapsed="false">
      <c r="A29" s="1514"/>
      <c r="B29" s="1514"/>
      <c r="C29" s="1514"/>
      <c r="D29" s="1514"/>
      <c r="E29" s="1514"/>
      <c r="F29" s="1514"/>
      <c r="G29" s="1514"/>
      <c r="H29" s="1514"/>
      <c r="I29" s="1514"/>
      <c r="J29" s="1514"/>
      <c r="K29" s="1514"/>
      <c r="L29" s="1514"/>
      <c r="M29" s="1514"/>
      <c r="N29" s="1514"/>
      <c r="O29" s="1514"/>
      <c r="P29" s="1514"/>
      <c r="Q29" s="1514"/>
      <c r="R29" s="1514"/>
      <c r="S29" s="1514"/>
      <c r="T29" s="1514"/>
      <c r="U29" s="1514"/>
      <c r="V29" s="1514"/>
      <c r="W29" s="1514"/>
    </row>
    <row r="30" customFormat="false" ht="15" hidden="false" customHeight="true" outlineLevel="0" collapsed="false">
      <c r="A30" s="1513" t="s">
        <v>227</v>
      </c>
      <c r="B30" s="1514"/>
      <c r="C30" s="1514"/>
      <c r="D30" s="1514"/>
      <c r="E30" s="1514"/>
      <c r="F30" s="1514"/>
      <c r="G30" s="1514"/>
      <c r="H30" s="1514"/>
      <c r="I30" s="1514"/>
      <c r="J30" s="1514"/>
      <c r="K30" s="1514"/>
      <c r="L30" s="1514"/>
      <c r="M30" s="1514"/>
      <c r="N30" s="1514"/>
      <c r="O30" s="1514"/>
      <c r="P30" s="1514"/>
      <c r="Q30" s="1514"/>
      <c r="R30" s="1514"/>
      <c r="S30" s="1514"/>
      <c r="T30" s="1514"/>
      <c r="U30" s="1514"/>
      <c r="V30" s="1514"/>
      <c r="W30" s="1514"/>
    </row>
    <row r="31" customFormat="false" ht="12" hidden="false" customHeight="true" outlineLevel="0" collapsed="false">
      <c r="A31" s="1514"/>
      <c r="B31" s="1514" t="str">
        <f aca="false">B2</f>
        <v>Year 1</v>
      </c>
      <c r="C31" s="1514" t="str">
        <f aca="false">C2</f>
        <v>Year 2</v>
      </c>
      <c r="D31" s="1514" t="str">
        <f aca="false">D2</f>
        <v>Year 3</v>
      </c>
      <c r="E31" s="1514" t="str">
        <f aca="false">E2</f>
        <v>Year 4</v>
      </c>
      <c r="F31" s="1514" t="str">
        <f aca="false">F2</f>
        <v>Year 5</v>
      </c>
      <c r="G31" s="1514"/>
      <c r="H31" s="1514"/>
      <c r="I31" s="1514"/>
      <c r="J31" s="1514"/>
      <c r="K31" s="1514"/>
      <c r="L31" s="1514"/>
      <c r="M31" s="1514"/>
      <c r="N31" s="1514"/>
      <c r="O31" s="1514"/>
      <c r="P31" s="1514"/>
      <c r="Q31" s="1514"/>
      <c r="R31" s="1514"/>
      <c r="S31" s="1514"/>
      <c r="T31" s="1514"/>
      <c r="U31" s="1514"/>
      <c r="V31" s="1514"/>
      <c r="W31" s="1514"/>
    </row>
    <row r="32" customFormat="false" ht="12" hidden="false" customHeight="true" outlineLevel="0" collapsed="false">
      <c r="A32" s="1514" t="str">
        <f aca="false">'Tables 5Y'!ET25</f>
        <v>Net Cash Flow</v>
      </c>
      <c r="B32" s="1514" t="n">
        <f aca="false">'Tables 5Y'!EU25</f>
        <v>6344386.38122366</v>
      </c>
      <c r="C32" s="1514" t="n">
        <f aca="false">'Tables 5Y'!EV25</f>
        <v>7591274.12745243</v>
      </c>
      <c r="D32" s="1514" t="n">
        <f aca="false">'Tables 5Y'!EW25</f>
        <v>40237740.4209782</v>
      </c>
      <c r="E32" s="1514" t="n">
        <f aca="false">'Tables 5Y'!EX25</f>
        <v>48287275.6655105</v>
      </c>
      <c r="F32" s="1514" t="n">
        <f aca="false">'Tables 5Y'!EY25</f>
        <v>54531564.3629462</v>
      </c>
      <c r="G32" s="1514"/>
      <c r="H32" s="1514"/>
      <c r="I32" s="1514"/>
      <c r="J32" s="1514"/>
      <c r="K32" s="1514"/>
      <c r="L32" s="1514"/>
      <c r="M32" s="1514"/>
      <c r="N32" s="1514"/>
      <c r="O32" s="1514"/>
      <c r="P32" s="1514"/>
      <c r="Q32" s="1514"/>
      <c r="R32" s="1514"/>
      <c r="S32" s="1514"/>
      <c r="T32" s="1514"/>
      <c r="U32" s="1514"/>
      <c r="V32" s="1514"/>
      <c r="W32" s="1514"/>
    </row>
    <row r="33" customFormat="false" ht="12" hidden="false" customHeight="true" outlineLevel="0" collapsed="false">
      <c r="A33" s="1514" t="s">
        <v>1914</v>
      </c>
      <c r="B33" s="1514" t="n">
        <f aca="false">'Tables 5Y'!EU26</f>
        <v>6344386.38122366</v>
      </c>
      <c r="C33" s="1514" t="n">
        <f aca="false">'Tables 5Y'!EV26</f>
        <v>13935660.5086761</v>
      </c>
      <c r="D33" s="1514" t="n">
        <f aca="false">'Tables 5Y'!EW26</f>
        <v>54173400.9296542</v>
      </c>
      <c r="E33" s="1514" t="n">
        <f aca="false">'Tables 5Y'!EX26</f>
        <v>102460676.595165</v>
      </c>
      <c r="F33" s="1514" t="n">
        <f aca="false">'Tables 5Y'!EY26</f>
        <v>156992240.958111</v>
      </c>
      <c r="G33" s="1514"/>
      <c r="H33" s="1514"/>
      <c r="I33" s="1514"/>
      <c r="J33" s="1514"/>
      <c r="K33" s="1514"/>
      <c r="L33" s="1514"/>
      <c r="M33" s="1514"/>
      <c r="N33" s="1514"/>
      <c r="O33" s="1514"/>
      <c r="P33" s="1514"/>
      <c r="Q33" s="1514"/>
      <c r="R33" s="1514"/>
      <c r="S33" s="1514"/>
      <c r="T33" s="1514"/>
      <c r="U33" s="1514"/>
      <c r="V33" s="1514"/>
      <c r="W33" s="1514"/>
    </row>
    <row r="34" customFormat="false" ht="12" hidden="false" customHeight="true" outlineLevel="0" collapsed="false">
      <c r="A34" s="1514"/>
      <c r="B34" s="1514"/>
      <c r="C34" s="1514"/>
      <c r="D34" s="1514"/>
      <c r="E34" s="1514"/>
      <c r="F34" s="1514"/>
      <c r="G34" s="1514"/>
      <c r="H34" s="1514"/>
      <c r="I34" s="1514"/>
      <c r="J34" s="1514"/>
      <c r="K34" s="1514"/>
      <c r="L34" s="1514"/>
      <c r="M34" s="1514"/>
      <c r="N34" s="1514"/>
      <c r="O34" s="1514"/>
      <c r="P34" s="1514"/>
      <c r="Q34" s="1514"/>
      <c r="R34" s="1514"/>
      <c r="S34" s="1514"/>
      <c r="T34" s="1514"/>
      <c r="U34" s="1514"/>
      <c r="V34" s="1514"/>
      <c r="W34" s="1514"/>
    </row>
    <row r="35" customFormat="false" ht="12" hidden="false" customHeight="true" outlineLevel="0" collapsed="false">
      <c r="A35" s="1514"/>
      <c r="B35" s="1514"/>
      <c r="C35" s="1514"/>
      <c r="D35" s="1514"/>
      <c r="E35" s="1514"/>
      <c r="F35" s="1514"/>
      <c r="G35" s="1514"/>
      <c r="H35" s="1514"/>
      <c r="I35" s="1514"/>
      <c r="J35" s="1514"/>
      <c r="K35" s="1514"/>
      <c r="L35" s="1514"/>
      <c r="M35" s="1514"/>
      <c r="N35" s="1514"/>
      <c r="O35" s="1514"/>
      <c r="P35" s="1514"/>
      <c r="Q35" s="1514"/>
      <c r="R35" s="1514"/>
      <c r="S35" s="1514"/>
      <c r="T35" s="1514"/>
      <c r="U35" s="1514"/>
      <c r="V35" s="1514"/>
      <c r="W35" s="1514"/>
    </row>
    <row r="36" customFormat="false" ht="12" hidden="false" customHeight="true" outlineLevel="0" collapsed="false">
      <c r="A36" s="1514"/>
      <c r="B36" s="1514"/>
      <c r="C36" s="1514"/>
      <c r="D36" s="1514"/>
      <c r="E36" s="1514"/>
      <c r="F36" s="1514"/>
      <c r="G36" s="1514"/>
      <c r="H36" s="1514"/>
      <c r="I36" s="1514"/>
      <c r="J36" s="1514"/>
      <c r="K36" s="1514"/>
      <c r="L36" s="1514"/>
      <c r="M36" s="1514"/>
      <c r="N36" s="1514"/>
      <c r="O36" s="1514"/>
      <c r="P36" s="1514"/>
      <c r="Q36" s="1514"/>
      <c r="R36" s="1514"/>
      <c r="S36" s="1514"/>
      <c r="T36" s="1514"/>
      <c r="U36" s="1514"/>
      <c r="V36" s="1514"/>
      <c r="W36" s="1514"/>
    </row>
    <row r="37" customFormat="false" ht="12" hidden="false" customHeight="true" outlineLevel="0" collapsed="false">
      <c r="A37" s="1514"/>
      <c r="B37" s="1514"/>
      <c r="C37" s="1514"/>
      <c r="D37" s="1514"/>
      <c r="E37" s="1514"/>
      <c r="F37" s="1514"/>
      <c r="G37" s="1514"/>
      <c r="H37" s="1514"/>
      <c r="I37" s="1514"/>
      <c r="J37" s="1514"/>
      <c r="K37" s="1514"/>
      <c r="L37" s="1514"/>
      <c r="M37" s="1514"/>
      <c r="N37" s="1514"/>
      <c r="O37" s="1514"/>
      <c r="P37" s="1514"/>
      <c r="Q37" s="1514"/>
      <c r="R37" s="1514"/>
      <c r="S37" s="1514"/>
      <c r="T37" s="1514"/>
      <c r="U37" s="1514"/>
      <c r="V37" s="1514"/>
      <c r="W37" s="1514"/>
    </row>
    <row r="38" customFormat="false" ht="12" hidden="false" customHeight="true" outlineLevel="0" collapsed="false">
      <c r="A38" s="1514"/>
      <c r="B38" s="1514"/>
      <c r="C38" s="1514"/>
      <c r="D38" s="1514"/>
      <c r="E38" s="1514"/>
      <c r="F38" s="1514"/>
      <c r="G38" s="1514"/>
      <c r="H38" s="1514"/>
      <c r="I38" s="1514"/>
      <c r="J38" s="1514"/>
      <c r="K38" s="1514"/>
      <c r="L38" s="1514"/>
      <c r="M38" s="1514"/>
      <c r="N38" s="1514"/>
      <c r="O38" s="1514"/>
      <c r="P38" s="1514"/>
      <c r="Q38" s="1514"/>
      <c r="R38" s="1514"/>
      <c r="S38" s="1514"/>
      <c r="T38" s="1514"/>
      <c r="U38" s="1514"/>
      <c r="V38" s="1514"/>
      <c r="W38" s="1514"/>
    </row>
    <row r="39" customFormat="false" ht="12" hidden="false" customHeight="true" outlineLevel="0" collapsed="false">
      <c r="A39" s="1514"/>
      <c r="B39" s="1514"/>
      <c r="C39" s="1514"/>
      <c r="D39" s="1514"/>
      <c r="E39" s="1514"/>
      <c r="F39" s="1514"/>
      <c r="G39" s="1514"/>
      <c r="H39" s="1514"/>
      <c r="I39" s="1514"/>
      <c r="J39" s="1514"/>
      <c r="K39" s="1514"/>
      <c r="L39" s="1514"/>
      <c r="M39" s="1514"/>
      <c r="N39" s="1514"/>
      <c r="O39" s="1514"/>
      <c r="P39" s="1514"/>
      <c r="Q39" s="1514"/>
      <c r="R39" s="1514"/>
      <c r="S39" s="1514"/>
      <c r="T39" s="1514"/>
      <c r="U39" s="1514"/>
      <c r="V39" s="1514"/>
      <c r="W39" s="1514"/>
    </row>
    <row r="40" customFormat="false" ht="12" hidden="false" customHeight="true" outlineLevel="0" collapsed="false">
      <c r="A40" s="1514"/>
      <c r="B40" s="1514"/>
      <c r="C40" s="1514"/>
      <c r="D40" s="1514"/>
      <c r="E40" s="1514"/>
      <c r="F40" s="1514"/>
      <c r="G40" s="1514"/>
      <c r="H40" s="1514"/>
      <c r="I40" s="1514"/>
      <c r="J40" s="1514"/>
      <c r="K40" s="1514"/>
      <c r="L40" s="1514"/>
      <c r="M40" s="1514"/>
      <c r="N40" s="1514"/>
      <c r="O40" s="1514"/>
      <c r="P40" s="1514"/>
      <c r="Q40" s="1514"/>
      <c r="R40" s="1514"/>
      <c r="S40" s="1514"/>
      <c r="T40" s="1514"/>
      <c r="U40" s="1514"/>
      <c r="V40" s="1514"/>
      <c r="W40" s="1514"/>
    </row>
    <row r="41" customFormat="false" ht="12" hidden="false" customHeight="true" outlineLevel="0" collapsed="false">
      <c r="A41" s="1514"/>
      <c r="B41" s="1514"/>
      <c r="C41" s="1514"/>
      <c r="D41" s="1514"/>
      <c r="E41" s="1514"/>
      <c r="F41" s="1514"/>
      <c r="G41" s="1514"/>
      <c r="H41" s="1514"/>
      <c r="I41" s="1514"/>
      <c r="J41" s="1514"/>
      <c r="K41" s="1514"/>
      <c r="L41" s="1514"/>
      <c r="M41" s="1514"/>
      <c r="N41" s="1514"/>
      <c r="O41" s="1514"/>
      <c r="P41" s="1514"/>
      <c r="Q41" s="1514"/>
      <c r="R41" s="1514"/>
      <c r="S41" s="1514"/>
      <c r="T41" s="1514"/>
      <c r="U41" s="1514"/>
      <c r="V41" s="1514"/>
      <c r="W41" s="1514"/>
    </row>
    <row r="42" customFormat="false" ht="12" hidden="false" customHeight="true" outlineLevel="0" collapsed="false">
      <c r="A42" s="1514"/>
      <c r="B42" s="1514"/>
      <c r="C42" s="1514"/>
      <c r="D42" s="1514"/>
      <c r="E42" s="1514"/>
      <c r="F42" s="1514"/>
      <c r="G42" s="1514"/>
      <c r="H42" s="1514"/>
      <c r="I42" s="1514"/>
      <c r="J42" s="1514"/>
      <c r="K42" s="1514"/>
      <c r="L42" s="1514"/>
      <c r="M42" s="1514"/>
      <c r="N42" s="1514"/>
      <c r="O42" s="1514"/>
      <c r="P42" s="1514"/>
      <c r="Q42" s="1514"/>
      <c r="R42" s="1514"/>
      <c r="S42" s="1514"/>
      <c r="T42" s="1514"/>
      <c r="U42" s="1514"/>
      <c r="V42" s="1514"/>
      <c r="W42" s="1514"/>
    </row>
    <row r="43" customFormat="false" ht="12" hidden="false" customHeight="true" outlineLevel="0" collapsed="false">
      <c r="A43" s="1514"/>
      <c r="B43" s="1514"/>
      <c r="C43" s="1514"/>
      <c r="D43" s="1514"/>
      <c r="E43" s="1514"/>
      <c r="F43" s="1514"/>
      <c r="G43" s="1514"/>
      <c r="H43" s="1514"/>
      <c r="I43" s="1514"/>
      <c r="J43" s="1514"/>
      <c r="K43" s="1514"/>
      <c r="L43" s="1514"/>
      <c r="M43" s="1514"/>
      <c r="N43" s="1514"/>
      <c r="O43" s="1514"/>
      <c r="P43" s="1514"/>
      <c r="Q43" s="1514"/>
      <c r="R43" s="1514"/>
      <c r="S43" s="1514"/>
      <c r="T43" s="1514"/>
      <c r="U43" s="1514"/>
      <c r="V43" s="1514"/>
      <c r="W43" s="1514"/>
    </row>
    <row r="44" customFormat="false" ht="12" hidden="false" customHeight="true" outlineLevel="0" collapsed="false">
      <c r="A44" s="1514"/>
      <c r="B44" s="1514"/>
      <c r="C44" s="1514"/>
      <c r="D44" s="1514"/>
      <c r="E44" s="1514"/>
      <c r="F44" s="1514"/>
      <c r="G44" s="1514"/>
      <c r="H44" s="1514"/>
      <c r="I44" s="1514"/>
      <c r="J44" s="1514"/>
      <c r="K44" s="1514"/>
      <c r="L44" s="1514"/>
      <c r="M44" s="1514"/>
      <c r="N44" s="1514"/>
      <c r="O44" s="1514"/>
      <c r="P44" s="1514"/>
      <c r="Q44" s="1514"/>
      <c r="R44" s="1514"/>
      <c r="S44" s="1514"/>
      <c r="T44" s="1514"/>
      <c r="U44" s="1514"/>
      <c r="V44" s="1514"/>
      <c r="W44" s="1514"/>
    </row>
    <row r="45" customFormat="false" ht="12" hidden="false" customHeight="true" outlineLevel="0" collapsed="false">
      <c r="A45" s="1514"/>
      <c r="B45" s="1514"/>
      <c r="C45" s="1514"/>
      <c r="D45" s="1514"/>
      <c r="E45" s="1514"/>
      <c r="F45" s="1514"/>
      <c r="G45" s="1514"/>
      <c r="H45" s="1514"/>
      <c r="I45" s="1514"/>
      <c r="J45" s="1514"/>
      <c r="K45" s="1514"/>
      <c r="L45" s="1514"/>
      <c r="M45" s="1514"/>
      <c r="N45" s="1514"/>
      <c r="O45" s="1514"/>
      <c r="P45" s="1514"/>
      <c r="Q45" s="1514"/>
      <c r="R45" s="1514"/>
      <c r="S45" s="1514"/>
      <c r="T45" s="1514"/>
      <c r="U45" s="1514"/>
      <c r="V45" s="1514"/>
      <c r="W45" s="1514"/>
    </row>
    <row r="46" customFormat="false" ht="12" hidden="false" customHeight="true" outlineLevel="0" collapsed="false">
      <c r="A46" s="1514"/>
      <c r="B46" s="1514"/>
      <c r="C46" s="1514"/>
      <c r="D46" s="1514"/>
      <c r="E46" s="1514"/>
      <c r="F46" s="1514"/>
      <c r="G46" s="1514"/>
      <c r="H46" s="1514"/>
      <c r="I46" s="1514"/>
      <c r="J46" s="1514"/>
      <c r="K46" s="1514"/>
      <c r="L46" s="1514"/>
      <c r="M46" s="1514"/>
      <c r="N46" s="1514"/>
      <c r="O46" s="1514"/>
      <c r="P46" s="1514"/>
      <c r="Q46" s="1514"/>
      <c r="R46" s="1514"/>
      <c r="S46" s="1514"/>
      <c r="T46" s="1514"/>
      <c r="U46" s="1514"/>
      <c r="V46" s="1514"/>
      <c r="W46" s="1514"/>
    </row>
    <row r="47" customFormat="false" ht="12" hidden="false" customHeight="true" outlineLevel="0" collapsed="false">
      <c r="A47" s="1514"/>
      <c r="B47" s="1514"/>
      <c r="C47" s="1514"/>
      <c r="D47" s="1514"/>
      <c r="E47" s="1514"/>
      <c r="F47" s="1514"/>
      <c r="G47" s="1514"/>
      <c r="H47" s="1514"/>
      <c r="I47" s="1514"/>
      <c r="J47" s="1514"/>
      <c r="K47" s="1514"/>
      <c r="L47" s="1514"/>
      <c r="M47" s="1514"/>
      <c r="N47" s="1514"/>
      <c r="O47" s="1514"/>
      <c r="P47" s="1514"/>
      <c r="Q47" s="1514"/>
      <c r="R47" s="1514"/>
      <c r="S47" s="1514"/>
      <c r="T47" s="1514"/>
      <c r="U47" s="1514"/>
      <c r="V47" s="1514"/>
      <c r="W47" s="1514"/>
    </row>
    <row r="48" customFormat="false" ht="12" hidden="false" customHeight="true" outlineLevel="0" collapsed="false">
      <c r="A48" s="1514"/>
      <c r="B48" s="1514"/>
      <c r="C48" s="1514"/>
      <c r="D48" s="1514"/>
      <c r="E48" s="1514"/>
      <c r="F48" s="1514"/>
      <c r="G48" s="1514"/>
      <c r="H48" s="1514"/>
      <c r="I48" s="1514"/>
      <c r="J48" s="1514"/>
      <c r="K48" s="1514"/>
      <c r="L48" s="1514"/>
      <c r="M48" s="1514"/>
      <c r="N48" s="1514"/>
      <c r="O48" s="1514"/>
      <c r="P48" s="1514"/>
      <c r="Q48" s="1514"/>
      <c r="R48" s="1514"/>
      <c r="S48" s="1514"/>
      <c r="T48" s="1514"/>
      <c r="U48" s="1514"/>
      <c r="V48" s="1514"/>
      <c r="W48" s="1514"/>
    </row>
    <row r="49" customFormat="false" ht="12" hidden="false" customHeight="true" outlineLevel="0" collapsed="false">
      <c r="A49" s="1514"/>
      <c r="B49" s="1514"/>
      <c r="C49" s="1514"/>
      <c r="D49" s="1514"/>
      <c r="E49" s="1514"/>
      <c r="F49" s="1514"/>
      <c r="G49" s="1514"/>
      <c r="H49" s="1514"/>
      <c r="I49" s="1514"/>
      <c r="J49" s="1514"/>
      <c r="K49" s="1514"/>
      <c r="L49" s="1514"/>
      <c r="M49" s="1514"/>
      <c r="N49" s="1514"/>
      <c r="O49" s="1514"/>
      <c r="P49" s="1514"/>
      <c r="Q49" s="1514"/>
      <c r="R49" s="1514"/>
      <c r="S49" s="1514"/>
      <c r="T49" s="1514"/>
      <c r="U49" s="1514"/>
      <c r="V49" s="1514"/>
      <c r="W49" s="1514"/>
    </row>
    <row r="50" customFormat="false" ht="12" hidden="false" customHeight="true" outlineLevel="0" collapsed="false">
      <c r="A50" s="1514"/>
      <c r="B50" s="1514"/>
      <c r="C50" s="1514"/>
      <c r="D50" s="1514"/>
      <c r="E50" s="1514"/>
      <c r="F50" s="1514"/>
      <c r="G50" s="1514"/>
      <c r="H50" s="1514"/>
      <c r="I50" s="1514"/>
      <c r="J50" s="1514"/>
      <c r="K50" s="1514"/>
      <c r="L50" s="1514"/>
      <c r="M50" s="1514"/>
      <c r="N50" s="1514"/>
      <c r="O50" s="1514"/>
      <c r="P50" s="1514"/>
      <c r="Q50" s="1514"/>
      <c r="R50" s="1514"/>
      <c r="S50" s="1514"/>
      <c r="T50" s="1514"/>
      <c r="U50" s="1514"/>
      <c r="V50" s="1514"/>
      <c r="W50" s="1514"/>
    </row>
    <row r="51" customFormat="false" ht="12" hidden="false" customHeight="true" outlineLevel="0" collapsed="false">
      <c r="A51" s="1514"/>
      <c r="B51" s="1514"/>
      <c r="C51" s="1514"/>
      <c r="D51" s="1514"/>
      <c r="E51" s="1514"/>
      <c r="F51" s="1514"/>
      <c r="G51" s="1514"/>
      <c r="H51" s="1514"/>
      <c r="I51" s="1514"/>
      <c r="J51" s="1514"/>
      <c r="K51" s="1514"/>
      <c r="L51" s="1514"/>
      <c r="M51" s="1514"/>
      <c r="N51" s="1514"/>
      <c r="O51" s="1514"/>
      <c r="P51" s="1514"/>
      <c r="Q51" s="1514"/>
      <c r="R51" s="1514"/>
      <c r="S51" s="1514"/>
      <c r="T51" s="1514"/>
      <c r="U51" s="1514"/>
      <c r="V51" s="1514"/>
      <c r="W51" s="1514"/>
    </row>
    <row r="52" customFormat="false" ht="12" hidden="false" customHeight="true" outlineLevel="0" collapsed="false">
      <c r="A52" s="1514"/>
      <c r="B52" s="1514"/>
      <c r="C52" s="1514"/>
      <c r="D52" s="1514"/>
      <c r="E52" s="1514"/>
      <c r="F52" s="1514"/>
      <c r="G52" s="1514"/>
      <c r="H52" s="1514"/>
      <c r="I52" s="1514"/>
      <c r="J52" s="1514"/>
      <c r="K52" s="1514"/>
      <c r="L52" s="1514"/>
      <c r="M52" s="1514"/>
      <c r="N52" s="1514"/>
      <c r="O52" s="1514"/>
      <c r="P52" s="1514"/>
      <c r="Q52" s="1514"/>
      <c r="R52" s="1514"/>
      <c r="S52" s="1514"/>
      <c r="T52" s="1514"/>
      <c r="U52" s="1514"/>
      <c r="V52" s="1514"/>
      <c r="W52" s="1514"/>
    </row>
    <row r="53" customFormat="false" ht="12" hidden="false" customHeight="true" outlineLevel="0" collapsed="false">
      <c r="A53" s="1514"/>
      <c r="B53" s="1514"/>
      <c r="C53" s="1514"/>
      <c r="D53" s="1514"/>
      <c r="E53" s="1514"/>
      <c r="F53" s="1514"/>
      <c r="G53" s="1514"/>
      <c r="H53" s="1514"/>
      <c r="I53" s="1514"/>
      <c r="J53" s="1514"/>
      <c r="K53" s="1514"/>
      <c r="L53" s="1514"/>
      <c r="M53" s="1514"/>
      <c r="N53" s="1514"/>
      <c r="O53" s="1514"/>
      <c r="P53" s="1514"/>
      <c r="Q53" s="1514"/>
      <c r="R53" s="1514"/>
      <c r="S53" s="1514"/>
      <c r="T53" s="1514"/>
      <c r="U53" s="1514"/>
      <c r="V53" s="1514"/>
      <c r="W53" s="1514"/>
    </row>
    <row r="54" customFormat="false" ht="12" hidden="false" customHeight="true" outlineLevel="0" collapsed="false">
      <c r="A54" s="1514"/>
      <c r="B54" s="1514"/>
      <c r="C54" s="1514"/>
      <c r="D54" s="1514"/>
      <c r="E54" s="1514"/>
      <c r="F54" s="1514"/>
      <c r="G54" s="1514"/>
      <c r="H54" s="1514"/>
      <c r="I54" s="1514"/>
      <c r="J54" s="1514"/>
      <c r="K54" s="1514"/>
      <c r="L54" s="1514"/>
      <c r="M54" s="1514"/>
      <c r="N54" s="1514"/>
      <c r="O54" s="1514"/>
      <c r="P54" s="1514"/>
      <c r="Q54" s="1514"/>
      <c r="R54" s="1514"/>
      <c r="S54" s="1514"/>
      <c r="T54" s="1514"/>
      <c r="U54" s="1514"/>
      <c r="V54" s="1514"/>
      <c r="W54" s="1514"/>
    </row>
    <row r="55" customFormat="false" ht="12" hidden="false" customHeight="true" outlineLevel="0" collapsed="false">
      <c r="A55" s="1514"/>
      <c r="B55" s="1514"/>
      <c r="C55" s="1514"/>
      <c r="D55" s="1514"/>
      <c r="E55" s="1514"/>
      <c r="F55" s="1514"/>
      <c r="G55" s="1514"/>
      <c r="H55" s="1514"/>
      <c r="I55" s="1514"/>
      <c r="J55" s="1514"/>
      <c r="K55" s="1514"/>
      <c r="L55" s="1514"/>
      <c r="M55" s="1514"/>
      <c r="N55" s="1514"/>
      <c r="O55" s="1514"/>
      <c r="P55" s="1514"/>
      <c r="Q55" s="1514"/>
      <c r="R55" s="1514"/>
      <c r="S55" s="1514"/>
      <c r="T55" s="1514"/>
      <c r="U55" s="1514"/>
      <c r="V55" s="1514"/>
      <c r="W55" s="1514"/>
    </row>
    <row r="56" customFormat="false" ht="12" hidden="false" customHeight="true" outlineLevel="0" collapsed="false">
      <c r="A56" s="1514"/>
      <c r="B56" s="1514"/>
      <c r="C56" s="1514"/>
      <c r="D56" s="1514"/>
      <c r="E56" s="1514"/>
      <c r="F56" s="1514"/>
      <c r="G56" s="1514"/>
      <c r="H56" s="1514"/>
      <c r="I56" s="1514"/>
      <c r="J56" s="1514"/>
      <c r="K56" s="1514"/>
      <c r="L56" s="1514"/>
      <c r="M56" s="1514"/>
      <c r="N56" s="1514"/>
      <c r="O56" s="1514"/>
      <c r="P56" s="1514"/>
      <c r="Q56" s="1514"/>
      <c r="R56" s="1514"/>
      <c r="S56" s="1514"/>
      <c r="T56" s="1514"/>
      <c r="U56" s="1514"/>
      <c r="V56" s="1514"/>
      <c r="W56" s="1514"/>
    </row>
    <row r="57" customFormat="false" ht="12" hidden="false" customHeight="true" outlineLevel="0" collapsed="false">
      <c r="A57" s="1514"/>
      <c r="B57" s="1514"/>
      <c r="C57" s="1514"/>
      <c r="D57" s="1514"/>
      <c r="E57" s="1514"/>
      <c r="F57" s="1514"/>
      <c r="G57" s="1514"/>
      <c r="H57" s="1514"/>
      <c r="I57" s="1514"/>
      <c r="J57" s="1514"/>
      <c r="K57" s="1514"/>
      <c r="L57" s="1514"/>
      <c r="M57" s="1514"/>
      <c r="N57" s="1514"/>
      <c r="O57" s="1514"/>
      <c r="P57" s="1514"/>
      <c r="Q57" s="1514"/>
      <c r="R57" s="1514"/>
      <c r="S57" s="1514"/>
      <c r="T57" s="1514"/>
      <c r="U57" s="1514"/>
      <c r="V57" s="1514"/>
      <c r="W57" s="1514"/>
    </row>
    <row r="58" customFormat="false" ht="12" hidden="false" customHeight="true" outlineLevel="0" collapsed="false">
      <c r="A58" s="1514"/>
      <c r="B58" s="1514"/>
      <c r="C58" s="1514"/>
      <c r="D58" s="1514"/>
      <c r="E58" s="1514"/>
      <c r="F58" s="1514"/>
      <c r="G58" s="1514"/>
      <c r="H58" s="1514"/>
      <c r="I58" s="1514"/>
      <c r="J58" s="1514"/>
      <c r="K58" s="1514"/>
      <c r="L58" s="1514"/>
      <c r="M58" s="1514"/>
      <c r="N58" s="1514"/>
      <c r="O58" s="1514"/>
      <c r="P58" s="1514"/>
      <c r="Q58" s="1514"/>
      <c r="R58" s="1514"/>
      <c r="S58" s="1514"/>
      <c r="T58" s="1514"/>
      <c r="U58" s="1514"/>
      <c r="V58" s="1514"/>
      <c r="W58" s="1514"/>
    </row>
    <row r="59" customFormat="false" ht="12" hidden="false" customHeight="true" outlineLevel="0" collapsed="false">
      <c r="A59" s="1514"/>
      <c r="B59" s="1514"/>
      <c r="C59" s="1514"/>
      <c r="D59" s="1514"/>
      <c r="E59" s="1514"/>
      <c r="F59" s="1514"/>
      <c r="G59" s="1514"/>
      <c r="H59" s="1514"/>
      <c r="I59" s="1514"/>
      <c r="J59" s="1514"/>
      <c r="K59" s="1514"/>
      <c r="L59" s="1514"/>
      <c r="M59" s="1514"/>
      <c r="N59" s="1514"/>
      <c r="O59" s="1514"/>
      <c r="P59" s="1514"/>
      <c r="Q59" s="1514"/>
      <c r="R59" s="1514"/>
      <c r="S59" s="1514"/>
      <c r="T59" s="1514"/>
      <c r="U59" s="1514"/>
      <c r="V59" s="1514"/>
      <c r="W59" s="1514"/>
    </row>
    <row r="60" customFormat="false" ht="15" hidden="false" customHeight="true" outlineLevel="0" collapsed="false">
      <c r="A60" s="1513" t="str">
        <f aca="false">IF('P&amp;L'!E14="y","Funding Monthly","Revenue Monthly")</f>
        <v>Revenue Monthly</v>
      </c>
      <c r="B60" s="1514"/>
      <c r="C60" s="1514"/>
      <c r="D60" s="1514"/>
      <c r="E60" s="1514"/>
      <c r="F60" s="1514"/>
      <c r="G60" s="1514"/>
      <c r="H60" s="1514"/>
      <c r="I60" s="1514"/>
      <c r="J60" s="1514"/>
      <c r="K60" s="1514"/>
      <c r="L60" s="1514"/>
      <c r="M60" s="1514"/>
      <c r="N60" s="1514"/>
      <c r="O60" s="1514"/>
      <c r="P60" s="1514"/>
      <c r="Q60" s="1514"/>
      <c r="R60" s="1514"/>
      <c r="S60" s="1514"/>
      <c r="T60" s="1514"/>
      <c r="U60" s="1514"/>
      <c r="V60" s="1514"/>
      <c r="W60" s="1514"/>
    </row>
    <row r="61" customFormat="false" ht="12.75" hidden="false" customHeight="true" outlineLevel="0" collapsed="false">
      <c r="A61" s="1516"/>
      <c r="B61" s="1514" t="str">
        <f aca="false">'Tables 5Y'!S1</f>
        <v>Month 1</v>
      </c>
      <c r="C61" s="1514" t="str">
        <f aca="false">'Tables 5Y'!T1</f>
        <v>Month 2</v>
      </c>
      <c r="D61" s="1514" t="str">
        <f aca="false">'Tables 5Y'!U1</f>
        <v>Month 3</v>
      </c>
      <c r="E61" s="1514" t="str">
        <f aca="false">'Tables 5Y'!V1</f>
        <v>Month 4</v>
      </c>
      <c r="F61" s="1514" t="str">
        <f aca="false">'Tables 5Y'!W1</f>
        <v>Month 5</v>
      </c>
      <c r="G61" s="1514" t="str">
        <f aca="false">'Tables 5Y'!X1</f>
        <v>Month 6</v>
      </c>
      <c r="H61" s="1514" t="str">
        <f aca="false">'Tables 5Y'!Y1</f>
        <v>Month 7</v>
      </c>
      <c r="I61" s="1514" t="str">
        <f aca="false">'Tables 5Y'!Z1</f>
        <v>Month 8</v>
      </c>
      <c r="J61" s="1514" t="str">
        <f aca="false">'Tables 5Y'!AA1</f>
        <v>Month 9</v>
      </c>
      <c r="K61" s="1514" t="str">
        <f aca="false">'Tables 5Y'!AB1</f>
        <v>Month 10</v>
      </c>
      <c r="L61" s="1514" t="str">
        <f aca="false">'Tables 5Y'!AC1</f>
        <v>Month 11</v>
      </c>
      <c r="M61" s="1514" t="str">
        <f aca="false">'Tables 5Y'!AD1</f>
        <v>Month 12</v>
      </c>
      <c r="N61" s="1514"/>
      <c r="O61" s="1514"/>
      <c r="P61" s="1514"/>
      <c r="Q61" s="1514"/>
      <c r="R61" s="1514"/>
      <c r="S61" s="1514"/>
      <c r="T61" s="1516"/>
      <c r="U61" s="1514"/>
      <c r="V61" s="1514"/>
      <c r="W61" s="1514"/>
    </row>
    <row r="62" customFormat="false" ht="12" hidden="false" customHeight="true" outlineLevel="0" collapsed="false">
      <c r="A62" s="1514"/>
      <c r="B62" s="1514"/>
      <c r="C62" s="1514"/>
      <c r="D62" s="1514"/>
      <c r="E62" s="1514"/>
      <c r="F62" s="1514"/>
      <c r="G62" s="1514"/>
      <c r="H62" s="1514"/>
      <c r="I62" s="1514"/>
      <c r="J62" s="1514"/>
      <c r="K62" s="1514"/>
      <c r="L62" s="1514"/>
      <c r="M62" s="1514"/>
      <c r="N62" s="1514"/>
      <c r="O62" s="1514"/>
      <c r="P62" s="1514"/>
      <c r="Q62" s="1514"/>
      <c r="R62" s="1514"/>
      <c r="S62" s="1514"/>
      <c r="T62" s="1514"/>
      <c r="U62" s="1514"/>
      <c r="V62" s="1514"/>
      <c r="W62" s="1514"/>
    </row>
    <row r="63" customFormat="false" ht="12" hidden="false" customHeight="true" outlineLevel="0" collapsed="false">
      <c r="A63" s="1514"/>
      <c r="B63" s="1514"/>
      <c r="C63" s="1514"/>
      <c r="D63" s="1514"/>
      <c r="E63" s="1514"/>
      <c r="F63" s="1514"/>
      <c r="G63" s="1514"/>
      <c r="H63" s="1514"/>
      <c r="I63" s="1514"/>
      <c r="J63" s="1514"/>
      <c r="K63" s="1514"/>
      <c r="L63" s="1514"/>
      <c r="M63" s="1514"/>
      <c r="N63" s="1514"/>
      <c r="O63" s="1514"/>
      <c r="P63" s="1514"/>
      <c r="Q63" s="1514"/>
      <c r="R63" s="1514"/>
      <c r="S63" s="1514"/>
      <c r="T63" s="1514"/>
      <c r="U63" s="1514"/>
      <c r="V63" s="1514"/>
      <c r="W63" s="1514"/>
    </row>
    <row r="64" customFormat="false" ht="12" hidden="false" customHeight="true" outlineLevel="0" collapsed="false">
      <c r="A64" s="1514"/>
      <c r="B64" s="1514"/>
      <c r="C64" s="1514"/>
      <c r="D64" s="1514"/>
      <c r="E64" s="1514"/>
      <c r="F64" s="1514"/>
      <c r="G64" s="1514"/>
      <c r="H64" s="1514"/>
      <c r="I64" s="1514"/>
      <c r="J64" s="1514"/>
      <c r="K64" s="1514"/>
      <c r="L64" s="1514"/>
      <c r="M64" s="1514"/>
      <c r="N64" s="1514"/>
      <c r="O64" s="1514"/>
      <c r="P64" s="1514"/>
      <c r="Q64" s="1514"/>
      <c r="R64" s="1514"/>
      <c r="S64" s="1514"/>
      <c r="T64" s="1514"/>
      <c r="U64" s="1514"/>
      <c r="V64" s="1514"/>
      <c r="W64" s="1514"/>
    </row>
    <row r="65" customFormat="false" ht="12" hidden="false" customHeight="true" outlineLevel="0" collapsed="false">
      <c r="A65" s="1514"/>
      <c r="B65" s="1514"/>
      <c r="C65" s="1514"/>
      <c r="D65" s="1514"/>
      <c r="E65" s="1514"/>
      <c r="F65" s="1514"/>
      <c r="G65" s="1514"/>
      <c r="H65" s="1514"/>
      <c r="I65" s="1514"/>
      <c r="J65" s="1514"/>
      <c r="K65" s="1514"/>
      <c r="L65" s="1514"/>
      <c r="M65" s="1514"/>
      <c r="N65" s="1514"/>
      <c r="O65" s="1514"/>
      <c r="P65" s="1514"/>
      <c r="Q65" s="1514"/>
      <c r="R65" s="1514"/>
      <c r="S65" s="1514"/>
      <c r="T65" s="1514"/>
      <c r="U65" s="1514"/>
      <c r="V65" s="1514"/>
      <c r="W65" s="1514"/>
    </row>
    <row r="66" customFormat="false" ht="12" hidden="false" customHeight="true" outlineLevel="0" collapsed="false">
      <c r="A66" s="1514"/>
      <c r="B66" s="1514"/>
      <c r="C66" s="1514"/>
      <c r="D66" s="1514"/>
      <c r="E66" s="1514"/>
      <c r="F66" s="1514"/>
      <c r="G66" s="1514"/>
      <c r="H66" s="1514"/>
      <c r="I66" s="1514"/>
      <c r="J66" s="1514"/>
      <c r="K66" s="1514"/>
      <c r="L66" s="1514"/>
      <c r="M66" s="1514"/>
      <c r="N66" s="1514"/>
      <c r="O66" s="1514"/>
      <c r="P66" s="1514"/>
      <c r="Q66" s="1514"/>
      <c r="R66" s="1514"/>
      <c r="S66" s="1514"/>
      <c r="T66" s="1514"/>
      <c r="U66" s="1514"/>
      <c r="V66" s="1514"/>
      <c r="W66" s="1514"/>
    </row>
    <row r="67" customFormat="false" ht="12" hidden="false" customHeight="true" outlineLevel="0" collapsed="false">
      <c r="A67" s="1514"/>
      <c r="B67" s="1514"/>
      <c r="C67" s="1514"/>
      <c r="D67" s="1514"/>
      <c r="E67" s="1514"/>
      <c r="F67" s="1514"/>
      <c r="G67" s="1514"/>
      <c r="H67" s="1514"/>
      <c r="I67" s="1514"/>
      <c r="J67" s="1514"/>
      <c r="K67" s="1514"/>
      <c r="L67" s="1514"/>
      <c r="M67" s="1514"/>
      <c r="N67" s="1514"/>
      <c r="O67" s="1514"/>
      <c r="P67" s="1514"/>
      <c r="Q67" s="1514"/>
      <c r="R67" s="1514"/>
      <c r="S67" s="1514"/>
      <c r="T67" s="1514"/>
      <c r="U67" s="1514"/>
      <c r="V67" s="1514"/>
      <c r="W67" s="1514"/>
    </row>
    <row r="68" customFormat="false" ht="12" hidden="false" customHeight="true" outlineLevel="0" collapsed="false">
      <c r="A68" s="1514"/>
      <c r="B68" s="1514"/>
      <c r="C68" s="1514"/>
      <c r="D68" s="1514"/>
      <c r="E68" s="1514"/>
      <c r="F68" s="1514"/>
      <c r="G68" s="1514"/>
      <c r="H68" s="1514"/>
      <c r="I68" s="1514"/>
      <c r="J68" s="1514"/>
      <c r="K68" s="1514"/>
      <c r="L68" s="1514"/>
      <c r="M68" s="1514"/>
      <c r="N68" s="1514"/>
      <c r="O68" s="1514"/>
      <c r="P68" s="1514"/>
      <c r="Q68" s="1514"/>
      <c r="R68" s="1514"/>
      <c r="S68" s="1514"/>
      <c r="T68" s="1514"/>
      <c r="U68" s="1514"/>
      <c r="V68" s="1514"/>
      <c r="W68" s="1514"/>
    </row>
    <row r="69" customFormat="false" ht="12" hidden="false" customHeight="true" outlineLevel="0" collapsed="false">
      <c r="A69" s="1514"/>
      <c r="B69" s="1514"/>
      <c r="C69" s="1514"/>
      <c r="D69" s="1514"/>
      <c r="E69" s="1514"/>
      <c r="F69" s="1514"/>
      <c r="G69" s="1514"/>
      <c r="H69" s="1514"/>
      <c r="I69" s="1514"/>
      <c r="J69" s="1514"/>
      <c r="K69" s="1514"/>
      <c r="L69" s="1514"/>
      <c r="M69" s="1514"/>
      <c r="N69" s="1514"/>
      <c r="O69" s="1514"/>
      <c r="P69" s="1514"/>
      <c r="Q69" s="1514"/>
      <c r="R69" s="1514"/>
      <c r="S69" s="1514"/>
      <c r="T69" s="1514"/>
      <c r="U69" s="1514"/>
      <c r="V69" s="1514"/>
      <c r="W69" s="1514"/>
    </row>
    <row r="70" customFormat="false" ht="12" hidden="false" customHeight="true" outlineLevel="0" collapsed="false">
      <c r="A70" s="1514"/>
      <c r="B70" s="1514"/>
      <c r="C70" s="1514"/>
      <c r="D70" s="1514"/>
      <c r="E70" s="1514"/>
      <c r="F70" s="1514"/>
      <c r="G70" s="1514"/>
      <c r="H70" s="1514"/>
      <c r="I70" s="1514"/>
      <c r="J70" s="1514"/>
      <c r="K70" s="1514"/>
      <c r="L70" s="1514"/>
      <c r="M70" s="1514"/>
      <c r="N70" s="1514"/>
      <c r="O70" s="1514"/>
      <c r="P70" s="1514"/>
      <c r="Q70" s="1514"/>
      <c r="R70" s="1514"/>
      <c r="S70" s="1514"/>
      <c r="T70" s="1514"/>
      <c r="U70" s="1514"/>
      <c r="V70" s="1514"/>
      <c r="W70" s="1514"/>
    </row>
    <row r="71" customFormat="false" ht="12" hidden="false" customHeight="true" outlineLevel="0" collapsed="false">
      <c r="A71" s="1514"/>
      <c r="B71" s="1514"/>
      <c r="C71" s="1514"/>
      <c r="D71" s="1514"/>
      <c r="E71" s="1514"/>
      <c r="F71" s="1514"/>
      <c r="G71" s="1514"/>
      <c r="H71" s="1514"/>
      <c r="I71" s="1514"/>
      <c r="J71" s="1514"/>
      <c r="K71" s="1514"/>
      <c r="L71" s="1514"/>
      <c r="M71" s="1514"/>
      <c r="N71" s="1514"/>
      <c r="O71" s="1514"/>
      <c r="P71" s="1514"/>
      <c r="Q71" s="1514"/>
      <c r="R71" s="1514"/>
      <c r="S71" s="1514"/>
      <c r="T71" s="1514"/>
      <c r="U71" s="1514"/>
      <c r="V71" s="1514"/>
      <c r="W71" s="1514"/>
    </row>
    <row r="72" customFormat="false" ht="12" hidden="false" customHeight="true" outlineLevel="0" collapsed="false">
      <c r="A72" s="1514"/>
      <c r="B72" s="1514"/>
      <c r="C72" s="1514"/>
      <c r="D72" s="1514"/>
      <c r="E72" s="1514"/>
      <c r="F72" s="1514"/>
      <c r="G72" s="1514"/>
      <c r="H72" s="1514"/>
      <c r="I72" s="1514"/>
      <c r="J72" s="1514"/>
      <c r="K72" s="1514"/>
      <c r="L72" s="1514"/>
      <c r="M72" s="1514"/>
      <c r="N72" s="1514"/>
      <c r="O72" s="1514"/>
      <c r="P72" s="1514"/>
      <c r="Q72" s="1514"/>
      <c r="R72" s="1514"/>
      <c r="S72" s="1514"/>
      <c r="T72" s="1514"/>
      <c r="U72" s="1514"/>
      <c r="V72" s="1514"/>
      <c r="W72" s="1514"/>
    </row>
    <row r="73" customFormat="false" ht="12" hidden="false" customHeight="true" outlineLevel="0" collapsed="false">
      <c r="A73" s="1514"/>
      <c r="B73" s="1514"/>
      <c r="C73" s="1514"/>
      <c r="D73" s="1514"/>
      <c r="E73" s="1514"/>
      <c r="F73" s="1514"/>
      <c r="G73" s="1514"/>
      <c r="H73" s="1514"/>
      <c r="I73" s="1514"/>
      <c r="J73" s="1514"/>
      <c r="K73" s="1514"/>
      <c r="L73" s="1514"/>
      <c r="M73" s="1514"/>
      <c r="N73" s="1514"/>
      <c r="O73" s="1514"/>
      <c r="P73" s="1514"/>
      <c r="Q73" s="1514"/>
      <c r="R73" s="1514"/>
      <c r="S73" s="1514"/>
      <c r="T73" s="1514"/>
      <c r="U73" s="1514"/>
      <c r="V73" s="1514"/>
      <c r="W73" s="1514"/>
    </row>
    <row r="74" customFormat="false" ht="12" hidden="false" customHeight="true" outlineLevel="0" collapsed="false">
      <c r="A74" s="1514"/>
      <c r="B74" s="1514"/>
      <c r="C74" s="1514"/>
      <c r="D74" s="1514"/>
      <c r="E74" s="1514"/>
      <c r="F74" s="1514"/>
      <c r="G74" s="1514"/>
      <c r="H74" s="1514"/>
      <c r="I74" s="1514"/>
      <c r="J74" s="1514"/>
      <c r="K74" s="1514"/>
      <c r="L74" s="1514"/>
      <c r="M74" s="1514"/>
      <c r="N74" s="1514"/>
      <c r="O74" s="1514"/>
      <c r="P74" s="1514"/>
      <c r="Q74" s="1514"/>
      <c r="R74" s="1514"/>
      <c r="S74" s="1514"/>
      <c r="T74" s="1514"/>
      <c r="U74" s="1514"/>
      <c r="V74" s="1514"/>
      <c r="W74" s="1514"/>
    </row>
    <row r="75" customFormat="false" ht="12" hidden="false" customHeight="true" outlineLevel="0" collapsed="false">
      <c r="A75" s="1514"/>
      <c r="B75" s="1514"/>
      <c r="C75" s="1514"/>
      <c r="D75" s="1514"/>
      <c r="E75" s="1514"/>
      <c r="F75" s="1514"/>
      <c r="G75" s="1514"/>
      <c r="H75" s="1514"/>
      <c r="I75" s="1514"/>
      <c r="J75" s="1514"/>
      <c r="K75" s="1514"/>
      <c r="L75" s="1514"/>
      <c r="M75" s="1514"/>
      <c r="N75" s="1514"/>
      <c r="O75" s="1514"/>
      <c r="P75" s="1514"/>
      <c r="Q75" s="1514"/>
      <c r="R75" s="1514"/>
      <c r="S75" s="1514"/>
      <c r="T75" s="1514"/>
      <c r="U75" s="1514"/>
      <c r="V75" s="1514"/>
      <c r="W75" s="1514"/>
    </row>
    <row r="76" customFormat="false" ht="12" hidden="false" customHeight="true" outlineLevel="0" collapsed="false">
      <c r="A76" s="1514"/>
      <c r="B76" s="1514"/>
      <c r="C76" s="1514"/>
      <c r="D76" s="1514"/>
      <c r="E76" s="1514"/>
      <c r="F76" s="1514"/>
      <c r="G76" s="1514"/>
      <c r="H76" s="1514"/>
      <c r="I76" s="1514" t="str">
        <f aca="false">IF('P&amp;L'!E14="y","Year 1 Funding Monthly","Year 1 Revenue Monthly")</f>
        <v>Year 1 Revenue Monthly</v>
      </c>
      <c r="J76" s="1514"/>
      <c r="K76" s="1514"/>
      <c r="L76" s="1514"/>
      <c r="M76" s="1514"/>
      <c r="N76" s="1514"/>
      <c r="O76" s="1514"/>
      <c r="P76" s="1514"/>
      <c r="Q76" s="1514"/>
      <c r="R76" s="1514"/>
      <c r="S76" s="1514"/>
      <c r="T76" s="1514"/>
      <c r="U76" s="1514"/>
      <c r="V76" s="1514"/>
      <c r="W76" s="1514"/>
    </row>
    <row r="77" customFormat="false" ht="12" hidden="false" customHeight="true" outlineLevel="0" collapsed="false">
      <c r="A77" s="1514"/>
      <c r="B77" s="1514"/>
      <c r="C77" s="1514"/>
      <c r="D77" s="1514"/>
      <c r="E77" s="1514"/>
      <c r="F77" s="1514"/>
      <c r="G77" s="1514"/>
      <c r="H77" s="1514"/>
      <c r="I77" s="1514"/>
      <c r="J77" s="1514"/>
      <c r="K77" s="1514"/>
      <c r="L77" s="1514"/>
      <c r="M77" s="1514"/>
      <c r="N77" s="1514"/>
      <c r="O77" s="1514"/>
      <c r="P77" s="1514"/>
      <c r="Q77" s="1514"/>
      <c r="R77" s="1514"/>
      <c r="S77" s="1514"/>
      <c r="T77" s="1514"/>
      <c r="U77" s="1514"/>
      <c r="V77" s="1514"/>
      <c r="W77" s="1514"/>
    </row>
    <row r="78" customFormat="false" ht="12" hidden="false" customHeight="true" outlineLevel="0" collapsed="false">
      <c r="A78" s="1514"/>
      <c r="B78" s="1514"/>
      <c r="C78" s="1514"/>
      <c r="D78" s="1514"/>
      <c r="E78" s="1514"/>
      <c r="F78" s="1514"/>
      <c r="G78" s="1514"/>
      <c r="H78" s="1514"/>
      <c r="I78" s="1514"/>
      <c r="J78" s="1514"/>
      <c r="K78" s="1514"/>
      <c r="L78" s="1514"/>
      <c r="M78" s="1514"/>
      <c r="N78" s="1514"/>
      <c r="O78" s="1514"/>
      <c r="P78" s="1514"/>
      <c r="Q78" s="1514"/>
      <c r="R78" s="1514"/>
      <c r="S78" s="1514"/>
      <c r="T78" s="1514"/>
      <c r="U78" s="1514"/>
      <c r="V78" s="1514"/>
      <c r="W78" s="1514"/>
    </row>
    <row r="79" customFormat="false" ht="12" hidden="false" customHeight="true" outlineLevel="0" collapsed="false">
      <c r="A79" s="1514"/>
      <c r="B79" s="1514"/>
      <c r="C79" s="1514"/>
      <c r="D79" s="1514"/>
      <c r="E79" s="1514"/>
      <c r="F79" s="1514"/>
      <c r="G79" s="1514"/>
      <c r="H79" s="1514"/>
      <c r="I79" s="1514"/>
      <c r="J79" s="1514"/>
      <c r="K79" s="1514"/>
      <c r="L79" s="1514"/>
      <c r="M79" s="1514"/>
      <c r="N79" s="1514"/>
      <c r="O79" s="1514"/>
      <c r="P79" s="1514"/>
      <c r="Q79" s="1514"/>
      <c r="R79" s="1514"/>
      <c r="S79" s="1514"/>
      <c r="T79" s="1514"/>
      <c r="U79" s="1514"/>
      <c r="V79" s="1514"/>
      <c r="W79" s="1514"/>
    </row>
    <row r="80" customFormat="false" ht="12" hidden="false" customHeight="true" outlineLevel="0" collapsed="false">
      <c r="A80" s="1514"/>
      <c r="B80" s="1514"/>
      <c r="C80" s="1514"/>
      <c r="D80" s="1514"/>
      <c r="E80" s="1514"/>
      <c r="F80" s="1514"/>
      <c r="G80" s="1514"/>
      <c r="H80" s="1514"/>
      <c r="I80" s="1514"/>
      <c r="J80" s="1514"/>
      <c r="K80" s="1514"/>
      <c r="L80" s="1514"/>
      <c r="M80" s="1514"/>
      <c r="N80" s="1514"/>
      <c r="O80" s="1514"/>
      <c r="P80" s="1514"/>
      <c r="Q80" s="1514"/>
      <c r="R80" s="1514"/>
      <c r="S80" s="1514"/>
      <c r="T80" s="1514"/>
      <c r="U80" s="1514"/>
      <c r="V80" s="1514"/>
      <c r="W80" s="1514"/>
    </row>
    <row r="81" customFormat="false" ht="12" hidden="false" customHeight="true" outlineLevel="0" collapsed="false">
      <c r="A81" s="1514"/>
      <c r="B81" s="1514"/>
      <c r="C81" s="1514"/>
      <c r="D81" s="1514"/>
      <c r="E81" s="1514"/>
      <c r="F81" s="1514"/>
      <c r="G81" s="1514"/>
      <c r="H81" s="1514"/>
      <c r="I81" s="1514"/>
      <c r="J81" s="1514"/>
      <c r="K81" s="1514"/>
      <c r="L81" s="1514"/>
      <c r="M81" s="1514"/>
      <c r="N81" s="1514"/>
      <c r="O81" s="1514"/>
      <c r="P81" s="1514"/>
      <c r="Q81" s="1514"/>
      <c r="R81" s="1514"/>
      <c r="S81" s="1514"/>
      <c r="T81" s="1514"/>
      <c r="U81" s="1514"/>
      <c r="V81" s="1514"/>
      <c r="W81" s="1514"/>
    </row>
    <row r="82" customFormat="false" ht="12" hidden="false" customHeight="true" outlineLevel="0" collapsed="false">
      <c r="A82" s="1514"/>
      <c r="B82" s="1514"/>
      <c r="C82" s="1514"/>
      <c r="D82" s="1514"/>
      <c r="E82" s="1514"/>
      <c r="F82" s="1514"/>
      <c r="G82" s="1514"/>
      <c r="H82" s="1514"/>
      <c r="I82" s="1514"/>
      <c r="J82" s="1514"/>
      <c r="K82" s="1514"/>
      <c r="L82" s="1514"/>
      <c r="M82" s="1514"/>
      <c r="N82" s="1514"/>
      <c r="O82" s="1514"/>
      <c r="P82" s="1514"/>
      <c r="Q82" s="1514"/>
      <c r="R82" s="1514"/>
      <c r="S82" s="1514"/>
      <c r="T82" s="1514"/>
      <c r="U82" s="1514"/>
      <c r="V82" s="1514"/>
      <c r="W82" s="1514"/>
    </row>
    <row r="83" customFormat="false" ht="12" hidden="false" customHeight="true" outlineLevel="0" collapsed="false">
      <c r="A83" s="1514"/>
      <c r="B83" s="1514"/>
      <c r="C83" s="1514"/>
      <c r="D83" s="1514"/>
      <c r="E83" s="1514"/>
      <c r="F83" s="1514"/>
      <c r="G83" s="1514"/>
      <c r="H83" s="1514"/>
      <c r="I83" s="1514"/>
      <c r="J83" s="1514"/>
      <c r="K83" s="1514"/>
      <c r="L83" s="1514"/>
      <c r="M83" s="1514"/>
      <c r="N83" s="1514"/>
      <c r="O83" s="1514"/>
      <c r="P83" s="1514"/>
      <c r="Q83" s="1514"/>
      <c r="R83" s="1514"/>
      <c r="S83" s="1514"/>
      <c r="T83" s="1514"/>
      <c r="U83" s="1514"/>
      <c r="V83" s="1514"/>
      <c r="W83" s="1514"/>
    </row>
    <row r="84" customFormat="false" ht="12" hidden="false" customHeight="true" outlineLevel="0" collapsed="false">
      <c r="A84" s="1514"/>
      <c r="B84" s="1514"/>
      <c r="C84" s="1514"/>
      <c r="D84" s="1514"/>
      <c r="E84" s="1514"/>
      <c r="F84" s="1514"/>
      <c r="G84" s="1514"/>
      <c r="H84" s="1514"/>
      <c r="I84" s="1514"/>
      <c r="J84" s="1514"/>
      <c r="K84" s="1514"/>
      <c r="L84" s="1514"/>
      <c r="M84" s="1514"/>
      <c r="N84" s="1514"/>
      <c r="O84" s="1514"/>
      <c r="P84" s="1514"/>
      <c r="Q84" s="1514"/>
      <c r="R84" s="1514"/>
      <c r="S84" s="1514"/>
      <c r="T84" s="1514"/>
      <c r="U84" s="1514"/>
      <c r="V84" s="1514"/>
      <c r="W84" s="1514"/>
    </row>
    <row r="85" customFormat="false" ht="12" hidden="false" customHeight="true" outlineLevel="0" collapsed="false">
      <c r="A85" s="1514"/>
      <c r="B85" s="1514"/>
      <c r="C85" s="1514"/>
      <c r="D85" s="1514"/>
      <c r="E85" s="1514"/>
      <c r="F85" s="1514"/>
      <c r="G85" s="1514"/>
      <c r="H85" s="1514"/>
      <c r="I85" s="1514"/>
      <c r="J85" s="1514"/>
      <c r="K85" s="1514"/>
      <c r="L85" s="1514"/>
      <c r="M85" s="1514"/>
      <c r="N85" s="1514"/>
      <c r="O85" s="1514"/>
      <c r="P85" s="1514"/>
      <c r="Q85" s="1514"/>
      <c r="R85" s="1514"/>
      <c r="S85" s="1514"/>
      <c r="T85" s="1514"/>
      <c r="U85" s="1514"/>
      <c r="V85" s="1514"/>
      <c r="W85" s="1514"/>
    </row>
    <row r="86" customFormat="false" ht="12" hidden="false" customHeight="true" outlineLevel="0" collapsed="false">
      <c r="A86" s="1514"/>
      <c r="B86" s="1514"/>
      <c r="C86" s="1514"/>
      <c r="D86" s="1514"/>
      <c r="E86" s="1514"/>
      <c r="F86" s="1514"/>
      <c r="G86" s="1514"/>
      <c r="H86" s="1514"/>
      <c r="I86" s="1514"/>
      <c r="J86" s="1514"/>
      <c r="K86" s="1514"/>
      <c r="L86" s="1514"/>
      <c r="M86" s="1514"/>
      <c r="N86" s="1514"/>
      <c r="O86" s="1514"/>
      <c r="P86" s="1514"/>
      <c r="Q86" s="1514"/>
      <c r="R86" s="1514"/>
      <c r="S86" s="1514"/>
      <c r="T86" s="1514"/>
      <c r="U86" s="1514"/>
      <c r="V86" s="1514"/>
      <c r="W86" s="1514"/>
    </row>
    <row r="87" customFormat="false" ht="12" hidden="false" customHeight="true" outlineLevel="0" collapsed="false">
      <c r="A87" s="1514"/>
      <c r="B87" s="1514"/>
      <c r="C87" s="1514"/>
      <c r="D87" s="1514"/>
      <c r="E87" s="1514"/>
      <c r="F87" s="1514"/>
      <c r="G87" s="1514"/>
      <c r="H87" s="1514"/>
      <c r="I87" s="1514"/>
      <c r="J87" s="1514"/>
      <c r="K87" s="1514"/>
      <c r="L87" s="1514"/>
      <c r="M87" s="1514"/>
      <c r="N87" s="1514"/>
      <c r="O87" s="1514"/>
      <c r="P87" s="1514"/>
      <c r="Q87" s="1514"/>
      <c r="R87" s="1514"/>
      <c r="S87" s="1514"/>
      <c r="T87" s="1514"/>
      <c r="U87" s="1514"/>
      <c r="V87" s="1514"/>
      <c r="W87" s="1514"/>
    </row>
    <row r="88" customFormat="false" ht="12" hidden="false" customHeight="true" outlineLevel="0" collapsed="false">
      <c r="A88" s="1514"/>
      <c r="B88" s="1514"/>
      <c r="C88" s="1514"/>
      <c r="D88" s="1514"/>
      <c r="E88" s="1514"/>
      <c r="F88" s="1514"/>
      <c r="G88" s="1514"/>
      <c r="H88" s="1514"/>
      <c r="I88" s="1514"/>
      <c r="J88" s="1514"/>
      <c r="K88" s="1514"/>
      <c r="L88" s="1514"/>
      <c r="M88" s="1514"/>
      <c r="N88" s="1514"/>
      <c r="O88" s="1514"/>
      <c r="P88" s="1514"/>
      <c r="Q88" s="1514"/>
      <c r="R88" s="1514"/>
      <c r="S88" s="1514"/>
      <c r="T88" s="1514"/>
      <c r="U88" s="1514"/>
      <c r="V88" s="1514"/>
      <c r="W88" s="1514"/>
    </row>
    <row r="89" customFormat="false" ht="12" hidden="false" customHeight="true" outlineLevel="0" collapsed="false">
      <c r="A89" s="1514"/>
      <c r="B89" s="1514"/>
      <c r="C89" s="1514"/>
      <c r="D89" s="1514"/>
      <c r="E89" s="1514"/>
      <c r="F89" s="1514"/>
      <c r="G89" s="1514"/>
      <c r="H89" s="1514"/>
      <c r="I89" s="1514"/>
      <c r="J89" s="1514"/>
      <c r="K89" s="1514"/>
      <c r="L89" s="1514"/>
      <c r="M89" s="1514"/>
      <c r="N89" s="1514"/>
      <c r="O89" s="1514"/>
      <c r="P89" s="1514"/>
      <c r="Q89" s="1514"/>
      <c r="R89" s="1514"/>
      <c r="S89" s="1514"/>
      <c r="T89" s="1514"/>
      <c r="U89" s="1514"/>
      <c r="V89" s="1514"/>
      <c r="W89" s="1514"/>
    </row>
    <row r="90" customFormat="false" ht="12" hidden="false" customHeight="true" outlineLevel="0" collapsed="false">
      <c r="A90" s="1514"/>
      <c r="B90" s="1514"/>
      <c r="C90" s="1514"/>
      <c r="D90" s="1514"/>
      <c r="E90" s="1514"/>
      <c r="F90" s="1514"/>
      <c r="G90" s="1514"/>
      <c r="H90" s="1514"/>
      <c r="I90" s="1514"/>
      <c r="J90" s="1514"/>
      <c r="K90" s="1514"/>
      <c r="L90" s="1514"/>
      <c r="M90" s="1514"/>
      <c r="N90" s="1514"/>
      <c r="O90" s="1514"/>
      <c r="P90" s="1514"/>
      <c r="Q90" s="1514"/>
      <c r="R90" s="1514"/>
      <c r="S90" s="1514"/>
      <c r="T90" s="1514"/>
      <c r="U90" s="1514"/>
      <c r="V90" s="1514"/>
      <c r="W90" s="1514"/>
    </row>
    <row r="91" customFormat="false" ht="12" hidden="false" customHeight="true" outlineLevel="0" collapsed="false">
      <c r="A91" s="1514"/>
      <c r="B91" s="1514"/>
      <c r="C91" s="1514"/>
      <c r="D91" s="1514"/>
      <c r="E91" s="1514"/>
      <c r="F91" s="1514"/>
      <c r="G91" s="1514"/>
      <c r="H91" s="1514"/>
      <c r="I91" s="1514"/>
      <c r="J91" s="1514"/>
      <c r="K91" s="1514"/>
      <c r="L91" s="1514"/>
      <c r="M91" s="1514"/>
      <c r="N91" s="1514"/>
      <c r="O91" s="1514"/>
      <c r="P91" s="1514"/>
      <c r="Q91" s="1514"/>
      <c r="R91" s="1514"/>
      <c r="S91" s="1514"/>
      <c r="T91" s="1514"/>
      <c r="U91" s="1514"/>
      <c r="V91" s="1514"/>
      <c r="W91" s="1514"/>
    </row>
    <row r="92" customFormat="false" ht="12" hidden="false" customHeight="true" outlineLevel="0" collapsed="false">
      <c r="A92" s="1514"/>
      <c r="B92" s="1514"/>
      <c r="C92" s="1514"/>
      <c r="D92" s="1514"/>
      <c r="E92" s="1514"/>
      <c r="F92" s="1514"/>
      <c r="G92" s="1514"/>
      <c r="H92" s="1514"/>
      <c r="I92" s="1514"/>
      <c r="J92" s="1514"/>
      <c r="K92" s="1514"/>
      <c r="L92" s="1514"/>
      <c r="M92" s="1514"/>
      <c r="N92" s="1514"/>
      <c r="O92" s="1514"/>
      <c r="P92" s="1514"/>
      <c r="Q92" s="1514"/>
      <c r="R92" s="1514"/>
      <c r="S92" s="1514"/>
      <c r="T92" s="1514"/>
      <c r="U92" s="1514"/>
      <c r="V92" s="1514"/>
      <c r="W92" s="1514"/>
    </row>
    <row r="93" customFormat="false" ht="12" hidden="false" customHeight="true" outlineLevel="0" collapsed="false">
      <c r="A93" s="1514"/>
      <c r="B93" s="1514"/>
      <c r="C93" s="1514"/>
      <c r="D93" s="1514"/>
      <c r="E93" s="1514"/>
      <c r="F93" s="1514"/>
      <c r="G93" s="1514"/>
      <c r="H93" s="1514"/>
      <c r="I93" s="1514"/>
      <c r="J93" s="1514"/>
      <c r="K93" s="1514"/>
      <c r="L93" s="1514"/>
      <c r="M93" s="1514"/>
      <c r="N93" s="1514"/>
      <c r="O93" s="1514"/>
      <c r="P93" s="1514"/>
      <c r="Q93" s="1514"/>
      <c r="R93" s="1514"/>
      <c r="S93" s="1514"/>
      <c r="T93" s="1514"/>
      <c r="U93" s="1514"/>
      <c r="V93" s="1514"/>
      <c r="W93" s="1514"/>
    </row>
    <row r="94" customFormat="false" ht="15" hidden="false" customHeight="true" outlineLevel="0" collapsed="false">
      <c r="A94" s="1513" t="str">
        <f aca="false">IF('P&amp;L'!E14="y","Funding By Year","Revenue By Year")</f>
        <v>Revenue By Year</v>
      </c>
      <c r="B94" s="1514"/>
      <c r="C94" s="1514"/>
      <c r="D94" s="1514"/>
      <c r="E94" s="1514"/>
      <c r="F94" s="1514"/>
      <c r="G94" s="1514"/>
      <c r="H94" s="1514"/>
      <c r="I94" s="1514"/>
      <c r="J94" s="1514"/>
      <c r="K94" s="1514"/>
      <c r="L94" s="1514"/>
      <c r="M94" s="1514"/>
      <c r="N94" s="1514"/>
      <c r="O94" s="1514"/>
      <c r="P94" s="1514"/>
      <c r="Q94" s="1514"/>
      <c r="R94" s="1514"/>
      <c r="S94" s="1514"/>
      <c r="T94" s="1514"/>
      <c r="U94" s="1514"/>
      <c r="V94" s="1514"/>
      <c r="W94" s="1514"/>
    </row>
    <row r="95" customFormat="false" ht="12" hidden="false" customHeight="true" outlineLevel="0" collapsed="false">
      <c r="A95" s="1514"/>
      <c r="B95" s="1514" t="str">
        <f aca="false">B2</f>
        <v>Year 1</v>
      </c>
      <c r="C95" s="1514" t="str">
        <f aca="false">C2</f>
        <v>Year 2</v>
      </c>
      <c r="D95" s="1514" t="str">
        <f aca="false">D2</f>
        <v>Year 3</v>
      </c>
      <c r="E95" s="1514" t="str">
        <f aca="false">E2</f>
        <v>Year 4</v>
      </c>
      <c r="F95" s="1514" t="str">
        <f aca="false">F2</f>
        <v>Year 5</v>
      </c>
      <c r="G95" s="1514"/>
      <c r="H95" s="1514"/>
      <c r="I95" s="1514"/>
      <c r="J95" s="1514"/>
      <c r="K95" s="1514"/>
      <c r="L95" s="1514"/>
      <c r="M95" s="1514"/>
      <c r="N95" s="1514"/>
      <c r="O95" s="1514"/>
      <c r="P95" s="1514"/>
      <c r="Q95" s="1514"/>
      <c r="R95" s="1514"/>
      <c r="S95" s="1514"/>
      <c r="T95" s="1514"/>
      <c r="U95" s="1514"/>
      <c r="V95" s="1514"/>
      <c r="W95" s="1514"/>
    </row>
    <row r="96" customFormat="false" ht="12" hidden="false" customHeight="true" outlineLevel="0" collapsed="false">
      <c r="A96" s="1514"/>
      <c r="B96" s="1514"/>
      <c r="C96" s="1514"/>
      <c r="D96" s="1514"/>
      <c r="E96" s="1514"/>
      <c r="F96" s="1514"/>
      <c r="G96" s="1514"/>
      <c r="H96" s="1514"/>
      <c r="I96" s="1514"/>
      <c r="J96" s="1514"/>
      <c r="K96" s="1514"/>
      <c r="L96" s="1514"/>
      <c r="M96" s="1514"/>
      <c r="N96" s="1514"/>
      <c r="O96" s="1514"/>
      <c r="P96" s="1514"/>
      <c r="Q96" s="1514"/>
      <c r="R96" s="1514"/>
      <c r="S96" s="1514"/>
      <c r="T96" s="1514"/>
      <c r="U96" s="1514"/>
      <c r="V96" s="1514"/>
      <c r="W96" s="1514"/>
    </row>
    <row r="97" customFormat="false" ht="12" hidden="false" customHeight="true" outlineLevel="0" collapsed="false">
      <c r="A97" s="1514"/>
      <c r="B97" s="1514"/>
      <c r="C97" s="1514"/>
      <c r="D97" s="1514"/>
      <c r="E97" s="1514"/>
      <c r="F97" s="1514"/>
      <c r="G97" s="1514"/>
      <c r="H97" s="1514"/>
      <c r="I97" s="1514"/>
      <c r="J97" s="1514"/>
      <c r="K97" s="1514"/>
      <c r="L97" s="1514"/>
      <c r="M97" s="1514"/>
      <c r="N97" s="1514"/>
      <c r="O97" s="1514"/>
      <c r="P97" s="1514"/>
      <c r="Q97" s="1514"/>
      <c r="R97" s="1514"/>
      <c r="S97" s="1514"/>
      <c r="T97" s="1514"/>
      <c r="U97" s="1514"/>
      <c r="V97" s="1514"/>
      <c r="W97" s="1514"/>
    </row>
    <row r="98" customFormat="false" ht="12" hidden="false" customHeight="true" outlineLevel="0" collapsed="false">
      <c r="A98" s="1514"/>
      <c r="B98" s="1514"/>
      <c r="C98" s="1514"/>
      <c r="D98" s="1514"/>
      <c r="E98" s="1514"/>
      <c r="F98" s="1514"/>
      <c r="G98" s="1514"/>
      <c r="H98" s="1514"/>
      <c r="I98" s="1514"/>
      <c r="J98" s="1514"/>
      <c r="K98" s="1514"/>
      <c r="L98" s="1514"/>
      <c r="M98" s="1514"/>
      <c r="N98" s="1514"/>
      <c r="O98" s="1514"/>
      <c r="P98" s="1514"/>
      <c r="Q98" s="1514"/>
      <c r="R98" s="1514"/>
      <c r="S98" s="1514"/>
      <c r="T98" s="1514"/>
      <c r="U98" s="1514"/>
      <c r="V98" s="1514"/>
      <c r="W98" s="1514"/>
    </row>
    <row r="99" customFormat="false" ht="12" hidden="false" customHeight="true" outlineLevel="0" collapsed="false">
      <c r="A99" s="1514"/>
      <c r="B99" s="1514"/>
      <c r="C99" s="1514"/>
      <c r="D99" s="1514"/>
      <c r="E99" s="1514"/>
      <c r="F99" s="1514"/>
      <c r="G99" s="1514"/>
      <c r="H99" s="1514"/>
      <c r="I99" s="1514"/>
      <c r="J99" s="1514"/>
      <c r="K99" s="1514"/>
      <c r="L99" s="1514"/>
      <c r="M99" s="1514"/>
      <c r="N99" s="1514"/>
      <c r="O99" s="1514"/>
      <c r="P99" s="1514"/>
      <c r="Q99" s="1514"/>
      <c r="R99" s="1514"/>
      <c r="S99" s="1514"/>
      <c r="T99" s="1514"/>
      <c r="U99" s="1514"/>
      <c r="V99" s="1514"/>
      <c r="W99" s="1514"/>
    </row>
    <row r="100" customFormat="false" ht="12" hidden="false" customHeight="true" outlineLevel="0" collapsed="false">
      <c r="A100" s="1514"/>
      <c r="B100" s="1514"/>
      <c r="C100" s="1514"/>
      <c r="D100" s="1514"/>
      <c r="E100" s="1514"/>
      <c r="F100" s="1514"/>
      <c r="G100" s="1514"/>
      <c r="H100" s="1514"/>
      <c r="I100" s="1514"/>
      <c r="J100" s="1514"/>
      <c r="K100" s="1514"/>
      <c r="L100" s="1514"/>
      <c r="M100" s="1514"/>
      <c r="N100" s="1514"/>
      <c r="O100" s="1514"/>
      <c r="P100" s="1514"/>
      <c r="Q100" s="1514"/>
      <c r="R100" s="1514"/>
      <c r="S100" s="1514"/>
      <c r="T100" s="1514"/>
      <c r="U100" s="1514"/>
      <c r="V100" s="1514"/>
      <c r="W100" s="1514"/>
    </row>
    <row r="101" customFormat="false" ht="12" hidden="false" customHeight="true" outlineLevel="0" collapsed="false">
      <c r="A101" s="1514"/>
      <c r="B101" s="1514"/>
      <c r="C101" s="1514"/>
      <c r="D101" s="1514"/>
      <c r="E101" s="1514"/>
      <c r="F101" s="1514"/>
      <c r="G101" s="1514"/>
      <c r="H101" s="1514"/>
      <c r="I101" s="1514"/>
      <c r="J101" s="1514"/>
      <c r="K101" s="1514"/>
      <c r="L101" s="1514"/>
      <c r="M101" s="1514"/>
      <c r="N101" s="1514"/>
      <c r="O101" s="1514"/>
      <c r="P101" s="1514"/>
      <c r="Q101" s="1514"/>
      <c r="R101" s="1514"/>
      <c r="S101" s="1514"/>
      <c r="T101" s="1514"/>
      <c r="U101" s="1514"/>
      <c r="V101" s="1514"/>
      <c r="W101" s="1514"/>
    </row>
    <row r="102" customFormat="false" ht="12" hidden="false" customHeight="true" outlineLevel="0" collapsed="false">
      <c r="A102" s="1514"/>
      <c r="B102" s="1514"/>
      <c r="C102" s="1514"/>
      <c r="D102" s="1514"/>
      <c r="E102" s="1514"/>
      <c r="F102" s="1514"/>
      <c r="G102" s="1514"/>
      <c r="H102" s="1514"/>
      <c r="I102" s="1514"/>
      <c r="J102" s="1514"/>
      <c r="K102" s="1514"/>
      <c r="L102" s="1514"/>
      <c r="M102" s="1514"/>
      <c r="N102" s="1514"/>
      <c r="O102" s="1514"/>
      <c r="P102" s="1514"/>
      <c r="Q102" s="1514"/>
      <c r="R102" s="1514"/>
      <c r="S102" s="1514"/>
      <c r="T102" s="1514"/>
      <c r="U102" s="1514"/>
      <c r="V102" s="1514"/>
      <c r="W102" s="1514"/>
    </row>
    <row r="103" customFormat="false" ht="12" hidden="false" customHeight="true" outlineLevel="0" collapsed="false">
      <c r="A103" s="1514"/>
      <c r="B103" s="1514"/>
      <c r="C103" s="1514"/>
      <c r="D103" s="1514"/>
      <c r="E103" s="1514"/>
      <c r="F103" s="1514"/>
      <c r="G103" s="1514"/>
      <c r="H103" s="1514"/>
      <c r="I103" s="1514"/>
      <c r="J103" s="1514"/>
      <c r="K103" s="1514"/>
      <c r="L103" s="1514"/>
      <c r="M103" s="1514"/>
      <c r="N103" s="1514"/>
      <c r="O103" s="1514"/>
      <c r="P103" s="1514"/>
      <c r="Q103" s="1514"/>
      <c r="R103" s="1514"/>
      <c r="S103" s="1514"/>
      <c r="T103" s="1514"/>
      <c r="U103" s="1514"/>
      <c r="V103" s="1514"/>
      <c r="W103" s="1514"/>
    </row>
    <row r="104" customFormat="false" ht="12" hidden="false" customHeight="true" outlineLevel="0" collapsed="false">
      <c r="A104" s="1514"/>
      <c r="B104" s="1514"/>
      <c r="C104" s="1514"/>
      <c r="D104" s="1514"/>
      <c r="E104" s="1514"/>
      <c r="F104" s="1514"/>
      <c r="G104" s="1514"/>
      <c r="H104" s="1514"/>
      <c r="I104" s="1514"/>
      <c r="J104" s="1514"/>
      <c r="K104" s="1514"/>
      <c r="L104" s="1514"/>
      <c r="M104" s="1514"/>
      <c r="N104" s="1514"/>
      <c r="O104" s="1514"/>
      <c r="P104" s="1514"/>
      <c r="Q104" s="1514"/>
      <c r="R104" s="1514"/>
      <c r="S104" s="1514"/>
      <c r="T104" s="1514"/>
      <c r="U104" s="1514"/>
      <c r="V104" s="1514"/>
      <c r="W104" s="1514"/>
    </row>
    <row r="105" customFormat="false" ht="12" hidden="false" customHeight="true" outlineLevel="0" collapsed="false">
      <c r="A105" s="1514"/>
      <c r="B105" s="1514"/>
      <c r="C105" s="1514"/>
      <c r="D105" s="1514"/>
      <c r="E105" s="1514"/>
      <c r="F105" s="1514"/>
      <c r="G105" s="1514"/>
      <c r="H105" s="1514"/>
      <c r="I105" s="1514"/>
      <c r="J105" s="1514"/>
      <c r="K105" s="1514"/>
      <c r="L105" s="1514"/>
      <c r="M105" s="1514"/>
      <c r="N105" s="1514"/>
      <c r="O105" s="1514"/>
      <c r="P105" s="1514"/>
      <c r="Q105" s="1514"/>
      <c r="R105" s="1514"/>
      <c r="S105" s="1514"/>
      <c r="T105" s="1514"/>
      <c r="U105" s="1514"/>
      <c r="V105" s="1514"/>
      <c r="W105" s="1514"/>
    </row>
    <row r="106" customFormat="false" ht="12" hidden="false" customHeight="true" outlineLevel="0" collapsed="false">
      <c r="A106" s="1514"/>
      <c r="B106" s="1514"/>
      <c r="C106" s="1514"/>
      <c r="D106" s="1514"/>
      <c r="E106" s="1514"/>
      <c r="F106" s="1514"/>
      <c r="G106" s="1514"/>
      <c r="H106" s="1514"/>
      <c r="I106" s="1514"/>
      <c r="J106" s="1514"/>
      <c r="K106" s="1514"/>
      <c r="L106" s="1514"/>
      <c r="M106" s="1514"/>
      <c r="N106" s="1514"/>
      <c r="O106" s="1514"/>
      <c r="P106" s="1514"/>
      <c r="Q106" s="1514"/>
      <c r="R106" s="1514"/>
      <c r="S106" s="1514"/>
      <c r="T106" s="1514"/>
      <c r="U106" s="1514"/>
      <c r="V106" s="1514"/>
      <c r="W106" s="1514"/>
    </row>
    <row r="107" customFormat="false" ht="12" hidden="false" customHeight="true" outlineLevel="0" collapsed="false">
      <c r="A107" s="1514"/>
      <c r="B107" s="1514"/>
      <c r="C107" s="1514"/>
      <c r="D107" s="1514"/>
      <c r="E107" s="1514"/>
      <c r="F107" s="1514"/>
      <c r="G107" s="1514"/>
      <c r="H107" s="1514"/>
      <c r="I107" s="1514" t="str">
        <f aca="false">IF('P&amp;L'!E14="y","Annual Funding","Annual Revenue")</f>
        <v>Annual Revenue</v>
      </c>
      <c r="J107" s="1514"/>
      <c r="K107" s="1514"/>
      <c r="L107" s="1514"/>
      <c r="M107" s="1514"/>
      <c r="N107" s="1514"/>
      <c r="O107" s="1514"/>
      <c r="P107" s="1514"/>
      <c r="Q107" s="1514"/>
      <c r="R107" s="1514"/>
      <c r="S107" s="1514"/>
      <c r="T107" s="1514"/>
      <c r="U107" s="1514"/>
      <c r="V107" s="1514"/>
      <c r="W107" s="1514"/>
    </row>
    <row r="108" customFormat="false" ht="12" hidden="false" customHeight="true" outlineLevel="0" collapsed="false">
      <c r="A108" s="1514"/>
      <c r="B108" s="1514"/>
      <c r="C108" s="1514"/>
      <c r="D108" s="1514"/>
      <c r="E108" s="1514"/>
      <c r="F108" s="1514"/>
      <c r="G108" s="1514"/>
      <c r="H108" s="1514"/>
      <c r="I108" s="1514"/>
      <c r="J108" s="1514"/>
      <c r="K108" s="1514"/>
      <c r="L108" s="1514"/>
      <c r="M108" s="1514"/>
      <c r="N108" s="1514"/>
      <c r="O108" s="1514"/>
      <c r="P108" s="1514"/>
      <c r="Q108" s="1514"/>
      <c r="R108" s="1514"/>
      <c r="S108" s="1514"/>
      <c r="T108" s="1514"/>
      <c r="U108" s="1514"/>
      <c r="V108" s="1514"/>
      <c r="W108" s="1514"/>
    </row>
    <row r="109" customFormat="false" ht="12" hidden="false" customHeight="true" outlineLevel="0" collapsed="false">
      <c r="A109" s="1514"/>
      <c r="B109" s="1514"/>
      <c r="C109" s="1514"/>
      <c r="D109" s="1514"/>
      <c r="E109" s="1514"/>
      <c r="F109" s="1514"/>
      <c r="G109" s="1514"/>
      <c r="H109" s="1514"/>
      <c r="I109" s="1514"/>
      <c r="J109" s="1514"/>
      <c r="K109" s="1514"/>
      <c r="L109" s="1514"/>
      <c r="M109" s="1514"/>
      <c r="N109" s="1514"/>
      <c r="O109" s="1514"/>
      <c r="P109" s="1514"/>
      <c r="Q109" s="1514"/>
      <c r="R109" s="1514"/>
      <c r="S109" s="1514"/>
      <c r="T109" s="1514"/>
      <c r="U109" s="1514"/>
      <c r="V109" s="1514"/>
      <c r="W109" s="1514"/>
    </row>
    <row r="110" customFormat="false" ht="12" hidden="false" customHeight="true" outlineLevel="0" collapsed="false">
      <c r="A110" s="1514"/>
      <c r="B110" s="1514"/>
      <c r="C110" s="1514"/>
      <c r="D110" s="1514"/>
      <c r="E110" s="1514"/>
      <c r="F110" s="1514"/>
      <c r="G110" s="1514"/>
      <c r="H110" s="1514"/>
      <c r="I110" s="1514"/>
      <c r="J110" s="1514"/>
      <c r="K110" s="1514"/>
      <c r="L110" s="1514"/>
      <c r="M110" s="1514"/>
      <c r="N110" s="1514"/>
      <c r="O110" s="1514"/>
      <c r="P110" s="1514"/>
      <c r="Q110" s="1514"/>
      <c r="R110" s="1514"/>
      <c r="S110" s="1514"/>
      <c r="T110" s="1514"/>
      <c r="U110" s="1514"/>
      <c r="V110" s="1514"/>
      <c r="W110" s="1514"/>
    </row>
    <row r="111" customFormat="false" ht="12" hidden="false" customHeight="true" outlineLevel="0" collapsed="false">
      <c r="A111" s="1514"/>
      <c r="B111" s="1514"/>
      <c r="C111" s="1514"/>
      <c r="D111" s="1514"/>
      <c r="E111" s="1514"/>
      <c r="F111" s="1514"/>
      <c r="G111" s="1514"/>
      <c r="H111" s="1514"/>
      <c r="I111" s="1514"/>
      <c r="J111" s="1514"/>
      <c r="K111" s="1514"/>
      <c r="L111" s="1514"/>
      <c r="M111" s="1514"/>
      <c r="N111" s="1514"/>
      <c r="O111" s="1514"/>
      <c r="P111" s="1514"/>
      <c r="Q111" s="1514"/>
      <c r="R111" s="1514"/>
      <c r="S111" s="1514"/>
      <c r="T111" s="1514"/>
      <c r="U111" s="1514"/>
      <c r="V111" s="1514"/>
      <c r="W111" s="1514"/>
    </row>
    <row r="112" customFormat="false" ht="12" hidden="false" customHeight="true" outlineLevel="0" collapsed="false">
      <c r="A112" s="1514"/>
      <c r="B112" s="1514"/>
      <c r="C112" s="1514"/>
      <c r="D112" s="1514"/>
      <c r="E112" s="1514"/>
      <c r="F112" s="1514"/>
      <c r="G112" s="1514"/>
      <c r="H112" s="1514"/>
      <c r="I112" s="1514"/>
      <c r="J112" s="1514"/>
      <c r="K112" s="1514"/>
      <c r="L112" s="1514"/>
      <c r="M112" s="1514"/>
      <c r="N112" s="1514"/>
      <c r="O112" s="1514"/>
      <c r="P112" s="1514"/>
      <c r="Q112" s="1514"/>
      <c r="R112" s="1514"/>
      <c r="S112" s="1514"/>
      <c r="T112" s="1514"/>
      <c r="U112" s="1514"/>
      <c r="V112" s="1514"/>
      <c r="W112" s="1514"/>
    </row>
    <row r="113" customFormat="false" ht="12" hidden="false" customHeight="true" outlineLevel="0" collapsed="false">
      <c r="A113" s="1514"/>
      <c r="B113" s="1514"/>
      <c r="C113" s="1514"/>
      <c r="D113" s="1514"/>
      <c r="E113" s="1514"/>
      <c r="F113" s="1514"/>
      <c r="G113" s="1514"/>
      <c r="H113" s="1514"/>
      <c r="I113" s="1514"/>
      <c r="J113" s="1514"/>
      <c r="K113" s="1514"/>
      <c r="L113" s="1514"/>
      <c r="M113" s="1514"/>
      <c r="N113" s="1514"/>
      <c r="O113" s="1514"/>
      <c r="P113" s="1514"/>
      <c r="Q113" s="1514"/>
      <c r="R113" s="1514"/>
      <c r="S113" s="1514"/>
      <c r="T113" s="1514"/>
      <c r="U113" s="1514"/>
      <c r="V113" s="1514"/>
      <c r="W113" s="1514"/>
    </row>
    <row r="114" customFormat="false" ht="12" hidden="false" customHeight="true" outlineLevel="0" collapsed="false">
      <c r="A114" s="1514"/>
      <c r="B114" s="1514"/>
      <c r="C114" s="1514"/>
      <c r="D114" s="1514"/>
      <c r="E114" s="1514"/>
      <c r="F114" s="1514"/>
      <c r="G114" s="1514"/>
      <c r="H114" s="1514"/>
      <c r="I114" s="1514"/>
      <c r="J114" s="1514"/>
      <c r="K114" s="1514"/>
      <c r="L114" s="1514"/>
      <c r="M114" s="1514"/>
      <c r="N114" s="1514"/>
      <c r="O114" s="1514"/>
      <c r="P114" s="1514"/>
      <c r="Q114" s="1514"/>
      <c r="R114" s="1514"/>
      <c r="S114" s="1514"/>
      <c r="T114" s="1514"/>
      <c r="U114" s="1514"/>
      <c r="V114" s="1514"/>
      <c r="W114" s="1514"/>
    </row>
    <row r="115" customFormat="false" ht="12" hidden="false" customHeight="true" outlineLevel="0" collapsed="false">
      <c r="A115" s="1514"/>
      <c r="B115" s="1514"/>
      <c r="C115" s="1514"/>
      <c r="D115" s="1514"/>
      <c r="E115" s="1514"/>
      <c r="F115" s="1514"/>
      <c r="G115" s="1514"/>
      <c r="H115" s="1514"/>
      <c r="I115" s="1514"/>
      <c r="J115" s="1514"/>
      <c r="K115" s="1514"/>
      <c r="L115" s="1514"/>
      <c r="M115" s="1514"/>
      <c r="N115" s="1514"/>
      <c r="O115" s="1514"/>
      <c r="P115" s="1514"/>
      <c r="Q115" s="1514"/>
      <c r="R115" s="1514"/>
      <c r="S115" s="1514"/>
      <c r="T115" s="1514"/>
      <c r="U115" s="1514"/>
      <c r="V115" s="1514"/>
      <c r="W115" s="1514"/>
    </row>
    <row r="116" customFormat="false" ht="12" hidden="false" customHeight="true" outlineLevel="0" collapsed="false">
      <c r="A116" s="1514"/>
      <c r="B116" s="1514"/>
      <c r="C116" s="1514"/>
      <c r="D116" s="1514"/>
      <c r="E116" s="1514"/>
      <c r="F116" s="1514"/>
      <c r="G116" s="1514"/>
      <c r="H116" s="1514"/>
      <c r="I116" s="1514"/>
      <c r="J116" s="1514"/>
      <c r="K116" s="1514"/>
      <c r="L116" s="1514"/>
      <c r="M116" s="1514"/>
      <c r="N116" s="1514"/>
      <c r="O116" s="1514"/>
      <c r="P116" s="1514"/>
      <c r="Q116" s="1514"/>
      <c r="R116" s="1514"/>
      <c r="S116" s="1514"/>
      <c r="T116" s="1514"/>
      <c r="U116" s="1514"/>
      <c r="V116" s="1514"/>
      <c r="W116" s="1514"/>
    </row>
    <row r="117" customFormat="false" ht="12" hidden="false" customHeight="true" outlineLevel="0" collapsed="false">
      <c r="A117" s="1514"/>
      <c r="B117" s="1514"/>
      <c r="C117" s="1514"/>
      <c r="D117" s="1514"/>
      <c r="E117" s="1514"/>
      <c r="F117" s="1514"/>
      <c r="G117" s="1514"/>
      <c r="H117" s="1514"/>
      <c r="I117" s="1514"/>
      <c r="J117" s="1514"/>
      <c r="K117" s="1514"/>
      <c r="L117" s="1514"/>
      <c r="M117" s="1514"/>
      <c r="N117" s="1514"/>
      <c r="O117" s="1514"/>
      <c r="P117" s="1514"/>
      <c r="Q117" s="1514"/>
      <c r="R117" s="1514"/>
      <c r="S117" s="1514"/>
      <c r="T117" s="1514"/>
      <c r="U117" s="1514"/>
      <c r="V117" s="1514"/>
      <c r="W117" s="1514"/>
    </row>
    <row r="118" customFormat="false" ht="12" hidden="false" customHeight="true" outlineLevel="0" collapsed="false">
      <c r="A118" s="1514"/>
      <c r="B118" s="1514"/>
      <c r="C118" s="1514"/>
      <c r="D118" s="1514"/>
      <c r="E118" s="1514"/>
      <c r="F118" s="1514"/>
      <c r="G118" s="1514"/>
      <c r="H118" s="1514"/>
      <c r="I118" s="1514"/>
      <c r="J118" s="1514"/>
      <c r="K118" s="1514"/>
      <c r="L118" s="1514"/>
      <c r="M118" s="1514"/>
      <c r="N118" s="1514"/>
      <c r="O118" s="1514"/>
      <c r="P118" s="1514"/>
      <c r="Q118" s="1514"/>
      <c r="R118" s="1514"/>
      <c r="S118" s="1514"/>
      <c r="T118" s="1514"/>
      <c r="U118" s="1514"/>
      <c r="V118" s="1514"/>
      <c r="W118" s="1514"/>
    </row>
    <row r="119" customFormat="false" ht="12" hidden="false" customHeight="true" outlineLevel="0" collapsed="false">
      <c r="A119" s="1514"/>
      <c r="B119" s="1514"/>
      <c r="C119" s="1514"/>
      <c r="D119" s="1514"/>
      <c r="E119" s="1514"/>
      <c r="F119" s="1514"/>
      <c r="G119" s="1514"/>
      <c r="H119" s="1514"/>
      <c r="I119" s="1514"/>
      <c r="J119" s="1514"/>
      <c r="K119" s="1514"/>
      <c r="L119" s="1514"/>
      <c r="M119" s="1514"/>
      <c r="N119" s="1514"/>
      <c r="O119" s="1514"/>
      <c r="P119" s="1514"/>
      <c r="Q119" s="1514"/>
      <c r="R119" s="1514"/>
      <c r="S119" s="1514"/>
      <c r="T119" s="1514"/>
      <c r="U119" s="1514"/>
      <c r="V119" s="1514"/>
      <c r="W119" s="1514"/>
    </row>
    <row r="120" customFormat="false" ht="12" hidden="false" customHeight="true" outlineLevel="0" collapsed="false">
      <c r="A120" s="1514"/>
      <c r="B120" s="1514"/>
      <c r="C120" s="1514"/>
      <c r="D120" s="1514"/>
      <c r="E120" s="1514"/>
      <c r="F120" s="1514"/>
      <c r="G120" s="1514"/>
      <c r="H120" s="1514"/>
      <c r="I120" s="1514"/>
      <c r="J120" s="1514"/>
      <c r="K120" s="1514"/>
      <c r="L120" s="1514"/>
      <c r="M120" s="1514"/>
      <c r="N120" s="1514"/>
      <c r="O120" s="1514"/>
      <c r="P120" s="1514"/>
      <c r="Q120" s="1514"/>
      <c r="R120" s="1514"/>
      <c r="S120" s="1514"/>
      <c r="T120" s="1514"/>
      <c r="U120" s="1514"/>
      <c r="V120" s="1514"/>
      <c r="W120" s="1514"/>
    </row>
    <row r="121" customFormat="false" ht="12" hidden="false" customHeight="true" outlineLevel="0" collapsed="false">
      <c r="A121" s="1514"/>
      <c r="B121" s="1514"/>
      <c r="C121" s="1514"/>
      <c r="D121" s="1514"/>
      <c r="E121" s="1514"/>
      <c r="F121" s="1514"/>
      <c r="G121" s="1514"/>
      <c r="H121" s="1514"/>
      <c r="I121" s="1514"/>
      <c r="J121" s="1514"/>
      <c r="K121" s="1514"/>
      <c r="L121" s="1514"/>
      <c r="M121" s="1514"/>
      <c r="N121" s="1514"/>
      <c r="O121" s="1514"/>
      <c r="P121" s="1514"/>
      <c r="Q121" s="1514"/>
      <c r="R121" s="1514"/>
      <c r="S121" s="1514"/>
      <c r="T121" s="1514"/>
      <c r="U121" s="1514"/>
      <c r="V121" s="1514"/>
      <c r="W121" s="1514"/>
    </row>
    <row r="122" customFormat="false" ht="12" hidden="false" customHeight="true" outlineLevel="0" collapsed="false">
      <c r="A122" s="1514"/>
      <c r="B122" s="1514"/>
      <c r="C122" s="1514"/>
      <c r="D122" s="1514"/>
      <c r="E122" s="1514"/>
      <c r="F122" s="1514"/>
      <c r="G122" s="1514"/>
      <c r="H122" s="1514"/>
      <c r="I122" s="1514"/>
      <c r="J122" s="1514"/>
      <c r="K122" s="1514"/>
      <c r="L122" s="1514"/>
      <c r="M122" s="1514"/>
      <c r="N122" s="1514"/>
      <c r="O122" s="1514"/>
      <c r="P122" s="1514"/>
      <c r="Q122" s="1514"/>
      <c r="R122" s="1514"/>
      <c r="S122" s="1514"/>
      <c r="T122" s="1514"/>
      <c r="U122" s="1514"/>
      <c r="V122" s="1514"/>
      <c r="W122" s="1514"/>
    </row>
    <row r="123" customFormat="false" ht="12" hidden="false" customHeight="true" outlineLevel="0" collapsed="false">
      <c r="A123" s="1514"/>
      <c r="B123" s="1514"/>
      <c r="C123" s="1514"/>
      <c r="D123" s="1514"/>
      <c r="E123" s="1514"/>
      <c r="F123" s="1514"/>
      <c r="G123" s="1514"/>
      <c r="H123" s="1514"/>
      <c r="I123" s="1514"/>
      <c r="J123" s="1514"/>
      <c r="K123" s="1514"/>
      <c r="L123" s="1514"/>
      <c r="M123" s="1514"/>
      <c r="N123" s="1514"/>
      <c r="O123" s="1514"/>
      <c r="P123" s="1514"/>
      <c r="Q123" s="1514"/>
      <c r="R123" s="1514"/>
      <c r="S123" s="1514"/>
      <c r="T123" s="1514"/>
      <c r="U123" s="1514"/>
      <c r="V123" s="1514"/>
      <c r="W123" s="1514"/>
    </row>
    <row r="124" customFormat="false" ht="12" hidden="false" customHeight="true" outlineLevel="0" collapsed="false">
      <c r="A124" s="1514"/>
      <c r="B124" s="1514"/>
      <c r="C124" s="1514"/>
      <c r="D124" s="1514"/>
      <c r="E124" s="1514"/>
      <c r="F124" s="1514"/>
      <c r="G124" s="1514"/>
      <c r="H124" s="1514"/>
      <c r="I124" s="1514"/>
      <c r="J124" s="1514"/>
      <c r="K124" s="1514"/>
      <c r="L124" s="1514"/>
      <c r="M124" s="1514"/>
      <c r="N124" s="1514"/>
      <c r="O124" s="1514"/>
      <c r="P124" s="1514"/>
      <c r="Q124" s="1514"/>
      <c r="R124" s="1514"/>
      <c r="S124" s="1514"/>
      <c r="T124" s="1514"/>
      <c r="U124" s="1514"/>
      <c r="V124" s="1514"/>
      <c r="W124" s="1514"/>
    </row>
    <row r="125" customFormat="false" ht="12" hidden="false" customHeight="true" outlineLevel="0" collapsed="false">
      <c r="A125" s="1514"/>
      <c r="B125" s="1514"/>
      <c r="C125" s="1514"/>
      <c r="D125" s="1514"/>
      <c r="E125" s="1514"/>
      <c r="F125" s="1514"/>
      <c r="G125" s="1514"/>
      <c r="H125" s="1514"/>
      <c r="I125" s="1514"/>
      <c r="J125" s="1514"/>
      <c r="K125" s="1514"/>
      <c r="L125" s="1514"/>
      <c r="M125" s="1514"/>
      <c r="N125" s="1514"/>
      <c r="O125" s="1514"/>
      <c r="P125" s="1514"/>
      <c r="Q125" s="1514"/>
      <c r="R125" s="1514"/>
      <c r="S125" s="1514"/>
      <c r="T125" s="1514"/>
      <c r="U125" s="1514"/>
      <c r="V125" s="1514"/>
      <c r="W125" s="1514"/>
    </row>
    <row r="126" customFormat="false" ht="12" hidden="false" customHeight="true" outlineLevel="0" collapsed="false">
      <c r="A126" s="1514"/>
      <c r="B126" s="1514"/>
      <c r="C126" s="1514"/>
      <c r="D126" s="1514"/>
      <c r="E126" s="1514"/>
      <c r="F126" s="1514"/>
      <c r="G126" s="1514"/>
      <c r="H126" s="1514"/>
      <c r="I126" s="1514"/>
      <c r="J126" s="1514"/>
      <c r="K126" s="1514"/>
      <c r="L126" s="1514"/>
      <c r="M126" s="1514"/>
      <c r="N126" s="1514"/>
      <c r="O126" s="1514"/>
      <c r="P126" s="1514"/>
      <c r="Q126" s="1514"/>
      <c r="R126" s="1514"/>
      <c r="S126" s="1514"/>
      <c r="T126" s="1514"/>
      <c r="U126" s="1514"/>
      <c r="V126" s="1514"/>
      <c r="W126" s="1514"/>
    </row>
    <row r="127" customFormat="false" ht="12" hidden="false" customHeight="true" outlineLevel="0" collapsed="false">
      <c r="A127" s="1514"/>
      <c r="B127" s="1514"/>
      <c r="C127" s="1514"/>
      <c r="D127" s="1514"/>
      <c r="E127" s="1514"/>
      <c r="F127" s="1514"/>
      <c r="G127" s="1514"/>
      <c r="H127" s="1514"/>
      <c r="I127" s="1514"/>
      <c r="J127" s="1514"/>
      <c r="K127" s="1514"/>
      <c r="L127" s="1514"/>
      <c r="M127" s="1514"/>
      <c r="N127" s="1514"/>
      <c r="O127" s="1514"/>
      <c r="P127" s="1514"/>
      <c r="Q127" s="1514"/>
      <c r="R127" s="1514"/>
      <c r="S127" s="1514"/>
      <c r="T127" s="1514"/>
      <c r="U127" s="1514"/>
      <c r="V127" s="1514"/>
      <c r="W127" s="1514"/>
    </row>
    <row r="128" customFormat="false" ht="12" hidden="false" customHeight="true" outlineLevel="0" collapsed="false">
      <c r="A128" s="1141" t="s">
        <v>2069</v>
      </c>
      <c r="B128" s="1517"/>
      <c r="C128" s="1517"/>
      <c r="D128" s="1517"/>
      <c r="E128" s="1517"/>
      <c r="F128" s="1517"/>
      <c r="G128" s="1517"/>
      <c r="H128" s="1517"/>
      <c r="I128" s="1517"/>
      <c r="J128" s="1517"/>
      <c r="K128" s="1517"/>
      <c r="L128" s="1517"/>
      <c r="M128" s="1517"/>
      <c r="N128" s="1517"/>
      <c r="O128" s="1517"/>
      <c r="P128" s="1517"/>
      <c r="Q128" s="1517"/>
      <c r="R128" s="1517"/>
      <c r="S128" s="1517"/>
      <c r="T128" s="1514"/>
      <c r="U128" s="1514"/>
      <c r="V128" s="1514"/>
      <c r="W128" s="1514"/>
    </row>
    <row r="129" customFormat="false" ht="12" hidden="false" customHeight="true" outlineLevel="0" collapsed="false">
      <c r="A129" s="1517"/>
      <c r="B129" s="1518" t="str">
        <f aca="false">'Graphs 5Y'!B61</f>
        <v>Month 1</v>
      </c>
      <c r="C129" s="1518" t="str">
        <f aca="false">'Graphs 5Y'!C61</f>
        <v>Month 2</v>
      </c>
      <c r="D129" s="1518" t="str">
        <f aca="false">'Graphs 5Y'!D61</f>
        <v>Month 3</v>
      </c>
      <c r="E129" s="1518" t="str">
        <f aca="false">'Graphs 5Y'!E61</f>
        <v>Month 4</v>
      </c>
      <c r="F129" s="1518" t="str">
        <f aca="false">'Graphs 5Y'!F61</f>
        <v>Month 5</v>
      </c>
      <c r="G129" s="1518" t="str">
        <f aca="false">'Graphs 5Y'!G61</f>
        <v>Month 6</v>
      </c>
      <c r="H129" s="1518" t="str">
        <f aca="false">'Graphs 5Y'!H61</f>
        <v>Month 7</v>
      </c>
      <c r="I129" s="1518" t="str">
        <f aca="false">'Graphs 5Y'!I61</f>
        <v>Month 8</v>
      </c>
      <c r="J129" s="1518" t="str">
        <f aca="false">'Graphs 5Y'!J61</f>
        <v>Month 9</v>
      </c>
      <c r="K129" s="1518" t="str">
        <f aca="false">'Graphs 5Y'!K61</f>
        <v>Month 10</v>
      </c>
      <c r="L129" s="1518" t="str">
        <f aca="false">'Graphs 5Y'!L61</f>
        <v>Month 11</v>
      </c>
      <c r="M129" s="1518" t="str">
        <f aca="false">'Graphs 5Y'!M61</f>
        <v>Month 12</v>
      </c>
      <c r="N129" s="1518" t="str">
        <f aca="false">B95</f>
        <v>Year 1</v>
      </c>
      <c r="O129" s="1518" t="str">
        <f aca="false">C95</f>
        <v>Year 2</v>
      </c>
      <c r="P129" s="1518" t="str">
        <f aca="false">D95</f>
        <v>Year 3</v>
      </c>
      <c r="Q129" s="1518" t="str">
        <f aca="false">E95</f>
        <v>Year 4</v>
      </c>
      <c r="R129" s="1518" t="str">
        <f aca="false">F95</f>
        <v>Year 5</v>
      </c>
      <c r="S129" s="1517"/>
      <c r="T129" s="1514"/>
      <c r="U129" s="1514"/>
      <c r="V129" s="1514"/>
      <c r="W129" s="1514"/>
    </row>
    <row r="130" customFormat="false" ht="12" hidden="false" customHeight="true" outlineLevel="0" collapsed="false">
      <c r="A130" s="1517" t="str">
        <f aca="false">IF('P&amp;L'!E14="y","Funding","Revenue")</f>
        <v>Revenue</v>
      </c>
      <c r="B130" s="1518" t="n">
        <f aca="false">'P&amp;L'!B19</f>
        <v>0</v>
      </c>
      <c r="C130" s="1518" t="n">
        <f aca="false">'P&amp;L'!C19</f>
        <v>0</v>
      </c>
      <c r="D130" s="1518" t="n">
        <f aca="false">'P&amp;L'!D19</f>
        <v>917.14</v>
      </c>
      <c r="E130" s="1518" t="n">
        <f aca="false">'P&amp;L'!E19</f>
        <v>134197.060869048</v>
      </c>
      <c r="F130" s="1518" t="n">
        <f aca="false">'P&amp;L'!F19</f>
        <v>268394.121738095</v>
      </c>
      <c r="G130" s="1518" t="n">
        <f aca="false">'P&amp;L'!G19</f>
        <v>536788.243476191</v>
      </c>
      <c r="H130" s="1518" t="n">
        <f aca="false">'P&amp;L'!H19</f>
        <v>805182.365214286</v>
      </c>
      <c r="I130" s="1518" t="n">
        <f aca="false">'P&amp;L'!I19</f>
        <v>1073576.48695238</v>
      </c>
      <c r="J130" s="1518" t="n">
        <f aca="false">'P&amp;L'!J19</f>
        <v>1341970.60869048</v>
      </c>
      <c r="K130" s="1518" t="n">
        <f aca="false">'P&amp;L'!K19</f>
        <v>1610364.73042857</v>
      </c>
      <c r="L130" s="1518" t="n">
        <f aca="false">'P&amp;L'!L19</f>
        <v>1878758.85216667</v>
      </c>
      <c r="M130" s="1518" t="n">
        <f aca="false">'P&amp;L'!M19</f>
        <v>2147152.97390476</v>
      </c>
      <c r="N130" s="1518" t="n">
        <f aca="false">'P&amp;L'!BJ19</f>
        <v>9796385.44344048</v>
      </c>
      <c r="O130" s="1518" t="n">
        <f aca="false">'P&amp;L'!BK19</f>
        <v>63473726.2030143</v>
      </c>
      <c r="P130" s="1518" t="n">
        <f aca="false">'P&amp;L'!BL19</f>
        <v>167140846.428</v>
      </c>
      <c r="Q130" s="1518" t="n">
        <f aca="false">'P&amp;L'!BM19</f>
        <v>181069250.297</v>
      </c>
      <c r="R130" s="1518" t="n">
        <f aca="false">'P&amp;L'!BN19</f>
        <v>194997654.166</v>
      </c>
      <c r="S130" s="1517"/>
      <c r="T130" s="1514"/>
      <c r="U130" s="1514"/>
      <c r="V130" s="1514"/>
      <c r="W130" s="1514"/>
    </row>
    <row r="131" customFormat="false" ht="12" hidden="false" customHeight="true" outlineLevel="0" collapsed="false">
      <c r="A131" s="1517" t="s">
        <v>1718</v>
      </c>
      <c r="B131" s="1518" t="n">
        <f aca="false">SUM(B135:B137)</f>
        <v>395805.9718</v>
      </c>
      <c r="C131" s="1518" t="n">
        <f aca="false">SUM(C135:C137)</f>
        <v>412861.9718</v>
      </c>
      <c r="D131" s="1518" t="n">
        <f aca="false">SUM(D135:D137)</f>
        <v>422177.669631429</v>
      </c>
      <c r="E131" s="1518" t="n">
        <f aca="false">SUM(E135:E137)</f>
        <v>518202.139226859</v>
      </c>
      <c r="F131" s="1518" t="n">
        <f aca="false">SUM(F135:F137)</f>
        <v>615014.306653719</v>
      </c>
      <c r="G131" s="1518" t="n">
        <f aca="false">SUM(G135:G137)</f>
        <v>829958.641507438</v>
      </c>
      <c r="H131" s="1518" t="n">
        <f aca="false">SUM(H135:H137)</f>
        <v>1091896.07636116</v>
      </c>
      <c r="I131" s="1518" t="n">
        <f aca="false">SUM(I135:I137)</f>
        <v>1324491.72567004</v>
      </c>
      <c r="J131" s="1518" t="n">
        <f aca="false">SUM(J135:J137)</f>
        <v>1532187.56854109</v>
      </c>
      <c r="K131" s="1518" t="n">
        <f aca="false">SUM(K135:K137)</f>
        <v>1740868.25603083</v>
      </c>
      <c r="L131" s="1518" t="n">
        <f aca="false">SUM(L135:L137)</f>
        <v>1946228.77649074</v>
      </c>
      <c r="M131" s="1518" t="n">
        <f aca="false">SUM(M135:M137)</f>
        <v>2154737.03000342</v>
      </c>
      <c r="N131" s="1518" t="n">
        <f aca="false">SUM(N135:N137)</f>
        <v>12983734.1498853</v>
      </c>
      <c r="O131" s="1518" t="n">
        <f aca="false">SUM(O135:O137)</f>
        <v>52730474.6261889</v>
      </c>
      <c r="P131" s="1518" t="n">
        <f aca="false">SUM(P135:P137)</f>
        <v>122699238.746533</v>
      </c>
      <c r="Q131" s="1518" t="n">
        <f aca="false">SUM(Q135:Q137)</f>
        <v>130233073.083931</v>
      </c>
      <c r="R131" s="1518" t="n">
        <f aca="false">SUM(R135:R137)</f>
        <v>137794676.679764</v>
      </c>
      <c r="S131" s="1517"/>
      <c r="T131" s="1514"/>
      <c r="U131" s="1514"/>
      <c r="V131" s="1514"/>
      <c r="W131" s="1514"/>
    </row>
    <row r="132" customFormat="false" ht="12" hidden="false" customHeight="true" outlineLevel="0" collapsed="false">
      <c r="A132" s="1517"/>
      <c r="B132" s="1518"/>
      <c r="C132" s="1518"/>
      <c r="D132" s="1518"/>
      <c r="E132" s="1518"/>
      <c r="F132" s="1518"/>
      <c r="G132" s="1518"/>
      <c r="H132" s="1518"/>
      <c r="I132" s="1518"/>
      <c r="J132" s="1518"/>
      <c r="K132" s="1518"/>
      <c r="L132" s="1518"/>
      <c r="M132" s="1518"/>
      <c r="N132" s="1518"/>
      <c r="O132" s="1518"/>
      <c r="P132" s="1518"/>
      <c r="Q132" s="1518"/>
      <c r="R132" s="1518"/>
      <c r="S132" s="1517"/>
      <c r="T132" s="1514"/>
      <c r="U132" s="1514"/>
      <c r="V132" s="1514"/>
      <c r="W132" s="1514"/>
    </row>
    <row r="133" customFormat="false" ht="12" hidden="false" customHeight="true" outlineLevel="0" collapsed="false">
      <c r="A133" s="1517" t="s">
        <v>1718</v>
      </c>
      <c r="B133" s="1518"/>
      <c r="C133" s="1518"/>
      <c r="D133" s="1518"/>
      <c r="E133" s="1518"/>
      <c r="F133" s="1518"/>
      <c r="G133" s="1518"/>
      <c r="H133" s="1518"/>
      <c r="I133" s="1518"/>
      <c r="J133" s="1518"/>
      <c r="K133" s="1518"/>
      <c r="L133" s="1518"/>
      <c r="M133" s="1518"/>
      <c r="N133" s="1518"/>
      <c r="O133" s="1518"/>
      <c r="P133" s="1518"/>
      <c r="Q133" s="1518"/>
      <c r="R133" s="1518"/>
      <c r="S133" s="1517"/>
      <c r="T133" s="1514"/>
      <c r="U133" s="1514"/>
      <c r="V133" s="1514"/>
      <c r="W133" s="1514"/>
    </row>
    <row r="134" customFormat="false" ht="12" hidden="false" customHeight="true" outlineLevel="0" collapsed="false">
      <c r="A134" s="1517"/>
      <c r="B134" s="1518"/>
      <c r="C134" s="1518"/>
      <c r="D134" s="1518"/>
      <c r="E134" s="1518"/>
      <c r="F134" s="1518"/>
      <c r="G134" s="1518"/>
      <c r="H134" s="1518"/>
      <c r="I134" s="1518"/>
      <c r="J134" s="1518"/>
      <c r="K134" s="1518"/>
      <c r="L134" s="1518"/>
      <c r="M134" s="1518"/>
      <c r="N134" s="1518"/>
      <c r="O134" s="1518"/>
      <c r="P134" s="1518"/>
      <c r="Q134" s="1518"/>
      <c r="R134" s="1518"/>
      <c r="S134" s="1517"/>
      <c r="T134" s="1514"/>
      <c r="U134" s="1514"/>
      <c r="V134" s="1514"/>
      <c r="W134" s="1514"/>
    </row>
    <row r="135" customFormat="false" ht="12" hidden="false" customHeight="true" outlineLevel="0" collapsed="false">
      <c r="A135" s="1517" t="s">
        <v>2067</v>
      </c>
      <c r="B135" s="1518" t="n">
        <f aca="false">'P&amp;L'!B22+Revenue!B150</f>
        <v>0</v>
      </c>
      <c r="C135" s="1518" t="n">
        <f aca="false">'P&amp;L'!C22+Revenue!C150</f>
        <v>0</v>
      </c>
      <c r="D135" s="1518" t="n">
        <f aca="false">'P&amp;L'!D22+Revenue!D150</f>
        <v>695.983831428571</v>
      </c>
      <c r="E135" s="1518" t="n">
        <f aca="false">'P&amp;L'!E22+Revenue!E150</f>
        <v>83392.4613399547</v>
      </c>
      <c r="F135" s="1518" t="n">
        <f aca="false">'P&amp;L'!F22+Revenue!F150</f>
        <v>166784.922679909</v>
      </c>
      <c r="G135" s="1518" t="n">
        <f aca="false">'P&amp;L'!G22+Revenue!G150</f>
        <v>333569.845359819</v>
      </c>
      <c r="H135" s="1518" t="n">
        <f aca="false">'P&amp;L'!H22+Revenue!H150</f>
        <v>500354.768039728</v>
      </c>
      <c r="I135" s="1518" t="n">
        <f aca="false">'P&amp;L'!I22+Revenue!I150</f>
        <v>667139.690719637</v>
      </c>
      <c r="J135" s="1518" t="n">
        <f aca="false">'P&amp;L'!J22+Revenue!J150</f>
        <v>833924.613399547</v>
      </c>
      <c r="K135" s="1518" t="n">
        <f aca="false">'P&amp;L'!K22+Revenue!K150</f>
        <v>1000709.53607946</v>
      </c>
      <c r="L135" s="1518" t="n">
        <f aca="false">'P&amp;L'!L22+Revenue!L150</f>
        <v>1167494.45875937</v>
      </c>
      <c r="M135" s="1518" t="n">
        <f aca="false">'P&amp;L'!M22+Revenue!M150</f>
        <v>1334279.38143928</v>
      </c>
      <c r="N135" s="1518" t="n">
        <f aca="false">'P&amp;L'!BJ22+Revenue!BJ150</f>
        <v>6087649.67781669</v>
      </c>
      <c r="O135" s="1518" t="n">
        <f aca="false">'P&amp;L'!BK22+Revenue!BK150</f>
        <v>31915417.3897659</v>
      </c>
      <c r="P135" s="1518" t="n">
        <f aca="false">'P&amp;L'!BL22+Revenue!BL150</f>
        <v>81368910.4966181</v>
      </c>
      <c r="Q135" s="1518" t="n">
        <f aca="false">'P&amp;L'!BM22+Revenue!BM150</f>
        <v>85700606.6041462</v>
      </c>
      <c r="R135" s="1518" t="n">
        <f aca="false">'P&amp;L'!BN22+Revenue!BN150</f>
        <v>90032302.7116743</v>
      </c>
      <c r="S135" s="1517"/>
      <c r="T135" s="1514"/>
      <c r="U135" s="1514"/>
      <c r="V135" s="1514"/>
      <c r="W135" s="1514"/>
    </row>
    <row r="136" customFormat="false" ht="12" hidden="false" customHeight="true" outlineLevel="0" collapsed="false">
      <c r="A136" s="1517"/>
      <c r="B136" s="1518"/>
      <c r="C136" s="1518"/>
      <c r="D136" s="1518"/>
      <c r="E136" s="1518"/>
      <c r="F136" s="1518"/>
      <c r="G136" s="1518"/>
      <c r="H136" s="1518"/>
      <c r="I136" s="1518"/>
      <c r="J136" s="1518"/>
      <c r="K136" s="1518"/>
      <c r="L136" s="1518"/>
      <c r="M136" s="1518"/>
      <c r="N136" s="1518"/>
      <c r="O136" s="1518"/>
      <c r="P136" s="1518"/>
      <c r="Q136" s="1518"/>
      <c r="R136" s="1518"/>
      <c r="S136" s="1517"/>
      <c r="T136" s="1514"/>
      <c r="U136" s="1514"/>
      <c r="V136" s="1514"/>
      <c r="W136" s="1514"/>
    </row>
    <row r="137" customFormat="false" ht="12" hidden="false" customHeight="true" outlineLevel="0" collapsed="false">
      <c r="A137" s="1517" t="s">
        <v>2070</v>
      </c>
      <c r="B137" s="1518" t="n">
        <f aca="false">'P&amp;L'!B41-'P&amp;L'!B38+'P&amp;L'!B43+'P&amp;L'!B44</f>
        <v>395805.9718</v>
      </c>
      <c r="C137" s="1518" t="n">
        <f aca="false">'P&amp;L'!C41-'P&amp;L'!C38+'P&amp;L'!C43+'P&amp;L'!C44</f>
        <v>412861.9718</v>
      </c>
      <c r="D137" s="1518" t="n">
        <f aca="false">'P&amp;L'!D41-'P&amp;L'!D38+'P&amp;L'!D43+'P&amp;L'!D44</f>
        <v>421481.6858</v>
      </c>
      <c r="E137" s="1518" t="n">
        <f aca="false">'P&amp;L'!E41-'P&amp;L'!E38+'P&amp;L'!E43+'P&amp;L'!E44</f>
        <v>434809.677886905</v>
      </c>
      <c r="F137" s="1518" t="n">
        <f aca="false">'P&amp;L'!F41-'P&amp;L'!F38+'P&amp;L'!F43+'P&amp;L'!F44</f>
        <v>448229.38397381</v>
      </c>
      <c r="G137" s="1518" t="n">
        <f aca="false">'P&amp;L'!G41-'P&amp;L'!G38+'P&amp;L'!G43+'P&amp;L'!G44</f>
        <v>496388.796147619</v>
      </c>
      <c r="H137" s="1518" t="n">
        <f aca="false">'P&amp;L'!H41-'P&amp;L'!H38+'P&amp;L'!H43+'P&amp;L'!H44</f>
        <v>591541.308321429</v>
      </c>
      <c r="I137" s="1518" t="n">
        <f aca="false">'P&amp;L'!I41-'P&amp;L'!I38+'P&amp;L'!I43+'P&amp;L'!I44</f>
        <v>657352.034950398</v>
      </c>
      <c r="J137" s="1518" t="n">
        <f aca="false">'P&amp;L'!J41-'P&amp;L'!J38+'P&amp;L'!J43+'P&amp;L'!J44</f>
        <v>698262.955141542</v>
      </c>
      <c r="K137" s="1518" t="n">
        <f aca="false">'P&amp;L'!K41-'P&amp;L'!K38+'P&amp;L'!K43+'P&amp;L'!K44</f>
        <v>740158.719951377</v>
      </c>
      <c r="L137" s="1518" t="n">
        <f aca="false">'P&amp;L'!L41-'P&amp;L'!L38+'P&amp;L'!L43+'P&amp;L'!L44</f>
        <v>778734.317731378</v>
      </c>
      <c r="M137" s="1518" t="n">
        <f aca="false">'P&amp;L'!M41-'P&amp;L'!M38+'P&amp;L'!M43+'P&amp;L'!M44</f>
        <v>820457.648564143</v>
      </c>
      <c r="N137" s="1518" t="n">
        <f aca="false">'P&amp;L'!BJ41-'P&amp;L'!BJ38+'P&amp;L'!BJ43+'P&amp;L'!BJ44</f>
        <v>6896084.4720686</v>
      </c>
      <c r="O137" s="1518" t="n">
        <f aca="false">'P&amp;L'!BK41-'P&amp;L'!BK38+'P&amp;L'!BK43+'P&amp;L'!BK44</f>
        <v>20815057.236423</v>
      </c>
      <c r="P137" s="1518" t="n">
        <f aca="false">'P&amp;L'!BL41-'P&amp;L'!BL38+'P&amp;L'!BL43+'P&amp;L'!BL44</f>
        <v>41330328.2499151</v>
      </c>
      <c r="Q137" s="1518" t="n">
        <f aca="false">'P&amp;L'!BM41-'P&amp;L'!BM38+'P&amp;L'!BM43+'P&amp;L'!BM44</f>
        <v>44532466.4797851</v>
      </c>
      <c r="R137" s="1518" t="n">
        <f aca="false">'P&amp;L'!BN41-'P&amp;L'!BN38+'P&amp;L'!BN43+'P&amp;L'!BN44</f>
        <v>47762373.9680901</v>
      </c>
      <c r="S137" s="1517"/>
      <c r="T137" s="1514"/>
      <c r="U137" s="1514"/>
      <c r="V137" s="1514"/>
      <c r="W137" s="1514"/>
    </row>
    <row r="138" customFormat="false" ht="12" hidden="false" customHeight="true" outlineLevel="0" collapsed="false">
      <c r="A138" s="1517"/>
      <c r="B138" s="1517"/>
      <c r="C138" s="1517"/>
      <c r="D138" s="1517"/>
      <c r="E138" s="1517"/>
      <c r="F138" s="1517"/>
      <c r="G138" s="1517"/>
      <c r="H138" s="1517"/>
      <c r="I138" s="1517"/>
      <c r="J138" s="1517"/>
      <c r="K138" s="1517"/>
      <c r="L138" s="1517"/>
      <c r="M138" s="1517"/>
      <c r="N138" s="1517"/>
      <c r="O138" s="1517"/>
      <c r="P138" s="1517"/>
      <c r="Q138" s="1517"/>
      <c r="R138" s="1517"/>
      <c r="S138" s="1517"/>
      <c r="T138" s="1514"/>
      <c r="U138" s="1514"/>
      <c r="V138" s="1514"/>
      <c r="W138" s="1514"/>
    </row>
    <row r="139" customFormat="false" ht="12" hidden="false" customHeight="true" outlineLevel="0" collapsed="false">
      <c r="A139" s="1141"/>
      <c r="B139" s="1517"/>
      <c r="C139" s="1517"/>
      <c r="D139" s="1517"/>
      <c r="E139" s="1517"/>
      <c r="F139" s="1517"/>
      <c r="G139" s="1517"/>
      <c r="H139" s="1517"/>
      <c r="I139" s="1517"/>
      <c r="J139" s="1517"/>
      <c r="K139" s="1517"/>
      <c r="L139" s="1517"/>
      <c r="M139" s="1517"/>
      <c r="N139" s="1517"/>
      <c r="O139" s="1517"/>
      <c r="P139" s="1517"/>
      <c r="Q139" s="1517"/>
      <c r="R139" s="1517"/>
      <c r="S139" s="1517"/>
      <c r="T139" s="1514"/>
      <c r="U139" s="1514"/>
      <c r="V139" s="1514"/>
      <c r="W139" s="1514"/>
    </row>
    <row r="140" customFormat="false" ht="12" hidden="false" customHeight="true" outlineLevel="0" collapsed="false">
      <c r="A140" s="1517"/>
      <c r="B140" s="1517"/>
      <c r="C140" s="1517"/>
      <c r="D140" s="1517"/>
      <c r="E140" s="1517"/>
      <c r="F140" s="1517"/>
      <c r="G140" s="1517"/>
      <c r="H140" s="1517"/>
      <c r="I140" s="1517"/>
      <c r="J140" s="1517"/>
      <c r="K140" s="1517"/>
      <c r="L140" s="1517"/>
      <c r="M140" s="1517"/>
      <c r="N140" s="1517"/>
      <c r="O140" s="1517"/>
      <c r="P140" s="1517"/>
      <c r="Q140" s="1517"/>
      <c r="R140" s="1517"/>
      <c r="S140" s="1517"/>
      <c r="T140" s="1514"/>
      <c r="U140" s="1514"/>
      <c r="V140" s="1514"/>
      <c r="W140" s="1514"/>
    </row>
    <row r="141" customFormat="false" ht="12" hidden="false" customHeight="true" outlineLevel="0" collapsed="false">
      <c r="A141" s="1514"/>
      <c r="B141" s="1514"/>
      <c r="C141" s="1514"/>
      <c r="D141" s="1514"/>
      <c r="E141" s="1514"/>
      <c r="F141" s="1514"/>
      <c r="G141" s="1514"/>
      <c r="H141" s="1514"/>
      <c r="I141" s="1514"/>
      <c r="J141" s="1514"/>
      <c r="K141" s="1514"/>
      <c r="L141" s="1514"/>
      <c r="M141" s="1514"/>
      <c r="N141" s="1514"/>
      <c r="O141" s="1514"/>
      <c r="P141" s="1514"/>
      <c r="Q141" s="1514"/>
      <c r="R141" s="1514"/>
      <c r="S141" s="1514"/>
      <c r="T141" s="1514"/>
      <c r="U141" s="1514"/>
      <c r="V141" s="1514"/>
      <c r="W141" s="1514"/>
    </row>
    <row r="142" customFormat="false" ht="12" hidden="false" customHeight="true" outlineLevel="0" collapsed="false">
      <c r="A142" s="1514"/>
      <c r="B142" s="1514"/>
      <c r="C142" s="1514"/>
      <c r="D142" s="1514"/>
      <c r="E142" s="1514"/>
      <c r="F142" s="1514"/>
      <c r="G142" s="1514"/>
      <c r="H142" s="1514"/>
      <c r="I142" s="1514"/>
      <c r="J142" s="1514"/>
      <c r="K142" s="1514"/>
      <c r="L142" s="1514"/>
      <c r="M142" s="1514"/>
      <c r="N142" s="1514"/>
      <c r="O142" s="1514"/>
      <c r="P142" s="1514"/>
      <c r="Q142" s="1514"/>
      <c r="R142" s="1514"/>
      <c r="S142" s="1514"/>
      <c r="T142" s="1514"/>
      <c r="U142" s="1514"/>
      <c r="V142" s="1514"/>
      <c r="W142" s="1514"/>
    </row>
    <row r="143" customFormat="false" ht="12" hidden="false" customHeight="true" outlineLevel="0" collapsed="false">
      <c r="A143" s="1514"/>
      <c r="B143" s="1514"/>
      <c r="C143" s="1514"/>
      <c r="D143" s="1514"/>
      <c r="E143" s="1514"/>
      <c r="F143" s="1514"/>
      <c r="G143" s="1514"/>
      <c r="H143" s="1514" t="str">
        <f aca="false">IF('P&amp;L'!E14="y","Funding &amp; Expenses Year 1 Monthly","Revenue &amp; Expenses Year 1 Monthly")</f>
        <v>Revenue &amp; Expenses Year 1 Monthly</v>
      </c>
      <c r="I143" s="1514"/>
      <c r="J143" s="1514"/>
      <c r="K143" s="1514"/>
      <c r="L143" s="1514"/>
      <c r="M143" s="1514"/>
      <c r="N143" s="1514"/>
      <c r="O143" s="1514"/>
      <c r="P143" s="1514"/>
      <c r="Q143" s="1514"/>
      <c r="R143" s="1514"/>
      <c r="S143" s="1514"/>
      <c r="T143" s="1514"/>
      <c r="U143" s="1514"/>
      <c r="V143" s="1514"/>
      <c r="W143" s="1514"/>
    </row>
    <row r="144" customFormat="false" ht="12" hidden="false" customHeight="true" outlineLevel="0" collapsed="false">
      <c r="A144" s="1514"/>
      <c r="B144" s="1514"/>
      <c r="C144" s="1514"/>
      <c r="D144" s="1514"/>
      <c r="E144" s="1514"/>
      <c r="F144" s="1514"/>
      <c r="G144" s="1514"/>
      <c r="H144" s="1514"/>
      <c r="I144" s="1514"/>
      <c r="J144" s="1514"/>
      <c r="K144" s="1514"/>
      <c r="L144" s="1514"/>
      <c r="M144" s="1514"/>
      <c r="N144" s="1514"/>
      <c r="O144" s="1514"/>
      <c r="P144" s="1514"/>
      <c r="Q144" s="1514"/>
      <c r="R144" s="1514"/>
      <c r="S144" s="1514"/>
      <c r="T144" s="1514"/>
      <c r="U144" s="1514"/>
      <c r="V144" s="1514"/>
      <c r="W144" s="1514"/>
    </row>
    <row r="145" customFormat="false" ht="12" hidden="false" customHeight="true" outlineLevel="0" collapsed="false">
      <c r="A145" s="1514"/>
      <c r="B145" s="1514"/>
      <c r="C145" s="1514"/>
      <c r="D145" s="1514"/>
      <c r="E145" s="1514"/>
      <c r="F145" s="1514"/>
      <c r="G145" s="1514"/>
      <c r="H145" s="1514"/>
      <c r="I145" s="1514"/>
      <c r="J145" s="1514"/>
      <c r="K145" s="1514"/>
      <c r="L145" s="1514"/>
      <c r="M145" s="1514"/>
      <c r="N145" s="1514"/>
      <c r="O145" s="1514"/>
      <c r="P145" s="1514"/>
      <c r="Q145" s="1514"/>
      <c r="R145" s="1514"/>
      <c r="S145" s="1514"/>
      <c r="T145" s="1514"/>
      <c r="U145" s="1514"/>
      <c r="V145" s="1514"/>
      <c r="W145" s="1514"/>
    </row>
    <row r="146" customFormat="false" ht="12" hidden="false" customHeight="true" outlineLevel="0" collapsed="false">
      <c r="A146" s="1514"/>
      <c r="B146" s="1514"/>
      <c r="C146" s="1514"/>
      <c r="D146" s="1514"/>
      <c r="E146" s="1514"/>
      <c r="F146" s="1514"/>
      <c r="G146" s="1514"/>
      <c r="H146" s="1514"/>
      <c r="I146" s="1514"/>
      <c r="J146" s="1514"/>
      <c r="K146" s="1514"/>
      <c r="L146" s="1514"/>
      <c r="M146" s="1514"/>
      <c r="N146" s="1514"/>
      <c r="O146" s="1514"/>
      <c r="P146" s="1514"/>
      <c r="Q146" s="1514"/>
      <c r="R146" s="1514"/>
      <c r="S146" s="1514"/>
      <c r="T146" s="1514"/>
      <c r="U146" s="1514"/>
      <c r="V146" s="1514"/>
      <c r="W146" s="1514"/>
    </row>
    <row r="147" customFormat="false" ht="12" hidden="false" customHeight="true" outlineLevel="0" collapsed="false">
      <c r="A147" s="1514"/>
      <c r="B147" s="1514"/>
      <c r="C147" s="1514"/>
      <c r="D147" s="1514"/>
      <c r="E147" s="1514"/>
      <c r="F147" s="1514"/>
      <c r="G147" s="1514"/>
      <c r="H147" s="1514"/>
      <c r="I147" s="1514"/>
      <c r="J147" s="1514"/>
      <c r="K147" s="1514"/>
      <c r="L147" s="1514"/>
      <c r="M147" s="1514"/>
      <c r="N147" s="1514"/>
      <c r="O147" s="1514"/>
      <c r="P147" s="1514"/>
      <c r="Q147" s="1514"/>
      <c r="R147" s="1514"/>
      <c r="S147" s="1514"/>
      <c r="T147" s="1514"/>
      <c r="U147" s="1514"/>
      <c r="V147" s="1514"/>
      <c r="W147" s="1514"/>
    </row>
    <row r="148" customFormat="false" ht="12" hidden="false" customHeight="true" outlineLevel="0" collapsed="false">
      <c r="A148" s="1514"/>
      <c r="B148" s="1514"/>
      <c r="C148" s="1514"/>
      <c r="D148" s="1514"/>
      <c r="E148" s="1514"/>
      <c r="F148" s="1514"/>
      <c r="G148" s="1514"/>
      <c r="H148" s="1514"/>
      <c r="I148" s="1514"/>
      <c r="J148" s="1514"/>
      <c r="K148" s="1514"/>
      <c r="L148" s="1514"/>
      <c r="M148" s="1514"/>
      <c r="N148" s="1514"/>
      <c r="O148" s="1514"/>
      <c r="P148" s="1514"/>
      <c r="Q148" s="1514"/>
      <c r="R148" s="1514"/>
      <c r="S148" s="1514"/>
      <c r="T148" s="1514"/>
      <c r="U148" s="1514"/>
      <c r="V148" s="1514"/>
      <c r="W148" s="1514"/>
    </row>
    <row r="149" customFormat="false" ht="12" hidden="false" customHeight="true" outlineLevel="0" collapsed="false">
      <c r="A149" s="1514"/>
      <c r="B149" s="1514"/>
      <c r="C149" s="1514"/>
      <c r="D149" s="1514"/>
      <c r="E149" s="1514"/>
      <c r="F149" s="1514"/>
      <c r="G149" s="1514"/>
      <c r="H149" s="1514"/>
      <c r="I149" s="1514"/>
      <c r="J149" s="1514"/>
      <c r="K149" s="1514"/>
      <c r="L149" s="1514"/>
      <c r="M149" s="1514"/>
      <c r="N149" s="1514"/>
      <c r="O149" s="1514"/>
      <c r="P149" s="1514"/>
      <c r="Q149" s="1514"/>
      <c r="R149" s="1514"/>
      <c r="S149" s="1514"/>
      <c r="T149" s="1514"/>
      <c r="U149" s="1514"/>
      <c r="V149" s="1514"/>
      <c r="W149" s="1514"/>
    </row>
    <row r="150" customFormat="false" ht="12" hidden="false" customHeight="true" outlineLevel="0" collapsed="false">
      <c r="A150" s="1514"/>
      <c r="B150" s="1514"/>
      <c r="C150" s="1514"/>
      <c r="D150" s="1514"/>
      <c r="E150" s="1514"/>
      <c r="F150" s="1514"/>
      <c r="G150" s="1514"/>
      <c r="H150" s="1514"/>
      <c r="I150" s="1514"/>
      <c r="J150" s="1514"/>
      <c r="K150" s="1514"/>
      <c r="L150" s="1514"/>
      <c r="M150" s="1514"/>
      <c r="N150" s="1514"/>
      <c r="O150" s="1514"/>
      <c r="P150" s="1514"/>
      <c r="Q150" s="1514"/>
      <c r="R150" s="1514"/>
      <c r="S150" s="1514"/>
      <c r="T150" s="1514"/>
      <c r="U150" s="1514"/>
      <c r="V150" s="1514"/>
      <c r="W150" s="1514"/>
    </row>
    <row r="151" customFormat="false" ht="12" hidden="false" customHeight="true" outlineLevel="0" collapsed="false">
      <c r="A151" s="1514"/>
      <c r="B151" s="1514"/>
      <c r="C151" s="1514"/>
      <c r="D151" s="1514"/>
      <c r="E151" s="1514"/>
      <c r="F151" s="1514"/>
      <c r="G151" s="1514"/>
      <c r="H151" s="1514"/>
      <c r="I151" s="1514"/>
      <c r="J151" s="1514"/>
      <c r="K151" s="1514"/>
      <c r="L151" s="1514"/>
      <c r="M151" s="1514"/>
      <c r="N151" s="1514"/>
      <c r="O151" s="1514"/>
      <c r="P151" s="1514"/>
      <c r="Q151" s="1514"/>
      <c r="R151" s="1514"/>
      <c r="S151" s="1514"/>
      <c r="T151" s="1514"/>
      <c r="U151" s="1514"/>
      <c r="V151" s="1514"/>
      <c r="W151" s="1514"/>
    </row>
    <row r="152" customFormat="false" ht="12" hidden="false" customHeight="true" outlineLevel="0" collapsed="false">
      <c r="A152" s="1514"/>
      <c r="B152" s="1514"/>
      <c r="C152" s="1514"/>
      <c r="D152" s="1514"/>
      <c r="E152" s="1514"/>
      <c r="F152" s="1514"/>
      <c r="G152" s="1514"/>
      <c r="H152" s="1514"/>
      <c r="I152" s="1514"/>
      <c r="J152" s="1514"/>
      <c r="K152" s="1514"/>
      <c r="L152" s="1514"/>
      <c r="M152" s="1514"/>
      <c r="N152" s="1514"/>
      <c r="O152" s="1514"/>
      <c r="P152" s="1514"/>
      <c r="Q152" s="1514"/>
      <c r="R152" s="1514"/>
      <c r="S152" s="1514"/>
      <c r="T152" s="1514"/>
      <c r="U152" s="1514"/>
      <c r="V152" s="1514"/>
      <c r="W152" s="1514"/>
    </row>
    <row r="153" customFormat="false" ht="12" hidden="false" customHeight="true" outlineLevel="0" collapsed="false">
      <c r="A153" s="1514"/>
      <c r="B153" s="1514"/>
      <c r="C153" s="1514"/>
      <c r="D153" s="1514"/>
      <c r="E153" s="1514"/>
      <c r="F153" s="1514"/>
      <c r="G153" s="1514"/>
      <c r="H153" s="1514"/>
      <c r="I153" s="1514"/>
      <c r="J153" s="1514"/>
      <c r="K153" s="1514"/>
      <c r="L153" s="1514"/>
      <c r="M153" s="1514"/>
      <c r="N153" s="1514"/>
      <c r="O153" s="1514"/>
      <c r="P153" s="1514"/>
      <c r="Q153" s="1514"/>
      <c r="R153" s="1514"/>
      <c r="S153" s="1514"/>
      <c r="T153" s="1514"/>
      <c r="U153" s="1514"/>
      <c r="V153" s="1514"/>
      <c r="W153" s="1514"/>
    </row>
    <row r="154" customFormat="false" ht="12" hidden="false" customHeight="true" outlineLevel="0" collapsed="false">
      <c r="A154" s="1514"/>
      <c r="B154" s="1514"/>
      <c r="C154" s="1514"/>
      <c r="D154" s="1514"/>
      <c r="E154" s="1514"/>
      <c r="F154" s="1514"/>
      <c r="G154" s="1514"/>
      <c r="H154" s="1514"/>
      <c r="I154" s="1514"/>
      <c r="J154" s="1514"/>
      <c r="K154" s="1514"/>
      <c r="L154" s="1514"/>
      <c r="M154" s="1514"/>
      <c r="N154" s="1514"/>
      <c r="O154" s="1514"/>
      <c r="P154" s="1514"/>
      <c r="Q154" s="1514"/>
      <c r="R154" s="1514"/>
      <c r="S154" s="1514"/>
      <c r="T154" s="1514"/>
      <c r="U154" s="1514"/>
      <c r="V154" s="1514"/>
      <c r="W154" s="1514"/>
    </row>
    <row r="155" customFormat="false" ht="12" hidden="false" customHeight="true" outlineLevel="0" collapsed="false">
      <c r="A155" s="1514"/>
      <c r="B155" s="1514"/>
      <c r="C155" s="1514"/>
      <c r="D155" s="1514"/>
      <c r="E155" s="1514"/>
      <c r="F155" s="1514"/>
      <c r="G155" s="1514"/>
      <c r="H155" s="1514"/>
      <c r="I155" s="1514"/>
      <c r="J155" s="1514"/>
      <c r="K155" s="1514"/>
      <c r="L155" s="1514"/>
      <c r="M155" s="1514"/>
      <c r="N155" s="1514"/>
      <c r="O155" s="1514"/>
      <c r="P155" s="1514"/>
      <c r="Q155" s="1514"/>
      <c r="R155" s="1514"/>
      <c r="S155" s="1514"/>
      <c r="T155" s="1514"/>
      <c r="U155" s="1514"/>
      <c r="V155" s="1514"/>
      <c r="W155" s="1514"/>
    </row>
    <row r="156" customFormat="false" ht="12" hidden="false" customHeight="true" outlineLevel="0" collapsed="false">
      <c r="A156" s="1514"/>
      <c r="B156" s="1514"/>
      <c r="C156" s="1514"/>
      <c r="D156" s="1514"/>
      <c r="E156" s="1514"/>
      <c r="F156" s="1514"/>
      <c r="G156" s="1514"/>
      <c r="H156" s="1514"/>
      <c r="I156" s="1514"/>
      <c r="J156" s="1514"/>
      <c r="K156" s="1514"/>
      <c r="L156" s="1514"/>
      <c r="M156" s="1514"/>
      <c r="N156" s="1514"/>
      <c r="O156" s="1514"/>
      <c r="P156" s="1514"/>
      <c r="Q156" s="1514"/>
      <c r="R156" s="1514"/>
      <c r="S156" s="1514"/>
      <c r="T156" s="1514"/>
      <c r="U156" s="1514"/>
      <c r="V156" s="1514"/>
      <c r="W156" s="1514"/>
    </row>
    <row r="157" customFormat="false" ht="12" hidden="false" customHeight="true" outlineLevel="0" collapsed="false">
      <c r="A157" s="1514"/>
      <c r="B157" s="1514"/>
      <c r="C157" s="1514"/>
      <c r="D157" s="1514"/>
      <c r="E157" s="1514"/>
      <c r="F157" s="1514"/>
      <c r="G157" s="1514"/>
      <c r="H157" s="1514"/>
      <c r="I157" s="1514"/>
      <c r="J157" s="1514"/>
      <c r="K157" s="1514"/>
      <c r="L157" s="1514"/>
      <c r="M157" s="1514"/>
      <c r="N157" s="1514"/>
      <c r="O157" s="1514"/>
      <c r="P157" s="1514"/>
      <c r="Q157" s="1514"/>
      <c r="R157" s="1514"/>
      <c r="S157" s="1514"/>
      <c r="T157" s="1514"/>
      <c r="U157" s="1514"/>
      <c r="V157" s="1514"/>
      <c r="W157" s="1514"/>
    </row>
    <row r="158" customFormat="false" ht="12" hidden="false" customHeight="true" outlineLevel="0" collapsed="false">
      <c r="A158" s="1514"/>
      <c r="B158" s="1514"/>
      <c r="C158" s="1514"/>
      <c r="D158" s="1514"/>
      <c r="E158" s="1514"/>
      <c r="F158" s="1514"/>
      <c r="G158" s="1514"/>
      <c r="H158" s="1514"/>
      <c r="I158" s="1514"/>
      <c r="J158" s="1514"/>
      <c r="K158" s="1514"/>
      <c r="L158" s="1514"/>
      <c r="M158" s="1514"/>
      <c r="N158" s="1514"/>
      <c r="O158" s="1514"/>
      <c r="P158" s="1514"/>
      <c r="Q158" s="1514"/>
      <c r="R158" s="1514"/>
      <c r="S158" s="1514"/>
      <c r="T158" s="1514"/>
      <c r="U158" s="1514"/>
      <c r="V158" s="1514"/>
      <c r="W158" s="1514"/>
    </row>
    <row r="159" customFormat="false" ht="12" hidden="false" customHeight="true" outlineLevel="0" collapsed="false">
      <c r="A159" s="1514"/>
      <c r="B159" s="1514"/>
      <c r="C159" s="1514"/>
      <c r="D159" s="1514"/>
      <c r="E159" s="1514"/>
      <c r="F159" s="1514"/>
      <c r="G159" s="1514"/>
      <c r="H159" s="1514"/>
      <c r="I159" s="1514"/>
      <c r="J159" s="1514"/>
      <c r="K159" s="1514"/>
      <c r="L159" s="1514"/>
      <c r="M159" s="1514"/>
      <c r="N159" s="1514"/>
      <c r="O159" s="1514"/>
      <c r="P159" s="1514"/>
      <c r="Q159" s="1514"/>
      <c r="R159" s="1514"/>
      <c r="S159" s="1514"/>
      <c r="T159" s="1514"/>
      <c r="U159" s="1514"/>
      <c r="V159" s="1514"/>
      <c r="W159" s="1514"/>
    </row>
    <row r="160" customFormat="false" ht="12" hidden="false" customHeight="true" outlineLevel="0" collapsed="false">
      <c r="A160" s="1514"/>
      <c r="B160" s="1514"/>
      <c r="C160" s="1514"/>
      <c r="D160" s="1514"/>
      <c r="E160" s="1514"/>
      <c r="F160" s="1514"/>
      <c r="G160" s="1514"/>
      <c r="H160" s="1514"/>
      <c r="I160" s="1514"/>
      <c r="J160" s="1514"/>
      <c r="K160" s="1514"/>
      <c r="L160" s="1514"/>
      <c r="M160" s="1514"/>
      <c r="N160" s="1514"/>
      <c r="O160" s="1514"/>
      <c r="P160" s="1514"/>
      <c r="Q160" s="1514"/>
      <c r="R160" s="1514"/>
      <c r="S160" s="1514"/>
      <c r="T160" s="1514"/>
      <c r="U160" s="1514"/>
      <c r="V160" s="1514"/>
      <c r="W160" s="1514"/>
    </row>
    <row r="161" customFormat="false" ht="12" hidden="false" customHeight="true" outlineLevel="0" collapsed="false">
      <c r="A161" s="1514"/>
      <c r="B161" s="1514"/>
      <c r="C161" s="1514"/>
      <c r="D161" s="1514"/>
      <c r="E161" s="1514"/>
      <c r="F161" s="1514"/>
      <c r="G161" s="1514"/>
      <c r="H161" s="1514"/>
      <c r="I161" s="1514"/>
      <c r="J161" s="1514"/>
      <c r="K161" s="1514"/>
      <c r="L161" s="1514"/>
      <c r="M161" s="1514"/>
      <c r="N161" s="1514"/>
      <c r="O161" s="1514"/>
      <c r="P161" s="1514"/>
      <c r="Q161" s="1514"/>
      <c r="R161" s="1514"/>
      <c r="S161" s="1514"/>
      <c r="T161" s="1514"/>
      <c r="U161" s="1514"/>
      <c r="V161" s="1514"/>
      <c r="W161" s="1514"/>
    </row>
    <row r="162" customFormat="false" ht="12" hidden="false" customHeight="true" outlineLevel="0" collapsed="false">
      <c r="A162" s="1514"/>
      <c r="B162" s="1514"/>
      <c r="C162" s="1514"/>
      <c r="D162" s="1514"/>
      <c r="E162" s="1514"/>
      <c r="F162" s="1514"/>
      <c r="G162" s="1514"/>
      <c r="H162" s="1514" t="str">
        <f aca="false">IF('P&amp;L'!E14="y","Funding &amp; Expenses Years 1 to 5","Revenue &amp; Expenses Years 1 to 5")</f>
        <v>Revenue &amp; Expenses Years 1 to 5</v>
      </c>
      <c r="I162" s="1514"/>
      <c r="J162" s="1514"/>
      <c r="K162" s="1514"/>
      <c r="L162" s="1514"/>
      <c r="M162" s="1514"/>
      <c r="N162" s="1514"/>
      <c r="O162" s="1514"/>
      <c r="P162" s="1514"/>
      <c r="Q162" s="1514"/>
      <c r="R162" s="1514"/>
      <c r="S162" s="1514"/>
      <c r="T162" s="1514"/>
      <c r="U162" s="1514"/>
      <c r="V162" s="1514"/>
      <c r="W162" s="1514"/>
    </row>
    <row r="163" customFormat="false" ht="12" hidden="false" customHeight="true" outlineLevel="0" collapsed="false">
      <c r="A163" s="1514"/>
      <c r="B163" s="1514"/>
      <c r="C163" s="1514"/>
      <c r="D163" s="1514"/>
      <c r="E163" s="1514"/>
      <c r="F163" s="1514"/>
      <c r="G163" s="1514"/>
      <c r="H163" s="1514"/>
      <c r="I163" s="1514"/>
      <c r="J163" s="1514"/>
      <c r="K163" s="1514"/>
      <c r="L163" s="1514"/>
      <c r="M163" s="1514"/>
      <c r="N163" s="1514"/>
      <c r="O163" s="1514"/>
      <c r="P163" s="1514"/>
      <c r="Q163" s="1514"/>
      <c r="R163" s="1514"/>
      <c r="S163" s="1514"/>
      <c r="T163" s="1514"/>
      <c r="U163" s="1514"/>
      <c r="V163" s="1514"/>
      <c r="W163" s="1514"/>
    </row>
    <row r="164" customFormat="false" ht="12" hidden="false" customHeight="true" outlineLevel="0" collapsed="false">
      <c r="A164" s="1514"/>
      <c r="B164" s="1514"/>
      <c r="C164" s="1514"/>
      <c r="D164" s="1514"/>
      <c r="E164" s="1514"/>
      <c r="F164" s="1514"/>
      <c r="G164" s="1514"/>
      <c r="H164" s="1514"/>
      <c r="I164" s="1514"/>
      <c r="J164" s="1514"/>
      <c r="K164" s="1514"/>
      <c r="L164" s="1514"/>
      <c r="M164" s="1514"/>
      <c r="N164" s="1514"/>
      <c r="O164" s="1514"/>
      <c r="P164" s="1514"/>
      <c r="Q164" s="1514"/>
      <c r="R164" s="1514"/>
      <c r="S164" s="1514"/>
      <c r="T164" s="1514"/>
      <c r="U164" s="1514"/>
      <c r="V164" s="1514"/>
      <c r="W164" s="1514"/>
    </row>
    <row r="165" customFormat="false" ht="12" hidden="false" customHeight="true" outlineLevel="0" collapsed="false">
      <c r="A165" s="1514"/>
      <c r="B165" s="1514"/>
      <c r="C165" s="1514"/>
      <c r="D165" s="1514"/>
      <c r="E165" s="1514"/>
      <c r="F165" s="1514"/>
      <c r="G165" s="1514"/>
      <c r="H165" s="1514"/>
      <c r="I165" s="1514"/>
      <c r="J165" s="1514"/>
      <c r="K165" s="1514"/>
      <c r="L165" s="1514"/>
      <c r="M165" s="1514"/>
      <c r="N165" s="1514"/>
      <c r="O165" s="1514"/>
      <c r="P165" s="1514"/>
      <c r="Q165" s="1514"/>
      <c r="R165" s="1514"/>
      <c r="S165" s="1514"/>
      <c r="T165" s="1514"/>
      <c r="U165" s="1514"/>
      <c r="V165" s="1514"/>
      <c r="W165" s="1514"/>
    </row>
    <row r="166" customFormat="false" ht="12" hidden="false" customHeight="true" outlineLevel="0" collapsed="false">
      <c r="A166" s="1514"/>
      <c r="B166" s="1514"/>
      <c r="C166" s="1514"/>
      <c r="D166" s="1514"/>
      <c r="E166" s="1514"/>
      <c r="F166" s="1514"/>
      <c r="G166" s="1514"/>
      <c r="H166" s="1514"/>
      <c r="I166" s="1514"/>
      <c r="J166" s="1514"/>
      <c r="K166" s="1514"/>
      <c r="L166" s="1514"/>
      <c r="M166" s="1514"/>
      <c r="N166" s="1514"/>
      <c r="O166" s="1514"/>
      <c r="P166" s="1514"/>
      <c r="Q166" s="1514"/>
      <c r="R166" s="1514"/>
      <c r="S166" s="1514"/>
      <c r="T166" s="1514"/>
      <c r="U166" s="1514"/>
      <c r="V166" s="1514"/>
      <c r="W166" s="1514"/>
    </row>
    <row r="167" customFormat="false" ht="12" hidden="false" customHeight="true" outlineLevel="0" collapsed="false">
      <c r="A167" s="1514"/>
      <c r="B167" s="1514"/>
      <c r="C167" s="1514"/>
      <c r="D167" s="1514"/>
      <c r="E167" s="1514"/>
      <c r="F167" s="1514"/>
      <c r="G167" s="1514"/>
      <c r="H167" s="1514"/>
      <c r="I167" s="1514"/>
      <c r="J167" s="1514"/>
      <c r="K167" s="1514"/>
      <c r="L167" s="1514"/>
      <c r="M167" s="1514"/>
      <c r="N167" s="1514"/>
      <c r="O167" s="1514"/>
      <c r="P167" s="1514"/>
      <c r="Q167" s="1514"/>
      <c r="R167" s="1514"/>
      <c r="S167" s="1514"/>
      <c r="T167" s="1514"/>
      <c r="U167" s="1514"/>
      <c r="V167" s="1514"/>
      <c r="W167" s="1514"/>
    </row>
    <row r="168" customFormat="false" ht="12" hidden="false" customHeight="true" outlineLevel="0" collapsed="false">
      <c r="A168" s="1514"/>
      <c r="B168" s="1514"/>
      <c r="C168" s="1514"/>
      <c r="D168" s="1514"/>
      <c r="E168" s="1514"/>
      <c r="F168" s="1514"/>
      <c r="G168" s="1514"/>
      <c r="H168" s="1514"/>
      <c r="I168" s="1514"/>
      <c r="J168" s="1514"/>
      <c r="K168" s="1514"/>
      <c r="L168" s="1514"/>
      <c r="M168" s="1514"/>
      <c r="N168" s="1514"/>
      <c r="O168" s="1514"/>
      <c r="P168" s="1514"/>
      <c r="Q168" s="1514"/>
      <c r="R168" s="1514"/>
      <c r="S168" s="1514"/>
      <c r="T168" s="1514"/>
      <c r="U168" s="1514"/>
      <c r="V168" s="1514"/>
      <c r="W168" s="1514"/>
    </row>
    <row r="169" customFormat="false" ht="12" hidden="false" customHeight="true" outlineLevel="0" collapsed="false">
      <c r="A169" s="1514"/>
      <c r="B169" s="1514"/>
      <c r="C169" s="1514"/>
      <c r="D169" s="1514"/>
      <c r="E169" s="1514"/>
      <c r="F169" s="1514"/>
      <c r="G169" s="1514"/>
      <c r="H169" s="1514"/>
      <c r="I169" s="1514"/>
      <c r="J169" s="1514"/>
      <c r="K169" s="1514"/>
      <c r="L169" s="1514"/>
      <c r="M169" s="1514"/>
      <c r="N169" s="1514"/>
      <c r="O169" s="1514"/>
      <c r="P169" s="1514"/>
      <c r="Q169" s="1514"/>
      <c r="R169" s="1514"/>
      <c r="S169" s="1514"/>
      <c r="T169" s="1514"/>
      <c r="U169" s="1514"/>
      <c r="V169" s="1514"/>
      <c r="W169" s="1514"/>
    </row>
    <row r="170" customFormat="false" ht="12" hidden="false" customHeight="true" outlineLevel="0" collapsed="false">
      <c r="A170" s="1514"/>
      <c r="B170" s="1514"/>
      <c r="C170" s="1514"/>
      <c r="D170" s="1514"/>
      <c r="E170" s="1514"/>
      <c r="F170" s="1514"/>
      <c r="G170" s="1514"/>
      <c r="H170" s="1514"/>
      <c r="I170" s="1514"/>
      <c r="J170" s="1514"/>
      <c r="K170" s="1514"/>
      <c r="L170" s="1514"/>
      <c r="M170" s="1514"/>
      <c r="N170" s="1514"/>
      <c r="O170" s="1514"/>
      <c r="P170" s="1514"/>
      <c r="Q170" s="1514"/>
      <c r="R170" s="1514"/>
      <c r="S170" s="1514"/>
      <c r="T170" s="1514"/>
      <c r="U170" s="1514"/>
      <c r="V170" s="1514"/>
      <c r="W170" s="1514"/>
    </row>
    <row r="171" customFormat="false" ht="12" hidden="false" customHeight="true" outlineLevel="0" collapsed="false">
      <c r="A171" s="1514"/>
      <c r="B171" s="1514"/>
      <c r="C171" s="1514"/>
      <c r="D171" s="1514"/>
      <c r="E171" s="1514"/>
      <c r="F171" s="1514"/>
      <c r="G171" s="1514"/>
      <c r="H171" s="1514"/>
      <c r="I171" s="1514"/>
      <c r="J171" s="1514"/>
      <c r="K171" s="1514"/>
      <c r="L171" s="1514"/>
      <c r="M171" s="1514"/>
      <c r="N171" s="1514"/>
      <c r="O171" s="1514"/>
      <c r="P171" s="1514"/>
      <c r="Q171" s="1514"/>
      <c r="R171" s="1514"/>
      <c r="S171" s="1514"/>
      <c r="T171" s="1514"/>
      <c r="U171" s="1514"/>
      <c r="V171" s="1514"/>
      <c r="W171" s="1514"/>
    </row>
    <row r="172" customFormat="false" ht="12" hidden="false" customHeight="true" outlineLevel="0" collapsed="false">
      <c r="A172" s="1514"/>
      <c r="B172" s="1514"/>
      <c r="C172" s="1514"/>
      <c r="D172" s="1514"/>
      <c r="E172" s="1514"/>
      <c r="F172" s="1514"/>
      <c r="G172" s="1514"/>
      <c r="H172" s="1514"/>
      <c r="I172" s="1514"/>
      <c r="J172" s="1514"/>
      <c r="K172" s="1514"/>
      <c r="L172" s="1514"/>
      <c r="M172" s="1514"/>
      <c r="N172" s="1514"/>
      <c r="O172" s="1514"/>
      <c r="P172" s="1514"/>
      <c r="Q172" s="1514"/>
      <c r="R172" s="1514"/>
      <c r="S172" s="1514"/>
      <c r="T172" s="1514"/>
      <c r="U172" s="1514"/>
      <c r="V172" s="1514"/>
      <c r="W172" s="1514"/>
    </row>
    <row r="173" customFormat="false" ht="12" hidden="false" customHeight="true" outlineLevel="0" collapsed="false">
      <c r="A173" s="1519"/>
      <c r="B173" s="1514"/>
      <c r="C173" s="1514"/>
      <c r="D173" s="1514"/>
      <c r="E173" s="1514"/>
      <c r="F173" s="1514"/>
      <c r="G173" s="1514"/>
      <c r="H173" s="1514"/>
      <c r="I173" s="1514"/>
      <c r="J173" s="1514"/>
      <c r="K173" s="1514"/>
      <c r="L173" s="1514"/>
      <c r="M173" s="1514"/>
      <c r="N173" s="1514"/>
      <c r="O173" s="1514"/>
      <c r="P173" s="1514"/>
      <c r="Q173" s="1514"/>
      <c r="R173" s="1514"/>
      <c r="S173" s="1514"/>
      <c r="T173" s="1514"/>
      <c r="U173" s="1514"/>
      <c r="V173" s="1514"/>
      <c r="W173" s="1514"/>
    </row>
    <row r="174" customFormat="false" ht="12" hidden="false" customHeight="true" outlineLevel="0" collapsed="false">
      <c r="A174" s="1519"/>
      <c r="B174" s="1514"/>
      <c r="C174" s="1514"/>
      <c r="D174" s="1514"/>
      <c r="E174" s="1514"/>
      <c r="F174" s="1514"/>
      <c r="G174" s="1514"/>
      <c r="H174" s="1514"/>
      <c r="I174" s="1514"/>
      <c r="J174" s="1514"/>
      <c r="K174" s="1514"/>
      <c r="L174" s="1514"/>
      <c r="M174" s="1514"/>
      <c r="N174" s="1514"/>
      <c r="O174" s="1514"/>
      <c r="P174" s="1514"/>
      <c r="Q174" s="1514"/>
      <c r="R174" s="1514"/>
      <c r="S174" s="1514"/>
      <c r="T174" s="1514"/>
      <c r="U174" s="1514"/>
      <c r="V174" s="1514"/>
      <c r="W174" s="1514"/>
    </row>
    <row r="175" customFormat="false" ht="12" hidden="false" customHeight="true" outlineLevel="0" collapsed="false">
      <c r="A175" s="1519"/>
      <c r="B175" s="1514"/>
      <c r="C175" s="1514"/>
      <c r="D175" s="1514"/>
      <c r="E175" s="1514"/>
      <c r="F175" s="1514"/>
      <c r="G175" s="1514"/>
      <c r="H175" s="1514"/>
      <c r="I175" s="1514"/>
      <c r="J175" s="1514"/>
      <c r="K175" s="1514"/>
      <c r="L175" s="1514"/>
      <c r="M175" s="1514"/>
      <c r="N175" s="1514"/>
      <c r="O175" s="1514"/>
      <c r="P175" s="1514"/>
      <c r="Q175" s="1514"/>
      <c r="R175" s="1514"/>
      <c r="S175" s="1514"/>
      <c r="T175" s="1514"/>
      <c r="U175" s="1514"/>
      <c r="V175" s="1514"/>
      <c r="W175" s="1514"/>
    </row>
    <row r="176" customFormat="false" ht="12" hidden="false" customHeight="true" outlineLevel="0" collapsed="false">
      <c r="A176" s="1519"/>
      <c r="B176" s="1514"/>
      <c r="C176" s="1514"/>
      <c r="D176" s="1514"/>
      <c r="E176" s="1514"/>
      <c r="F176" s="1514"/>
      <c r="G176" s="1514"/>
      <c r="H176" s="1514"/>
      <c r="I176" s="1514"/>
      <c r="J176" s="1514"/>
      <c r="K176" s="1514"/>
      <c r="L176" s="1514"/>
      <c r="M176" s="1514"/>
      <c r="N176" s="1514"/>
      <c r="O176" s="1514"/>
      <c r="P176" s="1514"/>
      <c r="Q176" s="1514"/>
      <c r="R176" s="1514"/>
      <c r="S176" s="1514"/>
      <c r="T176" s="1514"/>
      <c r="U176" s="1514"/>
      <c r="V176" s="1514"/>
      <c r="W176" s="1514"/>
    </row>
    <row r="177" customFormat="false" ht="12" hidden="false" customHeight="true" outlineLevel="0" collapsed="false">
      <c r="A177" s="1519"/>
      <c r="B177" s="1514"/>
      <c r="C177" s="1514"/>
      <c r="D177" s="1514"/>
      <c r="E177" s="1514"/>
      <c r="F177" s="1514"/>
      <c r="G177" s="1514"/>
      <c r="H177" s="1514"/>
      <c r="I177" s="1514"/>
      <c r="J177" s="1514"/>
      <c r="K177" s="1514"/>
      <c r="L177" s="1514"/>
      <c r="M177" s="1514"/>
      <c r="N177" s="1514"/>
      <c r="O177" s="1514"/>
      <c r="P177" s="1514"/>
      <c r="Q177" s="1514"/>
      <c r="R177" s="1514"/>
      <c r="S177" s="1514"/>
      <c r="T177" s="1514"/>
      <c r="U177" s="1514"/>
      <c r="V177" s="1514"/>
      <c r="W177" s="1514"/>
    </row>
    <row r="178" customFormat="false" ht="12" hidden="false" customHeight="true" outlineLevel="0" collapsed="false">
      <c r="A178" s="1514"/>
      <c r="B178" s="1514"/>
      <c r="C178" s="1514"/>
      <c r="D178" s="1514"/>
      <c r="E178" s="1514"/>
      <c r="F178" s="1514"/>
      <c r="G178" s="1514"/>
      <c r="H178" s="1514"/>
      <c r="I178" s="1514"/>
      <c r="J178" s="1514"/>
      <c r="K178" s="1514"/>
      <c r="L178" s="1514"/>
      <c r="M178" s="1514"/>
      <c r="N178" s="1514"/>
      <c r="O178" s="1514"/>
      <c r="P178" s="1514"/>
      <c r="Q178" s="1514"/>
      <c r="R178" s="1514"/>
      <c r="S178" s="1514"/>
      <c r="T178" s="1514"/>
      <c r="U178" s="1514"/>
      <c r="V178" s="1514"/>
      <c r="W178" s="1514"/>
    </row>
    <row r="179" customFormat="false" ht="12" hidden="false" customHeight="true" outlineLevel="0" collapsed="false">
      <c r="A179" s="1514"/>
      <c r="B179" s="1514"/>
      <c r="C179" s="1514"/>
      <c r="D179" s="1514"/>
      <c r="E179" s="1514"/>
      <c r="F179" s="1514"/>
      <c r="G179" s="1514"/>
      <c r="H179" s="1514"/>
      <c r="I179" s="1514"/>
      <c r="J179" s="1514"/>
      <c r="K179" s="1514"/>
      <c r="L179" s="1514"/>
      <c r="M179" s="1514"/>
      <c r="N179" s="1514"/>
      <c r="O179" s="1514"/>
      <c r="P179" s="1514"/>
      <c r="Q179" s="1514"/>
      <c r="R179" s="1514"/>
      <c r="S179" s="1514"/>
      <c r="T179" s="1514"/>
      <c r="U179" s="1514"/>
      <c r="V179" s="1514"/>
      <c r="W179" s="1514"/>
    </row>
    <row r="180" customFormat="false" ht="12" hidden="false" customHeight="true" outlineLevel="0" collapsed="false">
      <c r="A180" s="1514"/>
      <c r="B180" s="1514"/>
      <c r="C180" s="1514"/>
      <c r="D180" s="1514"/>
      <c r="E180" s="1514"/>
      <c r="F180" s="1514"/>
      <c r="G180" s="1514"/>
      <c r="H180" s="1514"/>
      <c r="I180" s="1514"/>
      <c r="J180" s="1514"/>
      <c r="K180" s="1514"/>
      <c r="L180" s="1514"/>
      <c r="M180" s="1514"/>
      <c r="N180" s="1514"/>
      <c r="O180" s="1514"/>
      <c r="P180" s="1514"/>
      <c r="Q180" s="1514"/>
      <c r="R180" s="1514"/>
      <c r="S180" s="1514"/>
      <c r="T180" s="1514"/>
      <c r="U180" s="1514"/>
      <c r="V180" s="1514"/>
      <c r="W180" s="1514"/>
    </row>
    <row r="181" customFormat="false" ht="12" hidden="false" customHeight="true" outlineLevel="0" collapsed="false">
      <c r="A181" s="1514"/>
      <c r="B181" s="1514"/>
      <c r="C181" s="1514"/>
      <c r="D181" s="1514"/>
      <c r="E181" s="1514"/>
      <c r="F181" s="1514"/>
      <c r="G181" s="1514"/>
      <c r="H181" s="1514"/>
      <c r="I181" s="1514"/>
      <c r="J181" s="1514"/>
      <c r="K181" s="1514"/>
      <c r="L181" s="1514"/>
      <c r="M181" s="1514"/>
      <c r="N181" s="1514"/>
      <c r="O181" s="1514"/>
      <c r="P181" s="1514"/>
      <c r="Q181" s="1514"/>
      <c r="R181" s="1514"/>
      <c r="S181" s="1514"/>
      <c r="T181" s="1514"/>
      <c r="U181" s="1514"/>
      <c r="V181" s="1514"/>
      <c r="W181" s="1514"/>
    </row>
    <row r="182" customFormat="false" ht="12" hidden="false" customHeight="true" outlineLevel="0" collapsed="false">
      <c r="A182" s="1514"/>
      <c r="B182" s="1514"/>
      <c r="C182" s="1514"/>
      <c r="D182" s="1514"/>
      <c r="E182" s="1514"/>
      <c r="F182" s="1514"/>
      <c r="G182" s="1514"/>
      <c r="H182" s="1514"/>
      <c r="I182" s="1514"/>
      <c r="J182" s="1514"/>
      <c r="K182" s="1514"/>
      <c r="L182" s="1514"/>
      <c r="M182" s="1514"/>
      <c r="N182" s="1514"/>
      <c r="O182" s="1514"/>
      <c r="P182" s="1514"/>
      <c r="Q182" s="1514"/>
      <c r="R182" s="1514"/>
      <c r="S182" s="1514"/>
      <c r="T182" s="1514"/>
      <c r="U182" s="1514"/>
      <c r="V182" s="1514"/>
      <c r="W182" s="1514"/>
    </row>
    <row r="183" customFormat="false" ht="12" hidden="false" customHeight="true" outlineLevel="0" collapsed="false">
      <c r="A183" s="1514"/>
      <c r="B183" s="1514" t="s">
        <v>1488</v>
      </c>
      <c r="C183" s="1514" t="s">
        <v>1672</v>
      </c>
      <c r="D183" s="1514" t="s">
        <v>1673</v>
      </c>
      <c r="E183" s="1514" t="s">
        <v>1674</v>
      </c>
      <c r="F183" s="1514" t="s">
        <v>1675</v>
      </c>
      <c r="G183" s="1514"/>
      <c r="H183" s="1514"/>
      <c r="I183" s="1514"/>
      <c r="J183" s="1514"/>
      <c r="K183" s="1514"/>
      <c r="L183" s="1514"/>
      <c r="M183" s="1514"/>
      <c r="N183" s="1514"/>
      <c r="O183" s="1514"/>
      <c r="P183" s="1514"/>
      <c r="Q183" s="1514"/>
      <c r="R183" s="1514"/>
      <c r="S183" s="1514"/>
      <c r="T183" s="1514"/>
      <c r="U183" s="1514"/>
      <c r="V183" s="1514"/>
      <c r="W183" s="1514"/>
    </row>
    <row r="184" customFormat="false" ht="12" hidden="false" customHeight="true" outlineLevel="0" collapsed="false">
      <c r="A184" s="1514" t="str">
        <f aca="false">IF('P&amp;L'!E14="y","Net Surplus Margin","Net Profit Margin")</f>
        <v>Net Profit Margin</v>
      </c>
      <c r="B184" s="1514" t="n">
        <f aca="false">'P&amp;L'!BJ47</f>
        <v>-0.391083772417465</v>
      </c>
      <c r="C184" s="1514" t="n">
        <f aca="false">'P&amp;L'!BK47</f>
        <v>0.132475552009205</v>
      </c>
      <c r="D184" s="1514" t="n">
        <f aca="false">'P&amp;L'!BL47</f>
        <v>0.251855985781431</v>
      </c>
      <c r="E184" s="1514" t="n">
        <f aca="false">'P&amp;L'!BM47</f>
        <v>0.267798050157786</v>
      </c>
      <c r="F184" s="1514" t="n">
        <f aca="false">'P&amp;L'!BN47</f>
        <v>0.281320268599418</v>
      </c>
      <c r="G184" s="1514"/>
      <c r="H184" s="1514"/>
      <c r="I184" s="1514"/>
      <c r="J184" s="1514"/>
      <c r="K184" s="1514"/>
      <c r="L184" s="1514"/>
      <c r="M184" s="1514"/>
      <c r="N184" s="1514"/>
      <c r="O184" s="1514"/>
      <c r="P184" s="1514"/>
      <c r="Q184" s="1514"/>
      <c r="R184" s="1514"/>
      <c r="S184" s="1514"/>
      <c r="T184" s="1514"/>
      <c r="U184" s="1514"/>
      <c r="V184" s="1514"/>
      <c r="W184" s="1514"/>
    </row>
    <row r="185" customFormat="false" ht="12" hidden="false" customHeight="true" outlineLevel="0" collapsed="false">
      <c r="A185" s="1514" t="str">
        <f aca="false">IF('P&amp;L'!E14="y","EBITDA to Surplus","EBITDA to Revenue")</f>
        <v>EBITDA to Revenue</v>
      </c>
      <c r="B185" s="1514" t="n">
        <f aca="false">'Tables 5Y'!EU12</f>
        <v>0</v>
      </c>
      <c r="C185" s="1514" t="n">
        <f aca="false">'Tables 5Y'!EV12</f>
        <v>0</v>
      </c>
      <c r="D185" s="1514" t="n">
        <f aca="false">'Tables 5Y'!EW12</f>
        <v>0</v>
      </c>
      <c r="E185" s="1514" t="n">
        <f aca="false">'Tables 5Y'!EX12</f>
        <v>0</v>
      </c>
      <c r="F185" s="1514" t="n">
        <f aca="false">'Tables 5Y'!EY12</f>
        <v>0</v>
      </c>
      <c r="G185" s="1514"/>
      <c r="H185" s="1514"/>
      <c r="I185" s="1514"/>
      <c r="J185" s="1514"/>
      <c r="K185" s="1514"/>
      <c r="L185" s="1514"/>
      <c r="M185" s="1514"/>
      <c r="N185" s="1514"/>
      <c r="O185" s="1514"/>
      <c r="P185" s="1514"/>
      <c r="Q185" s="1514"/>
      <c r="R185" s="1514"/>
      <c r="S185" s="1514"/>
      <c r="T185" s="1514"/>
      <c r="U185" s="1514"/>
      <c r="V185" s="1514"/>
      <c r="W185" s="1514"/>
    </row>
    <row r="186" customFormat="false" ht="12" hidden="false" customHeight="true" outlineLevel="0" collapsed="false">
      <c r="A186" s="1514" t="s">
        <v>2071</v>
      </c>
      <c r="B186" s="1514" t="n">
        <f aca="false">'Balance Sheet'!BJ25/'Balance Sheet'!BJ14</f>
        <v>0.779557499671392</v>
      </c>
      <c r="C186" s="1514" t="n">
        <f aca="false">'Balance Sheet'!BK25/'Balance Sheet'!BK14</f>
        <v>0.649703588666422</v>
      </c>
      <c r="D186" s="1514" t="n">
        <f aca="false">'Balance Sheet'!BL25/'Balance Sheet'!BL14</f>
        <v>0.34138044405256</v>
      </c>
      <c r="E186" s="1514" t="n">
        <f aca="false">'Balance Sheet'!BM25/'Balance Sheet'!BM14</f>
        <v>0.210096845544944</v>
      </c>
      <c r="F186" s="1514" t="n">
        <f aca="false">'Balance Sheet'!BN25/'Balance Sheet'!BN14</f>
        <v>0.141820359449206</v>
      </c>
      <c r="G186" s="1514"/>
      <c r="H186" s="1514"/>
      <c r="I186" s="1514"/>
      <c r="J186" s="1514"/>
      <c r="K186" s="1514"/>
      <c r="L186" s="1514"/>
      <c r="M186" s="1514"/>
      <c r="N186" s="1514"/>
      <c r="O186" s="1514"/>
      <c r="P186" s="1514"/>
      <c r="Q186" s="1514"/>
      <c r="R186" s="1514"/>
      <c r="S186" s="1514"/>
      <c r="T186" s="1514"/>
      <c r="U186" s="1514"/>
      <c r="V186" s="1514"/>
      <c r="W186" s="1514"/>
    </row>
    <row r="187" customFormat="false" ht="12" hidden="false" customHeight="true" outlineLevel="0" collapsed="false">
      <c r="A187" s="1514" t="s">
        <v>2072</v>
      </c>
      <c r="B187" s="1514" t="n">
        <f aca="false">'Balance Sheet'!BJ22/'Balance Sheet'!BJ14</f>
        <v>0.0759449794556532</v>
      </c>
      <c r="C187" s="1514" t="n">
        <f aca="false">'Balance Sheet'!BK22/'Balance Sheet'!BK14</f>
        <v>0.140281286563043</v>
      </c>
      <c r="D187" s="1514" t="n">
        <f aca="false">'Balance Sheet'!BL22/'Balance Sheet'!BL14</f>
        <v>0.11715763577754</v>
      </c>
      <c r="E187" s="1514" t="n">
        <f aca="false">'Balance Sheet'!BM22/'Balance Sheet'!BM14</f>
        <v>0.0803715294845606</v>
      </c>
      <c r="F187" s="1514" t="n">
        <f aca="false">'Balance Sheet'!BN22/'Balance Sheet'!BN14</f>
        <v>0.060716448204985</v>
      </c>
      <c r="G187" s="1514"/>
      <c r="H187" s="1514"/>
      <c r="I187" s="1514"/>
      <c r="J187" s="1514"/>
      <c r="K187" s="1514"/>
      <c r="L187" s="1514"/>
      <c r="M187" s="1514"/>
      <c r="N187" s="1514"/>
      <c r="O187" s="1514"/>
      <c r="P187" s="1514"/>
      <c r="Q187" s="1514"/>
      <c r="R187" s="1514"/>
      <c r="S187" s="1514"/>
      <c r="T187" s="1514"/>
      <c r="U187" s="1514"/>
      <c r="V187" s="1514"/>
      <c r="W187" s="1514"/>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9DFF43"/>
    <pageSetUpPr fitToPage="true"/>
  </sheetPr>
  <dimension ref="A1:BQ55"/>
  <sheetViews>
    <sheetView showFormulas="false" showGridLines="true" showRowColHeaders="true" showZeros="true" rightToLeft="false" tabSelected="false" showOutlineSymbols="true" defaultGridColor="true" view="normal" topLeftCell="A1" colorId="64" zoomScale="130" zoomScaleNormal="130" zoomScalePageLayoutView="100" workbookViewId="0">
      <selection pane="topLeft" activeCell="BD52" activeCellId="0" sqref="BD52"/>
    </sheetView>
  </sheetViews>
  <sheetFormatPr defaultColWidth="9.18359375" defaultRowHeight="10.5" customHeight="true" zeroHeight="false" outlineLevelRow="0" outlineLevelCol="0"/>
  <cols>
    <col collapsed="false" customWidth="true" hidden="false" outlineLevel="0" max="1" min="1" style="1520" width="16.82"/>
    <col collapsed="false" customWidth="true" hidden="false" outlineLevel="0" max="2" min="2" style="1134" width="3.73"/>
    <col collapsed="false" customWidth="true" hidden="false" outlineLevel="0" max="4" min="3" style="1134" width="8.18"/>
    <col collapsed="false" customWidth="true" hidden="false" outlineLevel="0" max="38" min="5" style="1134" width="9"/>
    <col collapsed="false" customWidth="true" hidden="false" outlineLevel="0" max="62" min="39" style="1134" width="9.82"/>
    <col collapsed="false" customWidth="true" hidden="false" outlineLevel="0" max="63" min="63" style="1134" width="9.54"/>
    <col collapsed="false" customWidth="true" hidden="false" outlineLevel="0" max="65" min="64" style="1134" width="9.82"/>
    <col collapsed="false" customWidth="true" hidden="false" outlineLevel="0" max="67" min="66" style="1134" width="11.18"/>
    <col collapsed="false" customWidth="true" hidden="false" outlineLevel="0" max="68" min="68" style="1134" width="16.82"/>
    <col collapsed="false" customWidth="false" hidden="true" outlineLevel="0" max="69" min="69" style="1134" width="9.18"/>
    <col collapsed="false" customWidth="false" hidden="false" outlineLevel="0" max="16384" min="70" style="1134" width="9.18"/>
  </cols>
  <sheetData>
    <row r="1" customFormat="false" ht="10.5" hidden="false" customHeight="true" outlineLevel="0" collapsed="false">
      <c r="A1" s="1521" t="s">
        <v>2073</v>
      </c>
      <c r="B1" s="1522" t="n">
        <v>0.15</v>
      </c>
      <c r="C1" s="1523"/>
      <c r="D1" s="1524"/>
      <c r="E1" s="1524"/>
      <c r="F1" s="1524"/>
      <c r="G1" s="1524"/>
      <c r="H1" s="1524"/>
      <c r="I1" s="1524"/>
      <c r="J1" s="1524"/>
      <c r="K1" s="1524"/>
      <c r="L1" s="1524"/>
      <c r="M1" s="1524"/>
      <c r="N1" s="1525"/>
      <c r="O1" s="1526"/>
      <c r="P1" s="1524"/>
      <c r="Q1" s="1524"/>
      <c r="R1" s="1524"/>
      <c r="S1" s="1524"/>
      <c r="T1" s="1524"/>
      <c r="U1" s="1523"/>
      <c r="V1" s="1523"/>
      <c r="W1" s="1523"/>
      <c r="X1" s="1523"/>
      <c r="Y1" s="1523"/>
      <c r="Z1" s="1527"/>
      <c r="AA1" s="1528"/>
      <c r="AB1" s="1523"/>
      <c r="AC1" s="1523"/>
      <c r="AD1" s="1523"/>
      <c r="AE1" s="1523"/>
      <c r="AF1" s="1523"/>
      <c r="AG1" s="1523"/>
      <c r="AH1" s="1523"/>
      <c r="AI1" s="1523"/>
      <c r="AJ1" s="1523"/>
      <c r="AK1" s="1523"/>
      <c r="AL1" s="1527"/>
      <c r="AM1" s="1528"/>
      <c r="AN1" s="1523"/>
      <c r="AO1" s="1523"/>
      <c r="AP1" s="1523"/>
      <c r="AQ1" s="1523"/>
      <c r="AR1" s="1523"/>
      <c r="AS1" s="1523"/>
      <c r="AT1" s="1523"/>
      <c r="AU1" s="1523"/>
      <c r="AV1" s="1523"/>
      <c r="AW1" s="1523"/>
      <c r="AX1" s="1527"/>
      <c r="AY1" s="1528"/>
      <c r="AZ1" s="1523"/>
      <c r="BA1" s="1523"/>
      <c r="BB1" s="1523"/>
      <c r="BC1" s="1523"/>
      <c r="BD1" s="1523"/>
      <c r="BE1" s="1523"/>
      <c r="BF1" s="1523"/>
      <c r="BG1" s="1523"/>
      <c r="BH1" s="1523"/>
      <c r="BI1" s="1523"/>
      <c r="BJ1" s="1523"/>
      <c r="BK1" s="1528"/>
      <c r="BL1" s="1529"/>
      <c r="BM1" s="1529"/>
      <c r="BN1" s="1529"/>
      <c r="BO1" s="1529"/>
      <c r="BP1" s="1527"/>
      <c r="BQ1" s="1527"/>
    </row>
    <row r="2" customFormat="false" ht="10.5" hidden="false" customHeight="true" outlineLevel="0" collapsed="false">
      <c r="A2" s="1530" t="s">
        <v>2074</v>
      </c>
      <c r="B2" s="1531" t="n">
        <v>0.15</v>
      </c>
      <c r="E2" s="1466"/>
      <c r="F2" s="1466"/>
      <c r="G2" s="1466"/>
      <c r="H2" s="1466"/>
      <c r="I2" s="1466"/>
      <c r="J2" s="1466"/>
      <c r="K2" s="1466"/>
      <c r="L2" s="1466"/>
      <c r="M2" s="1466"/>
      <c r="N2" s="1532"/>
      <c r="O2" s="1533"/>
      <c r="P2" s="1466"/>
      <c r="Q2" s="1466"/>
      <c r="R2" s="1466"/>
      <c r="S2" s="1466"/>
      <c r="T2" s="1466"/>
      <c r="Z2" s="1534"/>
      <c r="AA2" s="1535"/>
      <c r="AL2" s="1534"/>
      <c r="AM2" s="1535"/>
      <c r="AX2" s="1534"/>
      <c r="AY2" s="1535"/>
      <c r="BK2" s="1535"/>
      <c r="BL2" s="1536"/>
      <c r="BM2" s="1536"/>
      <c r="BN2" s="1536"/>
      <c r="BO2" s="1536"/>
      <c r="BP2" s="1534"/>
      <c r="BQ2" s="1534"/>
    </row>
    <row r="3" customFormat="false" ht="10.5" hidden="false" customHeight="true" outlineLevel="0" collapsed="false">
      <c r="A3" s="1537"/>
      <c r="C3" s="1466"/>
      <c r="D3" s="1466"/>
      <c r="E3" s="1466"/>
      <c r="F3" s="1466"/>
      <c r="G3" s="1466"/>
      <c r="H3" s="1466"/>
      <c r="I3" s="1466"/>
      <c r="J3" s="1466"/>
      <c r="K3" s="1466"/>
      <c r="L3" s="1466"/>
      <c r="M3" s="1466"/>
      <c r="N3" s="1532"/>
      <c r="O3" s="1533"/>
      <c r="P3" s="1466"/>
      <c r="Q3" s="1466"/>
      <c r="R3" s="1466"/>
      <c r="S3" s="1466"/>
      <c r="T3" s="1466"/>
      <c r="Z3" s="1534"/>
      <c r="AA3" s="1535"/>
      <c r="AL3" s="1534"/>
      <c r="AM3" s="1535"/>
      <c r="AX3" s="1534"/>
      <c r="AY3" s="1535"/>
      <c r="BK3" s="1535"/>
      <c r="BL3" s="1536"/>
      <c r="BM3" s="1536"/>
      <c r="BN3" s="1536"/>
      <c r="BO3" s="1536"/>
      <c r="BP3" s="1534"/>
      <c r="BQ3" s="1534"/>
    </row>
    <row r="4" customFormat="false" ht="10.5" hidden="false" customHeight="true" outlineLevel="0" collapsed="false">
      <c r="A4" s="1538" t="s">
        <v>2075</v>
      </c>
      <c r="B4" s="1539"/>
      <c r="C4" s="1540" t="s">
        <v>1476</v>
      </c>
      <c r="D4" s="1541" t="s">
        <v>1477</v>
      </c>
      <c r="E4" s="1541" t="s">
        <v>1478</v>
      </c>
      <c r="F4" s="1541" t="s">
        <v>1479</v>
      </c>
      <c r="G4" s="1541" t="s">
        <v>1480</v>
      </c>
      <c r="H4" s="1541" t="s">
        <v>1481</v>
      </c>
      <c r="I4" s="1541" t="s">
        <v>1482</v>
      </c>
      <c r="J4" s="1541" t="s">
        <v>1483</v>
      </c>
      <c r="K4" s="1541" t="s">
        <v>1484</v>
      </c>
      <c r="L4" s="1541" t="s">
        <v>1485</v>
      </c>
      <c r="M4" s="1541" t="s">
        <v>1486</v>
      </c>
      <c r="N4" s="1542" t="s">
        <v>1487</v>
      </c>
      <c r="O4" s="1540" t="s">
        <v>1622</v>
      </c>
      <c r="P4" s="1541" t="s">
        <v>1623</v>
      </c>
      <c r="Q4" s="1541" t="s">
        <v>1624</v>
      </c>
      <c r="R4" s="1541" t="s">
        <v>1625</v>
      </c>
      <c r="S4" s="1541" t="s">
        <v>1626</v>
      </c>
      <c r="T4" s="1541" t="s">
        <v>1627</v>
      </c>
      <c r="U4" s="1543" t="s">
        <v>1628</v>
      </c>
      <c r="V4" s="1543" t="s">
        <v>1629</v>
      </c>
      <c r="W4" s="1543" t="s">
        <v>1630</v>
      </c>
      <c r="X4" s="1543" t="s">
        <v>1631</v>
      </c>
      <c r="Y4" s="1543" t="s">
        <v>1632</v>
      </c>
      <c r="Z4" s="1544" t="s">
        <v>1633</v>
      </c>
      <c r="AA4" s="1545" t="s">
        <v>1634</v>
      </c>
      <c r="AB4" s="1543" t="s">
        <v>1635</v>
      </c>
      <c r="AC4" s="1543" t="s">
        <v>1636</v>
      </c>
      <c r="AD4" s="1543" t="s">
        <v>1637</v>
      </c>
      <c r="AE4" s="1543" t="s">
        <v>1638</v>
      </c>
      <c r="AF4" s="1543" t="s">
        <v>1639</v>
      </c>
      <c r="AG4" s="1543" t="s">
        <v>1640</v>
      </c>
      <c r="AH4" s="1543" t="s">
        <v>1641</v>
      </c>
      <c r="AI4" s="1543" t="s">
        <v>1642</v>
      </c>
      <c r="AJ4" s="1543" t="s">
        <v>1643</v>
      </c>
      <c r="AK4" s="1543" t="s">
        <v>1644</v>
      </c>
      <c r="AL4" s="1544" t="s">
        <v>1645</v>
      </c>
      <c r="AM4" s="1545" t="s">
        <v>1646</v>
      </c>
      <c r="AN4" s="1543" t="s">
        <v>1647</v>
      </c>
      <c r="AO4" s="1543" t="s">
        <v>1648</v>
      </c>
      <c r="AP4" s="1543" t="s">
        <v>1649</v>
      </c>
      <c r="AQ4" s="1543" t="s">
        <v>1650</v>
      </c>
      <c r="AR4" s="1543" t="s">
        <v>1651</v>
      </c>
      <c r="AS4" s="1543" t="s">
        <v>1652</v>
      </c>
      <c r="AT4" s="1543" t="s">
        <v>1653</v>
      </c>
      <c r="AU4" s="1543" t="s">
        <v>1654</v>
      </c>
      <c r="AV4" s="1543" t="s">
        <v>1655</v>
      </c>
      <c r="AW4" s="1543" t="s">
        <v>1656</v>
      </c>
      <c r="AX4" s="1544" t="s">
        <v>1657</v>
      </c>
      <c r="AY4" s="1545" t="s">
        <v>1658</v>
      </c>
      <c r="AZ4" s="1543" t="s">
        <v>1659</v>
      </c>
      <c r="BA4" s="1543" t="s">
        <v>1660</v>
      </c>
      <c r="BB4" s="1543" t="s">
        <v>1661</v>
      </c>
      <c r="BC4" s="1543" t="s">
        <v>1662</v>
      </c>
      <c r="BD4" s="1543" t="s">
        <v>1663</v>
      </c>
      <c r="BE4" s="1543" t="s">
        <v>1664</v>
      </c>
      <c r="BF4" s="1543" t="s">
        <v>1665</v>
      </c>
      <c r="BG4" s="1543" t="s">
        <v>1666</v>
      </c>
      <c r="BH4" s="1543" t="s">
        <v>1667</v>
      </c>
      <c r="BI4" s="1543" t="s">
        <v>1668</v>
      </c>
      <c r="BJ4" s="1543" t="s">
        <v>1669</v>
      </c>
      <c r="BK4" s="1546" t="s">
        <v>1488</v>
      </c>
      <c r="BL4" s="1547" t="s">
        <v>1672</v>
      </c>
      <c r="BM4" s="1547" t="s">
        <v>1673</v>
      </c>
      <c r="BN4" s="1547" t="s">
        <v>1674</v>
      </c>
      <c r="BO4" s="1548" t="s">
        <v>1675</v>
      </c>
      <c r="BP4" s="1549" t="s">
        <v>2075</v>
      </c>
      <c r="BQ4" s="1539"/>
    </row>
    <row r="5" customFormat="false" ht="10.5" hidden="false" customHeight="true" outlineLevel="0" collapsed="false">
      <c r="A5" s="1550" t="s">
        <v>228</v>
      </c>
      <c r="B5" s="1534"/>
      <c r="C5" s="1551" t="n">
        <f aca="false">'P&amp;L'!B19</f>
        <v>0</v>
      </c>
      <c r="D5" s="1552" t="n">
        <f aca="false">'P&amp;L'!C19</f>
        <v>0</v>
      </c>
      <c r="E5" s="1552" t="n">
        <f aca="false">'P&amp;L'!D19</f>
        <v>917.14</v>
      </c>
      <c r="F5" s="1552" t="n">
        <f aca="false">'P&amp;L'!E19</f>
        <v>134197.060869048</v>
      </c>
      <c r="G5" s="1552" t="n">
        <f aca="false">'P&amp;L'!F19</f>
        <v>268394.121738095</v>
      </c>
      <c r="H5" s="1552" t="n">
        <f aca="false">'P&amp;L'!G19</f>
        <v>536788.243476191</v>
      </c>
      <c r="I5" s="1552" t="n">
        <f aca="false">'P&amp;L'!H19</f>
        <v>805182.365214286</v>
      </c>
      <c r="J5" s="1552" t="n">
        <f aca="false">'P&amp;L'!I19</f>
        <v>1073576.48695238</v>
      </c>
      <c r="K5" s="1552" t="n">
        <f aca="false">'P&amp;L'!J19</f>
        <v>1341970.60869048</v>
      </c>
      <c r="L5" s="1552" t="n">
        <f aca="false">'P&amp;L'!K19</f>
        <v>1610364.73042857</v>
      </c>
      <c r="M5" s="1552" t="n">
        <f aca="false">'P&amp;L'!L19</f>
        <v>1878758.85216667</v>
      </c>
      <c r="N5" s="1553" t="n">
        <f aca="false">'P&amp;L'!M19</f>
        <v>2147152.97390476</v>
      </c>
      <c r="O5" s="1554" t="n">
        <f aca="false">'P&amp;L'!N19</f>
        <v>3283123.76912143</v>
      </c>
      <c r="P5" s="1555" t="n">
        <f aca="false">'P&amp;L'!O19</f>
        <v>3647915.29902381</v>
      </c>
      <c r="Q5" s="1555" t="n">
        <f aca="false">'P&amp;L'!P19</f>
        <v>4012706.82892619</v>
      </c>
      <c r="R5" s="1555" t="n">
        <f aca="false">'P&amp;L'!Q19</f>
        <v>4377498.35882857</v>
      </c>
      <c r="S5" s="1555" t="n">
        <f aca="false">'P&amp;L'!R19</f>
        <v>4742289.88873096</v>
      </c>
      <c r="T5" s="1555" t="n">
        <f aca="false">'P&amp;L'!S19</f>
        <v>5107081.41863334</v>
      </c>
      <c r="U5" s="1555" t="n">
        <f aca="false">'P&amp;L'!T19</f>
        <v>5471872.94853572</v>
      </c>
      <c r="V5" s="1555" t="n">
        <f aca="false">'P&amp;L'!U19</f>
        <v>5836664.4784381</v>
      </c>
      <c r="W5" s="1555" t="n">
        <f aca="false">'P&amp;L'!V19</f>
        <v>6201456.00834048</v>
      </c>
      <c r="X5" s="1555" t="n">
        <f aca="false">'P&amp;L'!W19</f>
        <v>6566247.53824285</v>
      </c>
      <c r="Y5" s="1555" t="n">
        <f aca="false">'P&amp;L'!X19</f>
        <v>6931039.06814524</v>
      </c>
      <c r="Z5" s="1556" t="n">
        <f aca="false">'P&amp;L'!Y19</f>
        <v>7295830.59804762</v>
      </c>
      <c r="AA5" s="1557" t="n">
        <f aca="false">'P&amp;L'!Z19</f>
        <v>13928403.869</v>
      </c>
      <c r="AB5" s="1558" t="n">
        <f aca="false">'P&amp;L'!AA19</f>
        <v>13928403.869</v>
      </c>
      <c r="AC5" s="1558" t="n">
        <f aca="false">'P&amp;L'!AB19</f>
        <v>13928403.869</v>
      </c>
      <c r="AD5" s="1558" t="n">
        <f aca="false">'P&amp;L'!AC19</f>
        <v>13928403.869</v>
      </c>
      <c r="AE5" s="1558" t="n">
        <f aca="false">'P&amp;L'!AD19</f>
        <v>13928403.869</v>
      </c>
      <c r="AF5" s="1558" t="n">
        <f aca="false">'P&amp;L'!AE19</f>
        <v>13928403.869</v>
      </c>
      <c r="AG5" s="1558" t="n">
        <f aca="false">'P&amp;L'!AF19</f>
        <v>13928403.869</v>
      </c>
      <c r="AH5" s="1558" t="n">
        <f aca="false">'P&amp;L'!AG19</f>
        <v>13928403.869</v>
      </c>
      <c r="AI5" s="1558" t="n">
        <f aca="false">'P&amp;L'!AH19</f>
        <v>13928403.869</v>
      </c>
      <c r="AJ5" s="1558" t="n">
        <f aca="false">'P&amp;L'!AI19</f>
        <v>13928403.869</v>
      </c>
      <c r="AK5" s="1558" t="n">
        <f aca="false">'P&amp;L'!AJ19</f>
        <v>13928403.869</v>
      </c>
      <c r="AL5" s="1559" t="n">
        <f aca="false">'P&amp;L'!AK19</f>
        <v>13928403.869</v>
      </c>
      <c r="AM5" s="1560" t="n">
        <f aca="false">'P&amp;L'!AL19</f>
        <v>15089104.1914167</v>
      </c>
      <c r="AN5" s="1561" t="n">
        <f aca="false">'P&amp;L'!AM19</f>
        <v>15089104.1914167</v>
      </c>
      <c r="AO5" s="1561" t="n">
        <f aca="false">'P&amp;L'!AN19</f>
        <v>15089104.1914167</v>
      </c>
      <c r="AP5" s="1561" t="n">
        <f aca="false">'P&amp;L'!AO19</f>
        <v>15089104.1914167</v>
      </c>
      <c r="AQ5" s="1561" t="n">
        <f aca="false">'P&amp;L'!AP19</f>
        <v>15089104.1914167</v>
      </c>
      <c r="AR5" s="1561" t="n">
        <f aca="false">'P&amp;L'!AQ19</f>
        <v>15089104.1914167</v>
      </c>
      <c r="AS5" s="1561" t="n">
        <f aca="false">'P&amp;L'!AR19</f>
        <v>15089104.1914167</v>
      </c>
      <c r="AT5" s="1561" t="n">
        <f aca="false">'P&amp;L'!AS19</f>
        <v>15089104.1914167</v>
      </c>
      <c r="AU5" s="1561" t="n">
        <f aca="false">'P&amp;L'!AT19</f>
        <v>15089104.1914167</v>
      </c>
      <c r="AV5" s="1561" t="n">
        <f aca="false">'P&amp;L'!AU19</f>
        <v>15089104.1914167</v>
      </c>
      <c r="AW5" s="1561" t="n">
        <f aca="false">'P&amp;L'!AV19</f>
        <v>15089104.1914167</v>
      </c>
      <c r="AX5" s="1562" t="n">
        <f aca="false">'P&amp;L'!AW19</f>
        <v>15089104.1914167</v>
      </c>
      <c r="AY5" s="1563" t="n">
        <f aca="false">'P&amp;L'!AX19</f>
        <v>16249804.5138333</v>
      </c>
      <c r="AZ5" s="1564" t="n">
        <f aca="false">'P&amp;L'!AY19</f>
        <v>16249804.5138333</v>
      </c>
      <c r="BA5" s="1564" t="n">
        <f aca="false">'P&amp;L'!AZ19</f>
        <v>16249804.5138333</v>
      </c>
      <c r="BB5" s="1564" t="n">
        <f aca="false">'P&amp;L'!BA19</f>
        <v>16249804.5138333</v>
      </c>
      <c r="BC5" s="1564" t="n">
        <f aca="false">'P&amp;L'!BB19</f>
        <v>16249804.5138333</v>
      </c>
      <c r="BD5" s="1564" t="n">
        <f aca="false">'P&amp;L'!BC19</f>
        <v>16249804.5138333</v>
      </c>
      <c r="BE5" s="1564" t="n">
        <f aca="false">'P&amp;L'!BD19</f>
        <v>16249804.5138333</v>
      </c>
      <c r="BF5" s="1564" t="n">
        <f aca="false">'P&amp;L'!BE19</f>
        <v>16249804.5138333</v>
      </c>
      <c r="BG5" s="1564" t="n">
        <f aca="false">'P&amp;L'!BF19</f>
        <v>16249804.5138333</v>
      </c>
      <c r="BH5" s="1564" t="n">
        <f aca="false">'P&amp;L'!BG19</f>
        <v>16249804.5138333</v>
      </c>
      <c r="BI5" s="1564" t="n">
        <f aca="false">'P&amp;L'!BH19</f>
        <v>16249804.5138333</v>
      </c>
      <c r="BJ5" s="1564" t="n">
        <f aca="false">'P&amp;L'!BI19</f>
        <v>16249804.5138333</v>
      </c>
      <c r="BK5" s="1565" t="n">
        <f aca="false">SUM(C5:N5)</f>
        <v>9797302.58344048</v>
      </c>
      <c r="BL5" s="1565" t="n">
        <f aca="false">'P&amp;L'!BK19</f>
        <v>63473726.2030143</v>
      </c>
      <c r="BM5" s="1565" t="n">
        <f aca="false">'P&amp;L'!BL19</f>
        <v>167140846.428</v>
      </c>
      <c r="BN5" s="1565" t="n">
        <f aca="false">'P&amp;L'!BM19</f>
        <v>181069250.297</v>
      </c>
      <c r="BO5" s="1565" t="n">
        <f aca="false">'P&amp;L'!BN19</f>
        <v>194997654.166</v>
      </c>
      <c r="BP5" s="1566" t="s">
        <v>228</v>
      </c>
      <c r="BQ5" s="1534"/>
    </row>
    <row r="6" customFormat="false" ht="10.5" hidden="false" customHeight="true" outlineLevel="0" collapsed="false">
      <c r="A6" s="1550" t="s">
        <v>1908</v>
      </c>
      <c r="B6" s="1534"/>
      <c r="C6" s="1567" t="n">
        <f aca="false">'P&amp;L'!B23</f>
        <v>0</v>
      </c>
      <c r="D6" s="1568" t="n">
        <f aca="false">'P&amp;L'!C23</f>
        <v>0</v>
      </c>
      <c r="E6" s="1568" t="n">
        <f aca="false">'P&amp;L'!D23</f>
        <v>695.983831428571</v>
      </c>
      <c r="F6" s="1568" t="n">
        <f aca="false">'P&amp;L'!E23</f>
        <v>83392.4613399547</v>
      </c>
      <c r="G6" s="1568" t="n">
        <f aca="false">'P&amp;L'!F23</f>
        <v>166784.922679909</v>
      </c>
      <c r="H6" s="1568" t="n">
        <f aca="false">'P&amp;L'!G23</f>
        <v>333569.845359819</v>
      </c>
      <c r="I6" s="1568" t="n">
        <f aca="false">'P&amp;L'!H23</f>
        <v>500354.768039728</v>
      </c>
      <c r="J6" s="1568" t="n">
        <f aca="false">'P&amp;L'!I23</f>
        <v>667139.690719637</v>
      </c>
      <c r="K6" s="1568" t="n">
        <f aca="false">'P&amp;L'!J23</f>
        <v>833924.613399547</v>
      </c>
      <c r="L6" s="1568" t="n">
        <f aca="false">'P&amp;L'!K23</f>
        <v>1000709.53607946</v>
      </c>
      <c r="M6" s="1568" t="n">
        <f aca="false">'P&amp;L'!L23</f>
        <v>1167494.45875937</v>
      </c>
      <c r="N6" s="1569" t="n">
        <f aca="false">'P&amp;L'!M23</f>
        <v>1334279.38143928</v>
      </c>
      <c r="O6" s="1570" t="n">
        <f aca="false">'P&amp;L'!N23</f>
        <v>1650797.45119479</v>
      </c>
      <c r="P6" s="1571" t="n">
        <f aca="false">'P&amp;L'!O23</f>
        <v>1834219.39021643</v>
      </c>
      <c r="Q6" s="1571" t="n">
        <f aca="false">'P&amp;L'!P23</f>
        <v>2017641.32923807</v>
      </c>
      <c r="R6" s="1571" t="n">
        <f aca="false">'P&amp;L'!Q23</f>
        <v>2201063.26825972</v>
      </c>
      <c r="S6" s="1571" t="n">
        <f aca="false">'P&amp;L'!R23</f>
        <v>2384485.20728136</v>
      </c>
      <c r="T6" s="1571" t="n">
        <f aca="false">'P&amp;L'!S23</f>
        <v>2567907.146303</v>
      </c>
      <c r="U6" s="1571" t="n">
        <f aca="false">'P&amp;L'!T23</f>
        <v>2751329.08532465</v>
      </c>
      <c r="V6" s="1571" t="n">
        <f aca="false">'P&amp;L'!U23</f>
        <v>2934751.02434629</v>
      </c>
      <c r="W6" s="1571" t="n">
        <f aca="false">'P&amp;L'!V23</f>
        <v>3118172.96336793</v>
      </c>
      <c r="X6" s="1571" t="n">
        <f aca="false">'P&amp;L'!W23</f>
        <v>3301594.90238957</v>
      </c>
      <c r="Y6" s="1571" t="n">
        <f aca="false">'P&amp;L'!X23</f>
        <v>3485016.84141122</v>
      </c>
      <c r="Z6" s="1572" t="n">
        <f aca="false">'P&amp;L'!Y23</f>
        <v>3668438.78043286</v>
      </c>
      <c r="AA6" s="1573" t="n">
        <f aca="false">'P&amp;L'!Z23</f>
        <v>6780742.54138484</v>
      </c>
      <c r="AB6" s="1574" t="n">
        <f aca="false">'P&amp;L'!AA23</f>
        <v>6780742.54138484</v>
      </c>
      <c r="AC6" s="1574" t="n">
        <f aca="false">'P&amp;L'!AB23</f>
        <v>6780742.54138484</v>
      </c>
      <c r="AD6" s="1574" t="n">
        <f aca="false">'P&amp;L'!AC23</f>
        <v>6780742.54138484</v>
      </c>
      <c r="AE6" s="1574" t="n">
        <f aca="false">'P&amp;L'!AD23</f>
        <v>6780742.54138484</v>
      </c>
      <c r="AF6" s="1574" t="n">
        <f aca="false">'P&amp;L'!AE23</f>
        <v>6780742.54138484</v>
      </c>
      <c r="AG6" s="1574" t="n">
        <f aca="false">'P&amp;L'!AF23</f>
        <v>6780742.54138484</v>
      </c>
      <c r="AH6" s="1574" t="n">
        <f aca="false">'P&amp;L'!AG23</f>
        <v>6780742.54138484</v>
      </c>
      <c r="AI6" s="1574" t="n">
        <f aca="false">'P&amp;L'!AH23</f>
        <v>6780742.54138484</v>
      </c>
      <c r="AJ6" s="1574" t="n">
        <f aca="false">'P&amp;L'!AI23</f>
        <v>6780742.54138484</v>
      </c>
      <c r="AK6" s="1574" t="n">
        <f aca="false">'P&amp;L'!AJ23</f>
        <v>6780742.54138484</v>
      </c>
      <c r="AL6" s="1575" t="n">
        <f aca="false">'P&amp;L'!AK23</f>
        <v>6780742.54138484</v>
      </c>
      <c r="AM6" s="1576" t="n">
        <f aca="false">'P&amp;L'!AL23</f>
        <v>7141717.21701218</v>
      </c>
      <c r="AN6" s="1577" t="n">
        <f aca="false">'P&amp;L'!AM23</f>
        <v>7141717.21701218</v>
      </c>
      <c r="AO6" s="1577" t="n">
        <f aca="false">'P&amp;L'!AN23</f>
        <v>7141717.21701218</v>
      </c>
      <c r="AP6" s="1577" t="n">
        <f aca="false">'P&amp;L'!AO23</f>
        <v>7141717.21701218</v>
      </c>
      <c r="AQ6" s="1577" t="n">
        <f aca="false">'P&amp;L'!AP23</f>
        <v>7141717.21701218</v>
      </c>
      <c r="AR6" s="1577" t="n">
        <f aca="false">'P&amp;L'!AQ23</f>
        <v>7141717.21701218</v>
      </c>
      <c r="AS6" s="1577" t="n">
        <f aca="false">'P&amp;L'!AR23</f>
        <v>7141717.21701218</v>
      </c>
      <c r="AT6" s="1577" t="n">
        <f aca="false">'P&amp;L'!AS23</f>
        <v>7141717.21701218</v>
      </c>
      <c r="AU6" s="1577" t="n">
        <f aca="false">'P&amp;L'!AT23</f>
        <v>7141717.21701218</v>
      </c>
      <c r="AV6" s="1577" t="n">
        <f aca="false">'P&amp;L'!AU23</f>
        <v>7141717.21701218</v>
      </c>
      <c r="AW6" s="1577" t="n">
        <f aca="false">'P&amp;L'!AV23</f>
        <v>7141717.21701218</v>
      </c>
      <c r="AX6" s="1578" t="n">
        <f aca="false">'P&amp;L'!AW23</f>
        <v>7141717.21701218</v>
      </c>
      <c r="AY6" s="1579" t="n">
        <f aca="false">'P&amp;L'!AX23</f>
        <v>7502691.89263952</v>
      </c>
      <c r="AZ6" s="1580" t="n">
        <f aca="false">'P&amp;L'!AY23</f>
        <v>7502691.89263952</v>
      </c>
      <c r="BA6" s="1580" t="n">
        <f aca="false">'P&amp;L'!AZ23</f>
        <v>7502691.89263952</v>
      </c>
      <c r="BB6" s="1580" t="n">
        <f aca="false">'P&amp;L'!BA23</f>
        <v>7502691.89263952</v>
      </c>
      <c r="BC6" s="1580" t="n">
        <f aca="false">'P&amp;L'!BB23</f>
        <v>7502691.89263952</v>
      </c>
      <c r="BD6" s="1580" t="n">
        <f aca="false">'P&amp;L'!BC23</f>
        <v>7502691.89263952</v>
      </c>
      <c r="BE6" s="1580" t="n">
        <f aca="false">'P&amp;L'!BD23</f>
        <v>7502691.89263952</v>
      </c>
      <c r="BF6" s="1580" t="n">
        <f aca="false">'P&amp;L'!BE23</f>
        <v>7502691.89263952</v>
      </c>
      <c r="BG6" s="1580" t="n">
        <f aca="false">'P&amp;L'!BF23</f>
        <v>7502691.89263952</v>
      </c>
      <c r="BH6" s="1580" t="n">
        <f aca="false">'P&amp;L'!BG23</f>
        <v>7502691.89263952</v>
      </c>
      <c r="BI6" s="1580" t="n">
        <f aca="false">'P&amp;L'!BH23</f>
        <v>7502691.89263952</v>
      </c>
      <c r="BJ6" s="1580" t="n">
        <f aca="false">'P&amp;L'!BI23</f>
        <v>7502691.89263952</v>
      </c>
      <c r="BK6" s="1581" t="n">
        <f aca="false">'P&amp;L'!BJ23</f>
        <v>6087649.67781669</v>
      </c>
      <c r="BL6" s="1581" t="n">
        <f aca="false">'P&amp;L'!BK23</f>
        <v>31915417.3897659</v>
      </c>
      <c r="BM6" s="1581" t="n">
        <f aca="false">'P&amp;L'!BL23</f>
        <v>81368910.4966181</v>
      </c>
      <c r="BN6" s="1581" t="n">
        <f aca="false">'P&amp;L'!BM23</f>
        <v>85700606.6041462</v>
      </c>
      <c r="BO6" s="1581" t="n">
        <f aca="false">'P&amp;L'!BN23</f>
        <v>90032302.7116743</v>
      </c>
      <c r="BP6" s="1566" t="s">
        <v>1908</v>
      </c>
      <c r="BQ6" s="1534"/>
    </row>
    <row r="7" customFormat="false" ht="10.5" hidden="false" customHeight="true" outlineLevel="0" collapsed="false">
      <c r="A7" s="1550" t="s">
        <v>1909</v>
      </c>
      <c r="B7" s="1534"/>
      <c r="C7" s="1567" t="n">
        <f aca="false">C5-C6</f>
        <v>0</v>
      </c>
      <c r="D7" s="1568" t="n">
        <f aca="false">D5-D6</f>
        <v>0</v>
      </c>
      <c r="E7" s="1568" t="n">
        <f aca="false">E5-E6</f>
        <v>221.156168571428</v>
      </c>
      <c r="F7" s="1568" t="n">
        <f aca="false">F5-F6</f>
        <v>50804.599529093</v>
      </c>
      <c r="G7" s="1568" t="n">
        <f aca="false">G5-G6</f>
        <v>101609.199058186</v>
      </c>
      <c r="H7" s="1568" t="n">
        <f aca="false">H5-H6</f>
        <v>203218.398116372</v>
      </c>
      <c r="I7" s="1568" t="n">
        <f aca="false">I5-I6</f>
        <v>304827.597174558</v>
      </c>
      <c r="J7" s="1568" t="n">
        <f aca="false">J5-J6</f>
        <v>406436.796232744</v>
      </c>
      <c r="K7" s="1568" t="n">
        <f aca="false">K5-K6</f>
        <v>508045.99529093</v>
      </c>
      <c r="L7" s="1568" t="n">
        <f aca="false">L5-L6</f>
        <v>609655.194349116</v>
      </c>
      <c r="M7" s="1568" t="n">
        <f aca="false">M5-M6</f>
        <v>711264.393407302</v>
      </c>
      <c r="N7" s="1569" t="n">
        <f aca="false">N5-N6</f>
        <v>812873.592465487</v>
      </c>
      <c r="O7" s="1570" t="n">
        <f aca="false">'P&amp;L'!N25</f>
        <v>1632326.31792664</v>
      </c>
      <c r="P7" s="1571" t="n">
        <f aca="false">'P&amp;L'!O25</f>
        <v>1813695.90880738</v>
      </c>
      <c r="Q7" s="1571" t="n">
        <f aca="false">'P&amp;L'!P25</f>
        <v>1995065.49968812</v>
      </c>
      <c r="R7" s="1571" t="n">
        <f aca="false">'P&amp;L'!Q25</f>
        <v>2176435.09056886</v>
      </c>
      <c r="S7" s="1571" t="n">
        <f aca="false">'P&amp;L'!R25</f>
        <v>2357804.6814496</v>
      </c>
      <c r="T7" s="1571" t="n">
        <f aca="false">'P&amp;L'!S25</f>
        <v>2539174.27233033</v>
      </c>
      <c r="U7" s="1571" t="n">
        <f aca="false">'P&amp;L'!T25</f>
        <v>2720543.86321107</v>
      </c>
      <c r="V7" s="1571" t="n">
        <f aca="false">'P&amp;L'!U25</f>
        <v>2901913.45409181</v>
      </c>
      <c r="W7" s="1571" t="n">
        <f aca="false">'P&amp;L'!V25</f>
        <v>3083283.04497255</v>
      </c>
      <c r="X7" s="1571" t="n">
        <f aca="false">'P&amp;L'!W25</f>
        <v>3264652.63585328</v>
      </c>
      <c r="Y7" s="1571" t="n">
        <f aca="false">'P&amp;L'!X25</f>
        <v>3446022.22673402</v>
      </c>
      <c r="Z7" s="1572" t="n">
        <f aca="false">'P&amp;L'!Y25</f>
        <v>3627391.81761476</v>
      </c>
      <c r="AA7" s="1573" t="n">
        <f aca="false">'P&amp;L'!Z25</f>
        <v>7147661.32761515</v>
      </c>
      <c r="AB7" s="1574" t="n">
        <f aca="false">'P&amp;L'!AA25</f>
        <v>7147661.32761515</v>
      </c>
      <c r="AC7" s="1574" t="n">
        <f aca="false">'P&amp;L'!AB25</f>
        <v>7147661.32761515</v>
      </c>
      <c r="AD7" s="1574" t="n">
        <f aca="false">'P&amp;L'!AC25</f>
        <v>7147661.32761515</v>
      </c>
      <c r="AE7" s="1574" t="n">
        <f aca="false">'P&amp;L'!AD25</f>
        <v>7147661.32761515</v>
      </c>
      <c r="AF7" s="1574" t="n">
        <f aca="false">'P&amp;L'!AE25</f>
        <v>7147661.32761515</v>
      </c>
      <c r="AG7" s="1574" t="n">
        <f aca="false">'P&amp;L'!AF25</f>
        <v>7147661.32761515</v>
      </c>
      <c r="AH7" s="1574" t="n">
        <f aca="false">'P&amp;L'!AG25</f>
        <v>7147661.32761515</v>
      </c>
      <c r="AI7" s="1574" t="n">
        <f aca="false">'P&amp;L'!AH25</f>
        <v>7147661.32761515</v>
      </c>
      <c r="AJ7" s="1574" t="n">
        <f aca="false">'P&amp;L'!AI25</f>
        <v>7147661.32761515</v>
      </c>
      <c r="AK7" s="1574" t="n">
        <f aca="false">'P&amp;L'!AJ25</f>
        <v>7147661.32761515</v>
      </c>
      <c r="AL7" s="1575" t="n">
        <f aca="false">'P&amp;L'!AK25</f>
        <v>7147661.32761515</v>
      </c>
      <c r="AM7" s="1576" t="n">
        <f aca="false">'P&amp;L'!AL25</f>
        <v>7947386.97440448</v>
      </c>
      <c r="AN7" s="1577" t="n">
        <f aca="false">'P&amp;L'!AM25</f>
        <v>7947386.97440448</v>
      </c>
      <c r="AO7" s="1577" t="n">
        <f aca="false">'P&amp;L'!AN25</f>
        <v>7947386.97440448</v>
      </c>
      <c r="AP7" s="1577" t="n">
        <f aca="false">'P&amp;L'!AO25</f>
        <v>7947386.97440448</v>
      </c>
      <c r="AQ7" s="1577" t="n">
        <f aca="false">'P&amp;L'!AP25</f>
        <v>7947386.97440448</v>
      </c>
      <c r="AR7" s="1577" t="n">
        <f aca="false">'P&amp;L'!AQ25</f>
        <v>7947386.97440448</v>
      </c>
      <c r="AS7" s="1577" t="n">
        <f aca="false">'P&amp;L'!AR25</f>
        <v>7947386.97440448</v>
      </c>
      <c r="AT7" s="1577" t="n">
        <f aca="false">'P&amp;L'!AS25</f>
        <v>7947386.97440448</v>
      </c>
      <c r="AU7" s="1577" t="n">
        <f aca="false">'P&amp;L'!AT25</f>
        <v>7947386.97440448</v>
      </c>
      <c r="AV7" s="1577" t="n">
        <f aca="false">'P&amp;L'!AU25</f>
        <v>7947386.97440448</v>
      </c>
      <c r="AW7" s="1577" t="n">
        <f aca="false">'P&amp;L'!AV25</f>
        <v>7947386.97440448</v>
      </c>
      <c r="AX7" s="1578" t="n">
        <f aca="false">'P&amp;L'!AW25</f>
        <v>7947386.97440448</v>
      </c>
      <c r="AY7" s="1579" t="n">
        <f aca="false">'P&amp;L'!AX25</f>
        <v>8747112.6211938</v>
      </c>
      <c r="AZ7" s="1580" t="n">
        <f aca="false">'P&amp;L'!AY25</f>
        <v>8747112.6211938</v>
      </c>
      <c r="BA7" s="1580" t="n">
        <f aca="false">'P&amp;L'!AZ25</f>
        <v>8747112.6211938</v>
      </c>
      <c r="BB7" s="1580" t="n">
        <f aca="false">'P&amp;L'!BA25</f>
        <v>8747112.6211938</v>
      </c>
      <c r="BC7" s="1580" t="n">
        <f aca="false">'P&amp;L'!BB25</f>
        <v>8747112.6211938</v>
      </c>
      <c r="BD7" s="1580" t="n">
        <f aca="false">'P&amp;L'!BC25</f>
        <v>8747112.6211938</v>
      </c>
      <c r="BE7" s="1580" t="n">
        <f aca="false">'P&amp;L'!BD25</f>
        <v>8747112.6211938</v>
      </c>
      <c r="BF7" s="1580" t="n">
        <f aca="false">'P&amp;L'!BE25</f>
        <v>8747112.6211938</v>
      </c>
      <c r="BG7" s="1580" t="n">
        <f aca="false">'P&amp;L'!BF25</f>
        <v>8747112.6211938</v>
      </c>
      <c r="BH7" s="1580" t="n">
        <f aca="false">'P&amp;L'!BG25</f>
        <v>8747112.6211938</v>
      </c>
      <c r="BI7" s="1580" t="n">
        <f aca="false">'P&amp;L'!BH25</f>
        <v>8747112.6211938</v>
      </c>
      <c r="BJ7" s="1580" t="n">
        <f aca="false">'P&amp;L'!BI25</f>
        <v>8747112.6211938</v>
      </c>
      <c r="BK7" s="1581" t="n">
        <f aca="false">'P&amp;L'!BJ25</f>
        <v>3708735.76562379</v>
      </c>
      <c r="BL7" s="1581" t="n">
        <f aca="false">'P&amp;L'!BK25</f>
        <v>31558308.8132484</v>
      </c>
      <c r="BM7" s="1581" t="n">
        <f aca="false">'P&amp;L'!BL25</f>
        <v>85771935.9313818</v>
      </c>
      <c r="BN7" s="1581" t="n">
        <f aca="false">'P&amp;L'!BM25</f>
        <v>95368643.6928538</v>
      </c>
      <c r="BO7" s="1581" t="n">
        <f aca="false">'P&amp;L'!BN25</f>
        <v>104965351.454326</v>
      </c>
      <c r="BP7" s="1566" t="s">
        <v>1909</v>
      </c>
      <c r="BQ7" s="1534"/>
    </row>
    <row r="8" customFormat="false" ht="10.5" hidden="false" customHeight="true" outlineLevel="0" collapsed="false">
      <c r="A8" s="1582" t="s">
        <v>2076</v>
      </c>
      <c r="B8" s="1534"/>
      <c r="C8" s="1583" t="str">
        <f aca="false">IF(C5=0,"N/A",C7/C5)</f>
        <v>N/A</v>
      </c>
      <c r="D8" s="1584" t="str">
        <f aca="false">IF(D5=0,"N/A",D7/D5)</f>
        <v>N/A</v>
      </c>
      <c r="E8" s="1584" t="n">
        <f aca="false">IF(E5=0,"N/A",E7/E5)</f>
        <v>0.241136760550656</v>
      </c>
      <c r="F8" s="1584" t="n">
        <f aca="false">IF(F5=0,"N/A",F7/F5)</f>
        <v>0.378582058355728</v>
      </c>
      <c r="G8" s="1584" t="n">
        <f aca="false">IF(G5=0,"N/A",G7/G5)</f>
        <v>0.378582058355728</v>
      </c>
      <c r="H8" s="1584" t="n">
        <f aca="false">IF(H5=0,"N/A",H7/H5)</f>
        <v>0.378582058355728</v>
      </c>
      <c r="I8" s="1584" t="n">
        <f aca="false">IF(I5=0,"N/A",I7/I5)</f>
        <v>0.378582058355728</v>
      </c>
      <c r="J8" s="1584" t="n">
        <f aca="false">IF(J5=0,"N/A",J7/J5)</f>
        <v>0.378582058355728</v>
      </c>
      <c r="K8" s="1584" t="n">
        <f aca="false">IF(K5=0,"N/A",K7/K5)</f>
        <v>0.378582058355728</v>
      </c>
      <c r="L8" s="1584" t="n">
        <f aca="false">IF(L5=0,"N/A",L7/L5)</f>
        <v>0.378582058355728</v>
      </c>
      <c r="M8" s="1584" t="n">
        <f aca="false">IF(M5=0,"N/A",M7/M5)</f>
        <v>0.378582058355728</v>
      </c>
      <c r="N8" s="1585" t="n">
        <f aca="false">IF(N5=0,"N/A",N7/N5)</f>
        <v>0.378582058355728</v>
      </c>
      <c r="O8" s="1586" t="n">
        <f aca="false">IFERROR(O7/O5,"N/A")</f>
        <v>0.497186957518649</v>
      </c>
      <c r="P8" s="1587" t="n">
        <f aca="false">IFERROR(P7/P5,"N/A")</f>
        <v>0.497186957518649</v>
      </c>
      <c r="Q8" s="1587" t="n">
        <f aca="false">IFERROR(Q7/Q5,"N/A")</f>
        <v>0.497186957518649</v>
      </c>
      <c r="R8" s="1587" t="n">
        <f aca="false">IFERROR(R7/R5,"N/A")</f>
        <v>0.497186957518649</v>
      </c>
      <c r="S8" s="1587" t="n">
        <f aca="false">IFERROR(S7/S5,"N/A")</f>
        <v>0.497186957518649</v>
      </c>
      <c r="T8" s="1587" t="n">
        <f aca="false">IFERROR(T7/T5,"N/A")</f>
        <v>0.497186957518649</v>
      </c>
      <c r="U8" s="1587" t="n">
        <f aca="false">IFERROR(U7/U5,"N/A")</f>
        <v>0.497186957518649</v>
      </c>
      <c r="V8" s="1587" t="n">
        <f aca="false">IFERROR(V7/V5,"N/A")</f>
        <v>0.497186957518649</v>
      </c>
      <c r="W8" s="1587" t="n">
        <f aca="false">IFERROR(W7/W5,"N/A")</f>
        <v>0.497186957518649</v>
      </c>
      <c r="X8" s="1587" t="n">
        <f aca="false">IFERROR(X7/X5,"N/A")</f>
        <v>0.497186957518649</v>
      </c>
      <c r="Y8" s="1587" t="n">
        <f aca="false">IFERROR(Y7/Y5,"N/A")</f>
        <v>0.497186957518649</v>
      </c>
      <c r="Z8" s="1588" t="n">
        <f aca="false">IFERROR(Z7/Z5,"N/A")</f>
        <v>0.497186957518649</v>
      </c>
      <c r="AA8" s="1589" t="n">
        <f aca="false">IFERROR(AA7/AA5,"N/A")</f>
        <v>0.51317160206156</v>
      </c>
      <c r="AB8" s="1590" t="str">
        <f aca="false">IFERROR(B7/B5,"N/A")</f>
        <v>N/A</v>
      </c>
      <c r="AC8" s="1590" t="str">
        <f aca="false">IFERROR(A7/A5,"N/A")</f>
        <v>N/A</v>
      </c>
      <c r="AD8" s="1590" t="str">
        <f aca="false">IFERROR(C7/C5,"N/A")</f>
        <v>N/A</v>
      </c>
      <c r="AE8" s="1590" t="str">
        <f aca="false">IFERROR(D7/D5,"N/A")</f>
        <v>N/A</v>
      </c>
      <c r="AF8" s="1590" t="n">
        <f aca="false">IFERROR(E7/E5,"N/A")</f>
        <v>0.241136760550656</v>
      </c>
      <c r="AG8" s="1590" t="n">
        <f aca="false">IFERROR(F7/F5,"N/A")</f>
        <v>0.378582058355728</v>
      </c>
      <c r="AH8" s="1590" t="n">
        <f aca="false">IFERROR(G7/G5,"N/A")</f>
        <v>0.378582058355728</v>
      </c>
      <c r="AI8" s="1590" t="n">
        <f aca="false">IFERROR(H7/H5,"N/A")</f>
        <v>0.378582058355728</v>
      </c>
      <c r="AJ8" s="1590" t="n">
        <f aca="false">IFERROR(I7/I5,"N/A")</f>
        <v>0.378582058355728</v>
      </c>
      <c r="AK8" s="1590" t="n">
        <f aca="false">IFERROR(J7/J5,"N/A")</f>
        <v>0.378582058355728</v>
      </c>
      <c r="AL8" s="1591" t="n">
        <f aca="false">IFERROR(K7/K5,"N/A")</f>
        <v>0.378582058355728</v>
      </c>
      <c r="AM8" s="1592" t="n">
        <f aca="false">IFERROR(L7/L5,"N/A")</f>
        <v>0.378582058355728</v>
      </c>
      <c r="AN8" s="1593" t="n">
        <f aca="false">IFERROR(M7/M5,"N/A")</f>
        <v>0.378582058355728</v>
      </c>
      <c r="AO8" s="1593" t="n">
        <f aca="false">IFERROR(O7/O5,"N/A")</f>
        <v>0.497186957518649</v>
      </c>
      <c r="AP8" s="1593" t="n">
        <f aca="false">IFERROR(P7/P5,"N/A")</f>
        <v>0.497186957518649</v>
      </c>
      <c r="AQ8" s="1593" t="n">
        <f aca="false">IFERROR(Q7/Q5,"N/A")</f>
        <v>0.497186957518649</v>
      </c>
      <c r="AR8" s="1593" t="n">
        <f aca="false">IFERROR(R7/R5,"N/A")</f>
        <v>0.497186957518649</v>
      </c>
      <c r="AS8" s="1593" t="n">
        <f aca="false">IFERROR(S7/S5,"N/A")</f>
        <v>0.497186957518649</v>
      </c>
      <c r="AT8" s="1593" t="n">
        <f aca="false">IFERROR(T7/T5,"N/A")</f>
        <v>0.497186957518649</v>
      </c>
      <c r="AU8" s="1593" t="n">
        <f aca="false">IFERROR(U7/U5,"N/A")</f>
        <v>0.497186957518649</v>
      </c>
      <c r="AV8" s="1593" t="n">
        <f aca="false">IFERROR(V7/V5,"N/A")</f>
        <v>0.497186957518649</v>
      </c>
      <c r="AW8" s="1593" t="n">
        <f aca="false">IFERROR(W7/W5,"N/A")</f>
        <v>0.497186957518649</v>
      </c>
      <c r="AX8" s="1594" t="n">
        <f aca="false">IFERROR(X7/X5,"N/A")</f>
        <v>0.497186957518649</v>
      </c>
      <c r="AY8" s="1595" t="n">
        <f aca="false">IFERROR(Y7/Y5,"N/A")</f>
        <v>0.497186957518649</v>
      </c>
      <c r="AZ8" s="1596" t="n">
        <f aca="false">IFERROR(Z7/Z5,"N/A")</f>
        <v>0.497186957518649</v>
      </c>
      <c r="BA8" s="1596" t="n">
        <f aca="false">IFERROR(AA7/AA5,"N/A")</f>
        <v>0.51317160206156</v>
      </c>
      <c r="BB8" s="1596" t="str">
        <f aca="false">IFERROR(B7/B5,"N/A")</f>
        <v>N/A</v>
      </c>
      <c r="BC8" s="1596" t="str">
        <f aca="false">IFERROR(A7/A5,"N/A")</f>
        <v>N/A</v>
      </c>
      <c r="BD8" s="1596" t="str">
        <f aca="false">IFERROR(C7/C5,"N/A")</f>
        <v>N/A</v>
      </c>
      <c r="BE8" s="1596" t="str">
        <f aca="false">IFERROR(D7/D5,"N/A")</f>
        <v>N/A</v>
      </c>
      <c r="BF8" s="1596" t="n">
        <f aca="false">IFERROR(E7/E5,"N/A")</f>
        <v>0.241136760550656</v>
      </c>
      <c r="BG8" s="1596" t="n">
        <f aca="false">IFERROR(F7/F5,"N/A")</f>
        <v>0.378582058355728</v>
      </c>
      <c r="BH8" s="1596" t="n">
        <f aca="false">IFERROR(G7/G5,"N/A")</f>
        <v>0.378582058355728</v>
      </c>
      <c r="BI8" s="1596" t="n">
        <f aca="false">IFERROR(H7/H5,"N/A")</f>
        <v>0.378582058355728</v>
      </c>
      <c r="BJ8" s="1596" t="n">
        <f aca="false">IFERROR(I7/I5,"N/A")</f>
        <v>0.378582058355728</v>
      </c>
      <c r="BK8" s="1597" t="n">
        <f aca="false">IFERROR(BK7/BK5,"N/A")</f>
        <v>0.378546618728745</v>
      </c>
      <c r="BL8" s="1597" t="n">
        <f aca="false">IFERROR(BL7/BL5,"N/A")</f>
        <v>0.497186957518649</v>
      </c>
      <c r="BM8" s="1597" t="n">
        <f aca="false">IFERROR(BM7/BM5,"N/A")</f>
        <v>0.51317160206156</v>
      </c>
      <c r="BN8" s="1597" t="n">
        <f aca="false">IFERROR(BN7/BN5,"N/A")</f>
        <v>0.526697070520946</v>
      </c>
      <c r="BO8" s="1597" t="n">
        <f aca="false">IFERROR(BO7/BO5,"N/A")</f>
        <v>0.53829032920042</v>
      </c>
      <c r="BP8" s="1598" t="s">
        <v>2076</v>
      </c>
      <c r="BQ8" s="1534"/>
    </row>
    <row r="9" customFormat="false" ht="10.5" hidden="false" customHeight="true" outlineLevel="0" collapsed="false">
      <c r="A9" s="1550" t="s">
        <v>1490</v>
      </c>
      <c r="B9" s="1534"/>
      <c r="C9" s="1567" t="n">
        <f aca="false">'P&amp;L'!B41</f>
        <v>395805.9718</v>
      </c>
      <c r="D9" s="1568" t="n">
        <f aca="false">'P&amp;L'!C41</f>
        <v>412861.9718</v>
      </c>
      <c r="E9" s="1568" t="n">
        <f aca="false">'P&amp;L'!D41</f>
        <v>421481.6858</v>
      </c>
      <c r="F9" s="1568" t="n">
        <f aca="false">'P&amp;L'!E41</f>
        <v>434809.677886905</v>
      </c>
      <c r="G9" s="1568" t="n">
        <f aca="false">'P&amp;L'!F41</f>
        <v>448229.38397381</v>
      </c>
      <c r="H9" s="1568" t="n">
        <f aca="false">'P&amp;L'!G41</f>
        <v>496388.796147619</v>
      </c>
      <c r="I9" s="1568" t="n">
        <f aca="false">'P&amp;L'!H41</f>
        <v>608656.708321429</v>
      </c>
      <c r="J9" s="1568" t="n">
        <f aca="false">'P&amp;L'!I41</f>
        <v>686496.075495238</v>
      </c>
      <c r="K9" s="1568" t="n">
        <f aca="false">'P&amp;L'!J41</f>
        <v>737231.512669048</v>
      </c>
      <c r="L9" s="1568" t="n">
        <f aca="false">'P&amp;L'!K41</f>
        <v>789756.389842857</v>
      </c>
      <c r="M9" s="1568" t="n">
        <f aca="false">'P&amp;L'!L41</f>
        <v>836907.347016667</v>
      </c>
      <c r="N9" s="1569" t="n">
        <f aca="false">'P&amp;L'!M41</f>
        <v>889432.224190476</v>
      </c>
      <c r="O9" s="1570" t="n">
        <f aca="false">'P&amp;L'!N41</f>
        <v>1158254.81769214</v>
      </c>
      <c r="P9" s="1571" t="n">
        <f aca="false">'P&amp;L'!O41</f>
        <v>1247120.43068238</v>
      </c>
      <c r="Q9" s="1571" t="n">
        <f aca="false">'P&amp;L'!P41</f>
        <v>1380758.04367262</v>
      </c>
      <c r="R9" s="1571" t="n">
        <f aca="false">'P&amp;L'!Q41</f>
        <v>1510512.19666286</v>
      </c>
      <c r="S9" s="1571" t="n">
        <f aca="false">'P&amp;L'!R41</f>
        <v>1640266.3496531</v>
      </c>
      <c r="T9" s="1571" t="n">
        <f aca="false">'P&amp;L'!S41</f>
        <v>1770020.50264333</v>
      </c>
      <c r="U9" s="1571" t="n">
        <f aca="false">'P&amp;L'!T41</f>
        <v>1899774.65563357</v>
      </c>
      <c r="V9" s="1571" t="n">
        <f aca="false">'P&amp;L'!U41</f>
        <v>1984756.80862381</v>
      </c>
      <c r="W9" s="1571" t="n">
        <f aca="false">'P&amp;L'!V41</f>
        <v>2021235.96161405</v>
      </c>
      <c r="X9" s="1571" t="n">
        <f aca="false">'P&amp;L'!W41</f>
        <v>2057715.11460429</v>
      </c>
      <c r="Y9" s="1571" t="n">
        <f aca="false">'P&amp;L'!X41</f>
        <v>2094194.26759452</v>
      </c>
      <c r="Z9" s="1572" t="n">
        <f aca="false">'P&amp;L'!Y41</f>
        <v>2130673.42058476</v>
      </c>
      <c r="AA9" s="1573" t="n">
        <f aca="false">'P&amp;L'!Z41</f>
        <v>2918981.3386285</v>
      </c>
      <c r="AB9" s="1574" t="n">
        <f aca="false">'P&amp;L'!AA41</f>
        <v>2918981.3386285</v>
      </c>
      <c r="AC9" s="1574" t="n">
        <f aca="false">'P&amp;L'!AB41</f>
        <v>2918981.3386285</v>
      </c>
      <c r="AD9" s="1574" t="n">
        <f aca="false">'P&amp;L'!AC41</f>
        <v>2918981.3386285</v>
      </c>
      <c r="AE9" s="1574" t="n">
        <f aca="false">'P&amp;L'!AD41</f>
        <v>2918981.3386285</v>
      </c>
      <c r="AF9" s="1574" t="n">
        <f aca="false">'P&amp;L'!AE41</f>
        <v>2918981.3386285</v>
      </c>
      <c r="AG9" s="1574" t="n">
        <f aca="false">'P&amp;L'!AF41</f>
        <v>2918981.3386285</v>
      </c>
      <c r="AH9" s="1574" t="n">
        <f aca="false">'P&amp;L'!AG41</f>
        <v>2918981.3386285</v>
      </c>
      <c r="AI9" s="1574" t="n">
        <f aca="false">'P&amp;L'!AH41</f>
        <v>2918981.3386285</v>
      </c>
      <c r="AJ9" s="1574" t="n">
        <f aca="false">'P&amp;L'!AI41</f>
        <v>2918981.3386285</v>
      </c>
      <c r="AK9" s="1574" t="n">
        <f aca="false">'P&amp;L'!AJ41</f>
        <v>2918981.3386285</v>
      </c>
      <c r="AL9" s="1575" t="n">
        <f aca="false">'P&amp;L'!AK41</f>
        <v>2918981.3386285</v>
      </c>
      <c r="AM9" s="1576" t="n">
        <f aca="false">'P&amp;L'!AL41</f>
        <v>3101582.64745659</v>
      </c>
      <c r="AN9" s="1577" t="n">
        <f aca="false">'P&amp;L'!AM41</f>
        <v>3101582.64745659</v>
      </c>
      <c r="AO9" s="1577" t="n">
        <f aca="false">'P&amp;L'!AN41</f>
        <v>3101582.64745659</v>
      </c>
      <c r="AP9" s="1577" t="n">
        <f aca="false">'P&amp;L'!AO41</f>
        <v>3101582.64745659</v>
      </c>
      <c r="AQ9" s="1577" t="n">
        <f aca="false">'P&amp;L'!AP41</f>
        <v>3101582.64745659</v>
      </c>
      <c r="AR9" s="1577" t="n">
        <f aca="false">'P&amp;L'!AQ41</f>
        <v>3101582.64745659</v>
      </c>
      <c r="AS9" s="1577" t="n">
        <f aca="false">'P&amp;L'!AR41</f>
        <v>3101582.64745659</v>
      </c>
      <c r="AT9" s="1577" t="n">
        <f aca="false">'P&amp;L'!AS41</f>
        <v>3101582.64745659</v>
      </c>
      <c r="AU9" s="1577" t="n">
        <f aca="false">'P&amp;L'!AT41</f>
        <v>3101582.64745659</v>
      </c>
      <c r="AV9" s="1577" t="n">
        <f aca="false">'P&amp;L'!AU41</f>
        <v>3101582.64745659</v>
      </c>
      <c r="AW9" s="1577" t="n">
        <f aca="false">'P&amp;L'!AV41</f>
        <v>3101582.64745659</v>
      </c>
      <c r="AX9" s="1578" t="n">
        <f aca="false">'P&amp;L'!AW41</f>
        <v>3101582.64745659</v>
      </c>
      <c r="AY9" s="1579" t="n">
        <f aca="false">'P&amp;L'!AX41</f>
        <v>3287510.520114</v>
      </c>
      <c r="AZ9" s="1580" t="n">
        <f aca="false">'P&amp;L'!AY41</f>
        <v>3287510.520114</v>
      </c>
      <c r="BA9" s="1580" t="n">
        <f aca="false">'P&amp;L'!AZ41</f>
        <v>3287510.520114</v>
      </c>
      <c r="BB9" s="1580" t="n">
        <f aca="false">'P&amp;L'!BA41</f>
        <v>3287510.520114</v>
      </c>
      <c r="BC9" s="1580" t="n">
        <f aca="false">'P&amp;L'!BB41</f>
        <v>3287510.520114</v>
      </c>
      <c r="BD9" s="1580" t="n">
        <f aca="false">'P&amp;L'!BC41</f>
        <v>3287510.520114</v>
      </c>
      <c r="BE9" s="1580" t="n">
        <f aca="false">'P&amp;L'!BD41</f>
        <v>3287510.520114</v>
      </c>
      <c r="BF9" s="1580" t="n">
        <f aca="false">'P&amp;L'!BE41</f>
        <v>3287510.520114</v>
      </c>
      <c r="BG9" s="1580" t="n">
        <f aca="false">'P&amp;L'!BF41</f>
        <v>3287510.520114</v>
      </c>
      <c r="BH9" s="1580" t="n">
        <f aca="false">'P&amp;L'!BG41</f>
        <v>3287510.520114</v>
      </c>
      <c r="BI9" s="1580" t="n">
        <f aca="false">'P&amp;L'!BH41</f>
        <v>3287510.520114</v>
      </c>
      <c r="BJ9" s="1580" t="n">
        <f aca="false">'P&amp;L'!BI41</f>
        <v>3287510.520114</v>
      </c>
      <c r="BK9" s="1581" t="n">
        <f aca="false">'P&amp;L'!BJ41</f>
        <v>7158057.74494405</v>
      </c>
      <c r="BL9" s="1581" t="n">
        <f aca="false">'P&amp;L'!BK41</f>
        <v>20895282.5696614</v>
      </c>
      <c r="BM9" s="1581" t="n">
        <f aca="false">'P&amp;L'!BL41</f>
        <v>35027776.063542</v>
      </c>
      <c r="BN9" s="1581" t="n">
        <f aca="false">'P&amp;L'!BM41</f>
        <v>37218991.7694791</v>
      </c>
      <c r="BO9" s="1581" t="n">
        <f aca="false">'P&amp;L'!BN41</f>
        <v>39450126.2413681</v>
      </c>
      <c r="BP9" s="1566" t="s">
        <v>1490</v>
      </c>
      <c r="BQ9" s="1534"/>
    </row>
    <row r="10" customFormat="false" ht="10.5" hidden="false" customHeight="true" outlineLevel="0" collapsed="false">
      <c r="A10" s="1550" t="s">
        <v>111</v>
      </c>
      <c r="B10" s="1534"/>
      <c r="C10" s="1567" t="n">
        <f aca="false">'P&amp;L'!B46</f>
        <v>-395805.9718</v>
      </c>
      <c r="D10" s="1568" t="n">
        <f aca="false">'P&amp;L'!C46</f>
        <v>-412861.9718</v>
      </c>
      <c r="E10" s="1568" t="n">
        <f aca="false">'P&amp;L'!D46</f>
        <v>-421260.529631429</v>
      </c>
      <c r="F10" s="1568" t="n">
        <f aca="false">'P&amp;L'!E46</f>
        <v>-384005.078357812</v>
      </c>
      <c r="G10" s="1568" t="n">
        <f aca="false">'P&amp;L'!F46</f>
        <v>-346620.184915624</v>
      </c>
      <c r="H10" s="1568" t="n">
        <f aca="false">'P&amp;L'!G46</f>
        <v>-293170.398031247</v>
      </c>
      <c r="I10" s="1568" t="n">
        <f aca="false">'P&amp;L'!H46</f>
        <v>-329502.211146871</v>
      </c>
      <c r="J10" s="1568" t="n">
        <f aca="false">'P&amp;L'!I46</f>
        <v>-323383.693717655</v>
      </c>
      <c r="K10" s="1568" t="n">
        <f aca="false">'P&amp;L'!J46</f>
        <v>-286581.439850612</v>
      </c>
      <c r="L10" s="1568" t="n">
        <f aca="false">'P&amp;L'!K46</f>
        <v>-252553.470602261</v>
      </c>
      <c r="M10" s="1568" t="n">
        <f aca="false">'P&amp;L'!L46</f>
        <v>-209831.414324076</v>
      </c>
      <c r="N10" s="1569" t="n">
        <f aca="false">'P&amp;L'!M46</f>
        <v>-175631.011098656</v>
      </c>
      <c r="O10" s="1570" t="n">
        <f aca="false">'P&amp;L'!N46</f>
        <v>363802.231401596</v>
      </c>
      <c r="P10" s="1571" t="n">
        <f aca="false">'P&amp;L'!O46</f>
        <v>454675.422910459</v>
      </c>
      <c r="Q10" s="1571" t="n">
        <f aca="false">'P&amp;L'!P46</f>
        <v>500794.329108123</v>
      </c>
      <c r="R10" s="1571" t="n">
        <f aca="false">'P&amp;L'!Q46</f>
        <v>553144.574568031</v>
      </c>
      <c r="S10" s="1571" t="n">
        <f aca="false">'P&amp;L'!R46</f>
        <v>605498.494065785</v>
      </c>
      <c r="T10" s="1571" t="n">
        <f aca="false">'P&amp;L'!S46</f>
        <v>657856.105971575</v>
      </c>
      <c r="U10" s="1571" t="n">
        <f aca="false">'P&amp;L'!T46</f>
        <v>603684.814435326</v>
      </c>
      <c r="V10" s="1571" t="n">
        <f aca="false">'P&amp;L'!U46</f>
        <v>686251.308805574</v>
      </c>
      <c r="W10" s="1571" t="n">
        <f aca="false">'P&amp;L'!V46</f>
        <v>810048.539036639</v>
      </c>
      <c r="X10" s="1571" t="n">
        <f aca="false">'P&amp;L'!W46</f>
        <v>933848.971057825</v>
      </c>
      <c r="Y10" s="1571" t="n">
        <f aca="false">'P&amp;L'!X46</f>
        <v>1057652.62087808</v>
      </c>
      <c r="Z10" s="1572" t="n">
        <f aca="false">'P&amp;L'!Y46</f>
        <v>1181459.50458641</v>
      </c>
      <c r="AA10" s="1573" t="n">
        <f aca="false">'P&amp;L'!Z46</f>
        <v>3504280.11930847</v>
      </c>
      <c r="AB10" s="1574" t="n">
        <f aca="false">'P&amp;L'!AA46</f>
        <v>3504936.64717517</v>
      </c>
      <c r="AC10" s="1574" t="n">
        <f aca="false">'P&amp;L'!AB46</f>
        <v>3505596.45768121</v>
      </c>
      <c r="AD10" s="1574" t="n">
        <f aca="false">'P&amp;L'!AC46</f>
        <v>3506259.56723977</v>
      </c>
      <c r="AE10" s="1574" t="n">
        <f aca="false">'P&amp;L'!AD46</f>
        <v>3506925.99234613</v>
      </c>
      <c r="AF10" s="1574" t="n">
        <f aca="false">'P&amp;L'!AE46</f>
        <v>3507595.74957802</v>
      </c>
      <c r="AG10" s="1574" t="n">
        <f aca="false">'P&amp;L'!AF46</f>
        <v>3508268.85559607</v>
      </c>
      <c r="AH10" s="1574" t="n">
        <f aca="false">'P&amp;L'!AG46</f>
        <v>3508945.32714421</v>
      </c>
      <c r="AI10" s="1574" t="n">
        <f aca="false">'P&amp;L'!AH46</f>
        <v>3509625.18105009</v>
      </c>
      <c r="AJ10" s="1574" t="n">
        <f aca="false">'P&amp;L'!AI46</f>
        <v>3510308.4342255</v>
      </c>
      <c r="AK10" s="1574" t="n">
        <f aca="false">'P&amp;L'!AJ46</f>
        <v>3510995.10366679</v>
      </c>
      <c r="AL10" s="1575" t="n">
        <f aca="false">'P&amp;L'!AK46</f>
        <v>3511685.20645528</v>
      </c>
      <c r="AM10" s="1576" t="n">
        <f aca="false">'P&amp;L'!AL46</f>
        <v>4036934.44702477</v>
      </c>
      <c r="AN10" s="1577" t="n">
        <f aca="false">'P&amp;L'!AM46</f>
        <v>4037631.46809371</v>
      </c>
      <c r="AO10" s="1577" t="n">
        <f aca="false">'P&amp;L'!AN46</f>
        <v>4038331.97426801</v>
      </c>
      <c r="AP10" s="1577" t="n">
        <f aca="false">'P&amp;L'!AO46</f>
        <v>4039035.98297317</v>
      </c>
      <c r="AQ10" s="1577" t="n">
        <f aca="false">'P&amp;L'!AP46</f>
        <v>4039743.51172186</v>
      </c>
      <c r="AR10" s="1577" t="n">
        <f aca="false">'P&amp;L'!AQ46</f>
        <v>4040454.57811429</v>
      </c>
      <c r="AS10" s="1577" t="n">
        <f aca="false">'P&amp;L'!AR46</f>
        <v>4041169.19983869</v>
      </c>
      <c r="AT10" s="1577" t="n">
        <f aca="false">'P&amp;L'!AS46</f>
        <v>4041887.39467171</v>
      </c>
      <c r="AU10" s="1577" t="n">
        <f aca="false">'P&amp;L'!AT46</f>
        <v>4042609.18047889</v>
      </c>
      <c r="AV10" s="1577" t="n">
        <f aca="false">'P&amp;L'!AU46</f>
        <v>4043334.57521511</v>
      </c>
      <c r="AW10" s="1577" t="n">
        <f aca="false">'P&amp;L'!AV46</f>
        <v>4044063.59692501</v>
      </c>
      <c r="AX10" s="1578" t="n">
        <f aca="false">'P&amp;L'!AW46</f>
        <v>4044796.26374346</v>
      </c>
      <c r="AY10" s="1579" t="n">
        <f aca="false">'P&amp;L'!AX46</f>
        <v>4567260.70190812</v>
      </c>
      <c r="AZ10" s="1580" t="n">
        <f aca="false">'P&amp;L'!AY46</f>
        <v>4568000.71371142</v>
      </c>
      <c r="BA10" s="1580" t="n">
        <f aca="false">'P&amp;L'!AZ46</f>
        <v>4568744.42557374</v>
      </c>
      <c r="BB10" s="1580" t="n">
        <f aca="false">'P&amp;L'!BA46</f>
        <v>4569491.85599538</v>
      </c>
      <c r="BC10" s="1580" t="n">
        <f aca="false">'P&amp;L'!BB46</f>
        <v>4570243.02356911</v>
      </c>
      <c r="BD10" s="1580" t="n">
        <f aca="false">'P&amp;L'!BC46</f>
        <v>4570997.94698072</v>
      </c>
      <c r="BE10" s="1580" t="n">
        <f aca="false">'P&amp;L'!BD46</f>
        <v>4571756.64500939</v>
      </c>
      <c r="BF10" s="1580" t="n">
        <f aca="false">'P&amp;L'!BE46</f>
        <v>4572519.1365282</v>
      </c>
      <c r="BG10" s="1580" t="n">
        <f aca="false">'P&amp;L'!BF46</f>
        <v>4573285.44050461</v>
      </c>
      <c r="BH10" s="1580" t="n">
        <f aca="false">'P&amp;L'!BG46</f>
        <v>4574055.57600089</v>
      </c>
      <c r="BI10" s="1580" t="n">
        <f aca="false">'P&amp;L'!BH46</f>
        <v>4574829.56217466</v>
      </c>
      <c r="BJ10" s="1580" t="n">
        <f aca="false">'P&amp;L'!BI46</f>
        <v>4575607.4182793</v>
      </c>
      <c r="BK10" s="1581" t="n">
        <f aca="false">'P&amp;L'!BJ46</f>
        <v>-3831207.37527624</v>
      </c>
      <c r="BL10" s="1581" t="n">
        <f aca="false">'P&amp;L'!BK46</f>
        <v>8408716.91682543</v>
      </c>
      <c r="BM10" s="1581" t="n">
        <f aca="false">'P&amp;L'!BL46</f>
        <v>42095422.6414667</v>
      </c>
      <c r="BN10" s="1581" t="n">
        <f aca="false">'P&amp;L'!BM46</f>
        <v>48489992.1730687</v>
      </c>
      <c r="BO10" s="1581" t="n">
        <f aca="false">'P&amp;L'!BN46</f>
        <v>54856792.4462355</v>
      </c>
      <c r="BP10" s="1566" t="s">
        <v>111</v>
      </c>
      <c r="BQ10" s="1534"/>
    </row>
    <row r="11" customFormat="false" ht="10.5" hidden="false" customHeight="true" outlineLevel="0" collapsed="false">
      <c r="A11" s="1550" t="s">
        <v>227</v>
      </c>
      <c r="B11" s="1534"/>
      <c r="C11" s="1567" t="n">
        <f aca="false">'Cash Flow'!B50</f>
        <v>9994578.0003863</v>
      </c>
      <c r="D11" s="1568" t="n">
        <f aca="false">'Cash Flow'!C50</f>
        <v>-396039.615635617</v>
      </c>
      <c r="E11" s="1568" t="n">
        <f aca="false">'Cash Flow'!D50</f>
        <v>-412977.020537417</v>
      </c>
      <c r="F11" s="1568" t="n">
        <f aca="false">'Cash Flow'!E50</f>
        <v>-420750.180983845</v>
      </c>
      <c r="G11" s="1568" t="n">
        <f aca="false">'Cash Flow'!F50</f>
        <v>-383492.956529836</v>
      </c>
      <c r="H11" s="1568" t="n">
        <f aca="false">'Cash Flow'!G50</f>
        <v>-345887.996054194</v>
      </c>
      <c r="I11" s="1568" t="n">
        <f aca="false">'Cash Flow'!H50</f>
        <v>-324413.659233671</v>
      </c>
      <c r="J11" s="1568" t="n">
        <f aca="false">'Cash Flow'!I50</f>
        <v>-339444.717646863</v>
      </c>
      <c r="K11" s="1568" t="n">
        <f aca="false">'Cash Flow'!J50</f>
        <v>-321069.028240363</v>
      </c>
      <c r="L11" s="1568" t="n">
        <f aca="false">'Cash Flow'!K50</f>
        <v>-279547.246362323</v>
      </c>
      <c r="M11" s="1568" t="n">
        <f aca="false">'Cash Flow'!L50</f>
        <v>-235112.119820971</v>
      </c>
      <c r="N11" s="1569" t="n">
        <f aca="false">'Cash Flow'!M50</f>
        <v>-191457.078117546</v>
      </c>
      <c r="O11" s="1570" t="n">
        <f aca="false">'Cash Flow'!N50</f>
        <v>-139782.599120566</v>
      </c>
      <c r="P11" s="1571" t="n">
        <f aca="false">'Cash Flow'!O50</f>
        <v>409447.906291031</v>
      </c>
      <c r="Q11" s="1571" t="n">
        <f aca="false">'Cash Flow'!P50</f>
        <v>500030.832949563</v>
      </c>
      <c r="R11" s="1571" t="n">
        <f aca="false">'Cash Flow'!Q50</f>
        <v>549330.55430744</v>
      </c>
      <c r="S11" s="1571" t="n">
        <f aca="false">'Cash Flow'!R50</f>
        <v>600942.368489379</v>
      </c>
      <c r="T11" s="1571" t="n">
        <f aca="false">'Cash Flow'!S50</f>
        <v>652554.164552776</v>
      </c>
      <c r="U11" s="1571" t="n">
        <f aca="false">'Cash Flow'!T50</f>
        <v>702706.591526045</v>
      </c>
      <c r="V11" s="1571" t="n">
        <f aca="false">'Cash Flow'!U50</f>
        <v>649658.806034889</v>
      </c>
      <c r="W11" s="1571" t="n">
        <f aca="false">'Cash Flow'!V50</f>
        <v>732036.742624627</v>
      </c>
      <c r="X11" s="1571" t="n">
        <f aca="false">'Cash Flow'!W50</f>
        <v>855076.887522583</v>
      </c>
      <c r="Y11" s="1571" t="n">
        <f aca="false">'Cash Flow'!X50</f>
        <v>978116.44878399</v>
      </c>
      <c r="Z11" s="1572" t="n">
        <f aca="false">'Cash Flow'!Y50</f>
        <v>1101155.42349067</v>
      </c>
      <c r="AA11" s="1573" t="n">
        <f aca="false">'Cash Flow'!Z50</f>
        <v>1254317.23995584</v>
      </c>
      <c r="AB11" s="1574" t="n">
        <f aca="false">'Cash Flow'!AA50</f>
        <v>3544555.00200914</v>
      </c>
      <c r="AC11" s="1574" t="n">
        <f aca="false">'Cash Flow'!AB50</f>
        <v>3544435.32718935</v>
      </c>
      <c r="AD11" s="1574" t="n">
        <f aca="false">'Cash Flow'!AC50</f>
        <v>3544315.05399545</v>
      </c>
      <c r="AE11" s="1574" t="n">
        <f aca="false">'Cash Flow'!AD50</f>
        <v>3544194.17943559</v>
      </c>
      <c r="AF11" s="1574" t="n">
        <f aca="false">'Cash Flow'!AE50</f>
        <v>3544072.70050293</v>
      </c>
      <c r="AG11" s="1574" t="n">
        <f aca="false">'Cash Flow'!AF50</f>
        <v>3543950.6141756</v>
      </c>
      <c r="AH11" s="1574" t="n">
        <f aca="false">'Cash Flow'!AG50</f>
        <v>3543827.91741664</v>
      </c>
      <c r="AI11" s="1574" t="n">
        <f aca="false">'Cash Flow'!AH50</f>
        <v>3543704.60717388</v>
      </c>
      <c r="AJ11" s="1574" t="n">
        <f aca="false">'Cash Flow'!AI50</f>
        <v>3543580.68037991</v>
      </c>
      <c r="AK11" s="1574" t="n">
        <f aca="false">'Cash Flow'!AJ50</f>
        <v>3543456.13395197</v>
      </c>
      <c r="AL11" s="1575" t="n">
        <f aca="false">'Cash Flow'!AK50</f>
        <v>3543330.96479188</v>
      </c>
      <c r="AM11" s="1576" t="n">
        <f aca="false">'Cash Flow'!AL50</f>
        <v>3550390.86413212</v>
      </c>
      <c r="AN11" s="1577" t="n">
        <f aca="false">'Cash Flow'!AM50</f>
        <v>4067634.43307214</v>
      </c>
      <c r="AO11" s="1577" t="n">
        <f aca="false">'Cash Flow'!AN50</f>
        <v>4067507.37697133</v>
      </c>
      <c r="AP11" s="1577" t="n">
        <f aca="false">'Cash Flow'!AO50</f>
        <v>4067379.68559001</v>
      </c>
      <c r="AQ11" s="1577" t="n">
        <f aca="false">'Cash Flow'!AP50</f>
        <v>4067251.35575179</v>
      </c>
      <c r="AR11" s="1577" t="n">
        <f aca="false">'Cash Flow'!AQ50</f>
        <v>4067122.38426436</v>
      </c>
      <c r="AS11" s="1577" t="n">
        <f aca="false">'Cash Flow'!AR50</f>
        <v>4066992.76791951</v>
      </c>
      <c r="AT11" s="1577" t="n">
        <f aca="false">'Cash Flow'!AS50</f>
        <v>4066862.50349293</v>
      </c>
      <c r="AU11" s="1577" t="n">
        <f aca="false">'Cash Flow'!AT50</f>
        <v>4066731.58774422</v>
      </c>
      <c r="AV11" s="1577" t="n">
        <f aca="false">'Cash Flow'!AU50</f>
        <v>4066600.01741676</v>
      </c>
      <c r="AW11" s="1577" t="n">
        <f aca="false">'Cash Flow'!AV50</f>
        <v>4066467.78923767</v>
      </c>
      <c r="AX11" s="1578" t="n">
        <f aca="false">'Cash Flow'!AW50</f>
        <v>4066334.89991768</v>
      </c>
      <c r="AY11" s="1579" t="n">
        <f aca="false">'Cash Flow'!AX50</f>
        <v>4073348.30653482</v>
      </c>
      <c r="AZ11" s="1580" t="n">
        <f aca="false">'Cash Flow'!AY50</f>
        <v>4587795.2326278</v>
      </c>
      <c r="BA11" s="1580" t="n">
        <f aca="false">'Cash Flow'!AZ50</f>
        <v>4587660.3399847</v>
      </c>
      <c r="BB11" s="1580" t="n">
        <f aca="false">'Cash Flow'!BA50</f>
        <v>4587524.77287839</v>
      </c>
      <c r="BC11" s="1580" t="n">
        <f aca="false">'Cash Flow'!BB50</f>
        <v>4587388.52793654</v>
      </c>
      <c r="BD11" s="1580" t="n">
        <f aca="false">'Cash Flow'!BC50</f>
        <v>4587251.60176999</v>
      </c>
      <c r="BE11" s="1580" t="n">
        <f aca="false">'Cash Flow'!BD50</f>
        <v>4587113.99097261</v>
      </c>
      <c r="BF11" s="1580" t="n">
        <f aca="false">'Cash Flow'!BE50</f>
        <v>4586975.69212122</v>
      </c>
      <c r="BG11" s="1580" t="n">
        <f aca="false">'Cash Flow'!BF50</f>
        <v>4586836.7017756</v>
      </c>
      <c r="BH11" s="1580" t="n">
        <f aca="false">'Cash Flow'!BG50</f>
        <v>4586697.01647824</v>
      </c>
      <c r="BI11" s="1580" t="n">
        <f aca="false">'Cash Flow'!BH50</f>
        <v>4586556.63275439</v>
      </c>
      <c r="BJ11" s="1580" t="n">
        <f aca="false">'Cash Flow'!BI50</f>
        <v>4586415.54711193</v>
      </c>
      <c r="BK11" s="1581" t="n">
        <f aca="false">'Cash Flow'!BJ50</f>
        <v>6344386.38122366</v>
      </c>
      <c r="BL11" s="1581" t="n">
        <f aca="false">'Cash Flow'!BK50</f>
        <v>7591274.12745243</v>
      </c>
      <c r="BM11" s="1581" t="n">
        <f aca="false">'Cash Flow'!BL50</f>
        <v>40237740.4209782</v>
      </c>
      <c r="BN11" s="1581" t="n">
        <f aca="false">'Cash Flow'!BM50</f>
        <v>48287275.6655105</v>
      </c>
      <c r="BO11" s="1581" t="n">
        <f aca="false">'Cash Flow'!BN50</f>
        <v>54531564.3629462</v>
      </c>
      <c r="BP11" s="1566" t="s">
        <v>227</v>
      </c>
      <c r="BQ11" s="1534"/>
    </row>
    <row r="12" customFormat="false" ht="10.5" hidden="false" customHeight="true" outlineLevel="0" collapsed="false">
      <c r="A12" s="1550" t="s">
        <v>1914</v>
      </c>
      <c r="B12" s="1534"/>
      <c r="C12" s="1567" t="n">
        <f aca="false">'Balance Sheet'!B3</f>
        <v>9994578.0003863</v>
      </c>
      <c r="D12" s="1568" t="n">
        <f aca="false">'Balance Sheet'!C3</f>
        <v>9598538.38475069</v>
      </c>
      <c r="E12" s="1568" t="n">
        <f aca="false">'Balance Sheet'!D3</f>
        <v>9185561.36421327</v>
      </c>
      <c r="F12" s="1568" t="n">
        <f aca="false">'Balance Sheet'!E3</f>
        <v>8764811.18322942</v>
      </c>
      <c r="G12" s="1568" t="n">
        <f aca="false">'Balance Sheet'!F3</f>
        <v>8381318.22669959</v>
      </c>
      <c r="H12" s="1568" t="n">
        <f aca="false">'Balance Sheet'!G3</f>
        <v>8035430.23064539</v>
      </c>
      <c r="I12" s="1568" t="n">
        <f aca="false">'Balance Sheet'!H3</f>
        <v>7711016.57141172</v>
      </c>
      <c r="J12" s="1568" t="n">
        <f aca="false">'Balance Sheet'!I3</f>
        <v>7371571.85376486</v>
      </c>
      <c r="K12" s="1568" t="n">
        <f aca="false">'Balance Sheet'!J3</f>
        <v>7050502.8255245</v>
      </c>
      <c r="L12" s="1568" t="n">
        <f aca="false">'Balance Sheet'!K3</f>
        <v>6770955.57916217</v>
      </c>
      <c r="M12" s="1568" t="n">
        <f aca="false">'Balance Sheet'!L3</f>
        <v>6535843.4593412</v>
      </c>
      <c r="N12" s="1569" t="n">
        <f aca="false">'Cash Flow'!M52</f>
        <v>6344386.38122366</v>
      </c>
      <c r="O12" s="1570" t="n">
        <f aca="false">'Cash Flow'!N52</f>
        <v>6204603.78210309</v>
      </c>
      <c r="P12" s="1571" t="n">
        <f aca="false">'Cash Flow'!O52</f>
        <v>6614051.68839412</v>
      </c>
      <c r="Q12" s="1571" t="n">
        <f aca="false">'Cash Flow'!P52</f>
        <v>7114082.52134368</v>
      </c>
      <c r="R12" s="1571" t="n">
        <f aca="false">'Cash Flow'!Q52</f>
        <v>7663413.07565112</v>
      </c>
      <c r="S12" s="1571" t="n">
        <f aca="false">'Cash Flow'!R52</f>
        <v>8264355.4441405</v>
      </c>
      <c r="T12" s="1571" t="n">
        <f aca="false">'Cash Flow'!S52</f>
        <v>8916909.60869328</v>
      </c>
      <c r="U12" s="1571" t="n">
        <f aca="false">'Cash Flow'!T52</f>
        <v>9619616.20021932</v>
      </c>
      <c r="V12" s="1571" t="n">
        <f aca="false">'Cash Flow'!U52</f>
        <v>10269275.0062542</v>
      </c>
      <c r="W12" s="1571" t="n">
        <f aca="false">'Cash Flow'!V52</f>
        <v>11001311.7488788</v>
      </c>
      <c r="X12" s="1571" t="n">
        <f aca="false">'Cash Flow'!W52</f>
        <v>11856388.6364014</v>
      </c>
      <c r="Y12" s="1571" t="n">
        <f aca="false">'Cash Flow'!X52</f>
        <v>12834505.0851854</v>
      </c>
      <c r="Z12" s="1572" t="n">
        <f aca="false">'Cash Flow'!Y52</f>
        <v>13935660.5086761</v>
      </c>
      <c r="AA12" s="1573" t="n">
        <f aca="false">'Cash Flow'!Z52</f>
        <v>15189977.7486319</v>
      </c>
      <c r="AB12" s="1574" t="n">
        <f aca="false">'Cash Flow'!AA52</f>
        <v>18734532.7506411</v>
      </c>
      <c r="AC12" s="1574" t="n">
        <f aca="false">'Cash Flow'!AB52</f>
        <v>22278968.0778304</v>
      </c>
      <c r="AD12" s="1574" t="n">
        <f aca="false">'Cash Flow'!AC52</f>
        <v>25823283.1318259</v>
      </c>
      <c r="AE12" s="1574" t="n">
        <f aca="false">'Cash Flow'!AD52</f>
        <v>29367477.3112615</v>
      </c>
      <c r="AF12" s="1574" t="n">
        <f aca="false">'Cash Flow'!AE52</f>
        <v>32911550.0117644</v>
      </c>
      <c r="AG12" s="1574" t="n">
        <f aca="false">'Cash Flow'!AF52</f>
        <v>36455500.62594</v>
      </c>
      <c r="AH12" s="1574" t="n">
        <f aca="false">'Cash Flow'!AG52</f>
        <v>39999328.5433566</v>
      </c>
      <c r="AI12" s="1574" t="n">
        <f aca="false">'Cash Flow'!AH52</f>
        <v>43543033.1505305</v>
      </c>
      <c r="AJ12" s="1574" t="n">
        <f aca="false">'Cash Flow'!AI52</f>
        <v>47086613.8309104</v>
      </c>
      <c r="AK12" s="1574" t="n">
        <f aca="false">'Cash Flow'!AJ52</f>
        <v>50630069.9648624</v>
      </c>
      <c r="AL12" s="1575" t="n">
        <f aca="false">'Cash Flow'!AK52</f>
        <v>54173400.9296542</v>
      </c>
      <c r="AM12" s="1576" t="n">
        <f aca="false">'Cash Flow'!AL52</f>
        <v>57723791.7937864</v>
      </c>
      <c r="AN12" s="1577" t="n">
        <f aca="false">'Cash Flow'!AM52</f>
        <v>61791426.2268585</v>
      </c>
      <c r="AO12" s="1577" t="n">
        <f aca="false">'Cash Flow'!AN52</f>
        <v>65858933.6038298</v>
      </c>
      <c r="AP12" s="1577" t="n">
        <f aca="false">'Cash Flow'!AO52</f>
        <v>69926313.2894198</v>
      </c>
      <c r="AQ12" s="1577" t="n">
        <f aca="false">'Cash Flow'!AP52</f>
        <v>73993564.6451716</v>
      </c>
      <c r="AR12" s="1577" t="n">
        <f aca="false">'Cash Flow'!AQ52</f>
        <v>78060687.029436</v>
      </c>
      <c r="AS12" s="1577" t="n">
        <f aca="false">'Cash Flow'!AR52</f>
        <v>82127679.7973555</v>
      </c>
      <c r="AT12" s="1577" t="n">
        <f aca="false">'Cash Flow'!AS52</f>
        <v>86194542.3008484</v>
      </c>
      <c r="AU12" s="1577" t="n">
        <f aca="false">'Cash Flow'!AT52</f>
        <v>90261273.8885927</v>
      </c>
      <c r="AV12" s="1577" t="n">
        <f aca="false">'Cash Flow'!AU52</f>
        <v>94327873.9060094</v>
      </c>
      <c r="AW12" s="1577" t="n">
        <f aca="false">'Cash Flow'!AV52</f>
        <v>98394341.6952471</v>
      </c>
      <c r="AX12" s="1578" t="n">
        <f aca="false">'Cash Flow'!AW52</f>
        <v>102460676.595165</v>
      </c>
      <c r="AY12" s="1579" t="n">
        <f aca="false">'Cash Flow'!AX52</f>
        <v>106534024.9017</v>
      </c>
      <c r="AZ12" s="1580" t="n">
        <f aca="false">'Cash Flow'!AY52</f>
        <v>111121820.134327</v>
      </c>
      <c r="BA12" s="1580" t="n">
        <f aca="false">'Cash Flow'!AZ52</f>
        <v>115709480.474312</v>
      </c>
      <c r="BB12" s="1580" t="n">
        <f aca="false">'Cash Flow'!BA52</f>
        <v>120297005.24719</v>
      </c>
      <c r="BC12" s="1580" t="n">
        <f aca="false">'Cash Flow'!BB52</f>
        <v>124884393.775127</v>
      </c>
      <c r="BD12" s="1580" t="n">
        <f aca="false">'Cash Flow'!BC52</f>
        <v>129471645.376897</v>
      </c>
      <c r="BE12" s="1580" t="n">
        <f aca="false">'Cash Flow'!BD52</f>
        <v>134058759.36787</v>
      </c>
      <c r="BF12" s="1580" t="n">
        <f aca="false">'Cash Flow'!BE52</f>
        <v>138645735.059991</v>
      </c>
      <c r="BG12" s="1580" t="n">
        <f aca="false">'Cash Flow'!BF52</f>
        <v>143232571.761766</v>
      </c>
      <c r="BH12" s="1580" t="n">
        <f aca="false">'Cash Flow'!BG52</f>
        <v>147819268.778245</v>
      </c>
      <c r="BI12" s="1580" t="n">
        <f aca="false">'Cash Flow'!BH52</f>
        <v>152405825.410999</v>
      </c>
      <c r="BJ12" s="1580" t="n">
        <f aca="false">'Cash Flow'!BI52</f>
        <v>156992240.958111</v>
      </c>
      <c r="BK12" s="1581" t="n">
        <f aca="false">'Cash Flow'!BJ52</f>
        <v>6344386.38122366</v>
      </c>
      <c r="BL12" s="1581" t="n">
        <f aca="false">'Cash Flow'!BK52</f>
        <v>13935660.5086761</v>
      </c>
      <c r="BM12" s="1581" t="n">
        <f aca="false">'Cash Flow'!BL52</f>
        <v>54173400.9296542</v>
      </c>
      <c r="BN12" s="1581" t="n">
        <f aca="false">'Cash Flow'!BM52</f>
        <v>102460676.595165</v>
      </c>
      <c r="BO12" s="1581" t="n">
        <f aca="false">'Cash Flow'!BN52</f>
        <v>156992240.958111</v>
      </c>
      <c r="BP12" s="1566" t="s">
        <v>1914</v>
      </c>
      <c r="BQ12" s="1534"/>
    </row>
    <row r="13" customFormat="false" ht="10.5" hidden="false" customHeight="true" outlineLevel="0" collapsed="false">
      <c r="A13" s="1582" t="s">
        <v>2077</v>
      </c>
      <c r="B13" s="1534"/>
      <c r="C13" s="1583" t="str">
        <f aca="false">IF(C5=0,"N/A",C10/C5)</f>
        <v>N/A</v>
      </c>
      <c r="D13" s="1584" t="str">
        <f aca="false">IF(D5=0,"N/A",D10/D5)</f>
        <v>N/A</v>
      </c>
      <c r="E13" s="1584" t="n">
        <f aca="false">IF(E5=0,"N/A",E10/E5)</f>
        <v>-459.319765391793</v>
      </c>
      <c r="F13" s="1584" t="n">
        <f aca="false">IF(F5=0,"N/A",F10/F5)</f>
        <v>-2.86150140599973</v>
      </c>
      <c r="G13" s="1584" t="n">
        <f aca="false">IF(G5=0,"N/A",G10/G5)</f>
        <v>-1.291459673822</v>
      </c>
      <c r="H13" s="1584" t="n">
        <f aca="false">IF(H5=0,"N/A",H10/H5)</f>
        <v>-0.546156518132184</v>
      </c>
      <c r="I13" s="1584" t="n">
        <f aca="false">IF(I5=0,"N/A",I10/I5)</f>
        <v>-0.409226810449555</v>
      </c>
      <c r="J13" s="1584" t="n">
        <f aca="false">IF(J5=0,"N/A",J10/J5)</f>
        <v>-0.301220916858622</v>
      </c>
      <c r="K13" s="1584" t="n">
        <f aca="false">IF(K5=0,"N/A",K10/K5)</f>
        <v>-0.213552694816665</v>
      </c>
      <c r="L13" s="1584" t="n">
        <f aca="false">IF(L5=0,"N/A",L10/L5)</f>
        <v>-0.156829981326683</v>
      </c>
      <c r="M13" s="1584" t="n">
        <f aca="false">IF(M5=0,"N/A",M10/M5)</f>
        <v>-0.111686187975689</v>
      </c>
      <c r="N13" s="1585" t="n">
        <f aca="false">IF(N5=0,"N/A",N10/N5)</f>
        <v>-0.0817971580195601</v>
      </c>
      <c r="O13" s="1586" t="n">
        <f aca="false">IFERROR(O10/O5,"N/A")</f>
        <v>0.110809782690267</v>
      </c>
      <c r="P13" s="1587" t="n">
        <f aca="false">IFERROR(P10/P5,"N/A")</f>
        <v>0.124639797155414</v>
      </c>
      <c r="Q13" s="1587" t="n">
        <f aca="false">IFERROR(Q10/Q5,"N/A")</f>
        <v>0.124802122472061</v>
      </c>
      <c r="R13" s="1587" t="n">
        <f aca="false">IFERROR(R10/R5,"N/A")</f>
        <v>0.126360886795638</v>
      </c>
      <c r="S13" s="1587" t="n">
        <f aca="false">IFERROR(S10/S5,"N/A")</f>
        <v>0.127680615962475</v>
      </c>
      <c r="T13" s="1587" t="n">
        <f aca="false">IFERROR(T10/T5,"N/A")</f>
        <v>0.128812535388875</v>
      </c>
      <c r="U13" s="1587" t="n">
        <f aca="false">IFERROR(U10/U5,"N/A")</f>
        <v>0.110325078837379</v>
      </c>
      <c r="V13" s="1587" t="n">
        <f aca="false">IFERROR(V10/V5,"N/A")</f>
        <v>0.117575939364124</v>
      </c>
      <c r="W13" s="1587" t="n">
        <f aca="false">IFERROR(W10/W5,"N/A")</f>
        <v>0.130622314815615</v>
      </c>
      <c r="X13" s="1587" t="n">
        <f aca="false">IFERROR(X10/X5,"N/A")</f>
        <v>0.142219580608093</v>
      </c>
      <c r="Y13" s="1587" t="n">
        <f aca="false">IFERROR(Y10/Y5,"N/A")</f>
        <v>0.152596545839571</v>
      </c>
      <c r="Z13" s="1588" t="n">
        <f aca="false">IFERROR(Z10/Z5,"N/A")</f>
        <v>0.16193625779943</v>
      </c>
      <c r="AA13" s="1589" t="n">
        <f aca="false">IFERROR(AA10/AA5,"N/A")</f>
        <v>0.25159236853462</v>
      </c>
      <c r="AB13" s="1590" t="n">
        <f aca="false">IFERROR(AB10/AB5,"N/A")</f>
        <v>0.251639504435681</v>
      </c>
      <c r="AC13" s="1590" t="n">
        <f aca="false">IFERROR(AC10/AC5,"N/A")</f>
        <v>0.251686876016246</v>
      </c>
      <c r="AD13" s="1590" t="n">
        <f aca="false">IFERROR(AD10/AD5,"N/A")</f>
        <v>0.251734484454715</v>
      </c>
      <c r="AE13" s="1590" t="n">
        <f aca="false">IFERROR(AE10/AE5,"N/A")</f>
        <v>0.251782330935376</v>
      </c>
      <c r="AF13" s="1590" t="n">
        <f aca="false">IFERROR(AF10/AF5,"N/A")</f>
        <v>0.251830416648441</v>
      </c>
      <c r="AG13" s="1590" t="n">
        <f aca="false">IFERROR(AG10/AG5,"N/A")</f>
        <v>0.25187874279007</v>
      </c>
      <c r="AH13" s="1590" t="n">
        <f aca="false">IFERROR(AH10/AH5,"N/A")</f>
        <v>0.251927310562408</v>
      </c>
      <c r="AI13" s="1590" t="n">
        <f aca="false">IFERROR(AI10/AI5,"N/A")</f>
        <v>0.251976121173608</v>
      </c>
      <c r="AJ13" s="1590" t="n">
        <f aca="false">IFERROR(AJ10/AJ5,"N/A")</f>
        <v>0.252025175837863</v>
      </c>
      <c r="AK13" s="1590" t="n">
        <f aca="false">IFERROR(AK10/AK5,"N/A")</f>
        <v>0.25207447577544</v>
      </c>
      <c r="AL13" s="1591" t="n">
        <f aca="false">IFERROR(AL10/AL5,"N/A")</f>
        <v>0.252124022212705</v>
      </c>
      <c r="AM13" s="1592" t="n">
        <f aca="false">IFERROR(AM10/AM5,"N/A")</f>
        <v>0.26753970254385</v>
      </c>
      <c r="AN13" s="1593" t="n">
        <f aca="false">IFERROR(AN10/AN5,"N/A")</f>
        <v>0.267585896211817</v>
      </c>
      <c r="AO13" s="1593" t="n">
        <f aca="false">IFERROR(AO10/AO5,"N/A")</f>
        <v>0.267632320848125</v>
      </c>
      <c r="AP13" s="1593" t="n">
        <f aca="false">IFERROR(AP10/AP5,"N/A")</f>
        <v>0.267678977607614</v>
      </c>
      <c r="AQ13" s="1593" t="n">
        <f aca="false">IFERROR(AQ10/AQ5,"N/A")</f>
        <v>0.2677258676509</v>
      </c>
      <c r="AR13" s="1593" t="n">
        <f aca="false">IFERROR(AR10/AR5,"N/A")</f>
        <v>0.267772992144403</v>
      </c>
      <c r="AS13" s="1593" t="n">
        <f aca="false">IFERROR(AS10/AS5,"N/A")</f>
        <v>0.267820352260374</v>
      </c>
      <c r="AT13" s="1593" t="n">
        <f aca="false">IFERROR(AT10/AT5,"N/A")</f>
        <v>0.267867949176924</v>
      </c>
      <c r="AU13" s="1593" t="n">
        <f aca="false">IFERROR(AU10/AU5,"N/A")</f>
        <v>0.267915784078057</v>
      </c>
      <c r="AV13" s="1593" t="n">
        <f aca="false">IFERROR(AV10/AV5,"N/A")</f>
        <v>0.267963858153696</v>
      </c>
      <c r="AW13" s="1593" t="n">
        <f aca="false">IFERROR(AW10/AW5,"N/A")</f>
        <v>0.268012172599712</v>
      </c>
      <c r="AX13" s="1594" t="n">
        <f aca="false">IFERROR(AX10/AX5,"N/A")</f>
        <v>0.268060728617959</v>
      </c>
      <c r="AY13" s="1595" t="n">
        <f aca="false">IFERROR(AY10/AY5,"N/A")</f>
        <v>0.281065578236344</v>
      </c>
      <c r="AZ13" s="1596" t="n">
        <f aca="false">IFERROR(AZ10/AZ5,"N/A")</f>
        <v>0.281111117972079</v>
      </c>
      <c r="BA13" s="1596" t="n">
        <f aca="false">IFERROR(BA10/BA5,"N/A")</f>
        <v>0.281156885406493</v>
      </c>
      <c r="BB13" s="1596" t="n">
        <f aca="false">IFERROR(BB10/BB5,"N/A")</f>
        <v>0.281202881678078</v>
      </c>
      <c r="BC13" s="1596" t="n">
        <f aca="false">IFERROR(BC10/BC5,"N/A")</f>
        <v>0.281249107931022</v>
      </c>
      <c r="BD13" s="1596" t="n">
        <f aca="false">IFERROR(BD10/BD5,"N/A")</f>
        <v>0.28129556531523</v>
      </c>
      <c r="BE13" s="1596" t="n">
        <f aca="false">IFERROR(BE10/BE5,"N/A")</f>
        <v>0.281342254986359</v>
      </c>
      <c r="BF13" s="1596" t="n">
        <f aca="false">IFERROR(BF10/BF5,"N/A")</f>
        <v>0.281389178105844</v>
      </c>
      <c r="BG13" s="1596" t="n">
        <f aca="false">IFERROR(BG10/BG5,"N/A")</f>
        <v>0.281436335840927</v>
      </c>
      <c r="BH13" s="1596" t="n">
        <f aca="false">IFERROR(BH10/BH5,"N/A")</f>
        <v>0.281483729364685</v>
      </c>
      <c r="BI13" s="1596" t="n">
        <f aca="false">IFERROR(BI10/BI5,"N/A")</f>
        <v>0.281531359856061</v>
      </c>
      <c r="BJ13" s="1596" t="n">
        <f aca="false">IFERROR(BJ10/BJ5,"N/A")</f>
        <v>0.281579228499895</v>
      </c>
      <c r="BK13" s="1597" t="n">
        <f aca="false">IFERROR(BK10/BK5,"N/A")</f>
        <v>-0.391047162486519</v>
      </c>
      <c r="BL13" s="1597" t="n">
        <f aca="false">IFERROR(BL10/BL5,"N/A")</f>
        <v>0.132475552009205</v>
      </c>
      <c r="BM13" s="1597" t="n">
        <f aca="false">IFERROR(BM10/BM5,"N/A")</f>
        <v>0.251855985781431</v>
      </c>
      <c r="BN13" s="1597" t="n">
        <f aca="false">IFERROR(BN10/BN5,"N/A")</f>
        <v>0.267798050157786</v>
      </c>
      <c r="BO13" s="1597" t="n">
        <f aca="false">IFERROR(BO10/BO5,"N/A")</f>
        <v>0.281320268599418</v>
      </c>
      <c r="BP13" s="1598" t="s">
        <v>2077</v>
      </c>
      <c r="BQ13" s="1534"/>
    </row>
    <row r="14" customFormat="false" ht="10.5" hidden="false" customHeight="true" outlineLevel="0" collapsed="false">
      <c r="A14" s="1599" t="s">
        <v>1916</v>
      </c>
      <c r="B14" s="1600"/>
      <c r="C14" s="1601" t="n">
        <f aca="false">'P&amp;L'!B54</f>
        <v>-395805.9718</v>
      </c>
      <c r="D14" s="1602" t="n">
        <f aca="false">'P&amp;L'!C54</f>
        <v>-808667.9436</v>
      </c>
      <c r="E14" s="1602" t="n">
        <f aca="false">'P&amp;L'!D54</f>
        <v>-1229928.47323143</v>
      </c>
      <c r="F14" s="1602" t="n">
        <f aca="false">'P&amp;L'!E54</f>
        <v>-1613933.55158924</v>
      </c>
      <c r="G14" s="1602" t="n">
        <f aca="false">'P&amp;L'!F54</f>
        <v>-1960553.73650486</v>
      </c>
      <c r="H14" s="1602" t="n">
        <f aca="false">'P&amp;L'!G54</f>
        <v>-2253724.13453611</v>
      </c>
      <c r="I14" s="1602" t="n">
        <f aca="false">'P&amp;L'!H54</f>
        <v>-2583226.34568298</v>
      </c>
      <c r="J14" s="1602" t="n">
        <f aca="false">'P&amp;L'!I54</f>
        <v>-2906610.03940064</v>
      </c>
      <c r="K14" s="1602" t="n">
        <f aca="false">'P&amp;L'!J54</f>
        <v>-3193191.47925125</v>
      </c>
      <c r="L14" s="1602" t="n">
        <f aca="false">'P&amp;L'!K54</f>
        <v>-3445744.94985351</v>
      </c>
      <c r="M14" s="1602" t="n">
        <f aca="false">'P&amp;L'!L54</f>
        <v>-3655576.36417758</v>
      </c>
      <c r="N14" s="1603" t="n">
        <f aca="false">'P&amp;L'!M54</f>
        <v>-3831207.37527624</v>
      </c>
      <c r="O14" s="1604" t="n">
        <f aca="false">'P&amp;L'!N54</f>
        <v>-3467405.14387464</v>
      </c>
      <c r="P14" s="1605" t="n">
        <f aca="false">'P&amp;L'!O54</f>
        <v>-3012729.72096419</v>
      </c>
      <c r="Q14" s="1605" t="n">
        <f aca="false">'P&amp;L'!P54</f>
        <v>-2511935.39185606</v>
      </c>
      <c r="R14" s="1605" t="n">
        <f aca="false">'P&amp;L'!Q54</f>
        <v>-1958790.81728803</v>
      </c>
      <c r="S14" s="1605" t="n">
        <f aca="false">'P&amp;L'!R54</f>
        <v>-1353292.32322225</v>
      </c>
      <c r="T14" s="1605" t="n">
        <f aca="false">'P&amp;L'!S54</f>
        <v>-695436.217250672</v>
      </c>
      <c r="U14" s="1605" t="n">
        <f aca="false">'P&amp;L'!T54</f>
        <v>14781.2114967702</v>
      </c>
      <c r="V14" s="1605" t="n">
        <f aca="false">'P&amp;L'!U54</f>
        <v>822135.692444505</v>
      </c>
      <c r="W14" s="1605" t="n">
        <f aca="false">'P&amp;L'!V54</f>
        <v>1775133.97366408</v>
      </c>
      <c r="X14" s="1605" t="n">
        <f aca="false">'P&amp;L'!W54</f>
        <v>2873779.8219674</v>
      </c>
      <c r="Y14" s="1605" t="n">
        <f aca="false">'P&amp;L'!X54</f>
        <v>4118077.02300044</v>
      </c>
      <c r="Z14" s="1606" t="n">
        <f aca="false">'P&amp;L'!Y54</f>
        <v>5508029.3813374</v>
      </c>
      <c r="AA14" s="1607" t="n">
        <f aca="false">'P&amp;L'!Z54</f>
        <v>9630711.87464148</v>
      </c>
      <c r="AB14" s="1608" t="n">
        <f aca="false">'P&amp;L'!AA54</f>
        <v>13754166.7536711</v>
      </c>
      <c r="AC14" s="1608" t="n">
        <f aca="false">'P&amp;L'!AB54</f>
        <v>17878397.8803549</v>
      </c>
      <c r="AD14" s="1608" t="n">
        <f aca="false">'P&amp;L'!AC54</f>
        <v>22003409.1359311</v>
      </c>
      <c r="AE14" s="1608" t="n">
        <f aca="false">'P&amp;L'!AD54</f>
        <v>26129204.4210442</v>
      </c>
      <c r="AF14" s="1608" t="n">
        <f aca="false">'P&amp;L'!AE54</f>
        <v>30255787.6558418</v>
      </c>
      <c r="AG14" s="1608" t="n">
        <f aca="false">'P&amp;L'!AF54</f>
        <v>34383162.7800725</v>
      </c>
      <c r="AH14" s="1608" t="n">
        <f aca="false">'P&amp;L'!AG54</f>
        <v>38511333.7531834</v>
      </c>
      <c r="AI14" s="1608" t="n">
        <f aca="false">'P&amp;L'!AH54</f>
        <v>42640304.5544188</v>
      </c>
      <c r="AJ14" s="1608" t="n">
        <f aca="false">'P&amp;L'!AI54</f>
        <v>46770079.1829194</v>
      </c>
      <c r="AK14" s="1608" t="n">
        <f aca="false">'P&amp;L'!AJ54</f>
        <v>50900661.6578215</v>
      </c>
      <c r="AL14" s="1609" t="n">
        <f aca="false">'P&amp;L'!AK54</f>
        <v>55032056.0183571</v>
      </c>
      <c r="AM14" s="1610" t="n">
        <f aca="false">'P&amp;L'!AL54</f>
        <v>59781390.6619156</v>
      </c>
      <c r="AN14" s="1611" t="n">
        <f aca="false">'P&amp;L'!AM54</f>
        <v>64531545.3302612</v>
      </c>
      <c r="AO14" s="1611" t="n">
        <f aca="false">'P&amp;L'!AN54</f>
        <v>69282524.1235177</v>
      </c>
      <c r="AP14" s="1611" t="n">
        <f aca="false">'P&amp;L'!AO54</f>
        <v>74034331.1623096</v>
      </c>
      <c r="AQ14" s="1611" t="n">
        <f aca="false">'P&amp;L'!AP54</f>
        <v>78786970.5878648</v>
      </c>
      <c r="AR14" s="1611" t="n">
        <f aca="false">'P&amp;L'!AQ54</f>
        <v>83540446.5621169</v>
      </c>
      <c r="AS14" s="1611" t="n">
        <f aca="false">'P&amp;L'!AR54</f>
        <v>88294763.2678095</v>
      </c>
      <c r="AT14" s="1611" t="n">
        <f aca="false">'P&amp;L'!AS54</f>
        <v>93049924.9085997</v>
      </c>
      <c r="AU14" s="1611" t="n">
        <f aca="false">'P&amp;L'!AT54</f>
        <v>97805935.7091631</v>
      </c>
      <c r="AV14" s="1611" t="n">
        <f aca="false">'P&amp;L'!AU54</f>
        <v>102562799.915299</v>
      </c>
      <c r="AW14" s="1611" t="n">
        <f aca="false">'P&amp;L'!AV54</f>
        <v>107320521.794034</v>
      </c>
      <c r="AX14" s="1612" t="n">
        <f aca="false">'P&amp;L'!AW54</f>
        <v>112079105.633732</v>
      </c>
      <c r="AY14" s="1613" t="n">
        <f aca="false">'P&amp;L'!AX54</f>
        <v>117452353.51833</v>
      </c>
      <c r="AZ14" s="1614" t="n">
        <f aca="false">'P&amp;L'!AY54</f>
        <v>122826472.005049</v>
      </c>
      <c r="BA14" s="1614" t="n">
        <f aca="false">'P&amp;L'!AZ54</f>
        <v>128201465.446901</v>
      </c>
      <c r="BB14" s="1614" t="n">
        <f aca="false">'P&amp;L'!BA54</f>
        <v>133577338.21866</v>
      </c>
      <c r="BC14" s="1614" t="n">
        <f aca="false">'P&amp;L'!BB54</f>
        <v>138954094.716976</v>
      </c>
      <c r="BD14" s="1614" t="n">
        <f aca="false">'P&amp;L'!BC54</f>
        <v>144331739.360483</v>
      </c>
      <c r="BE14" s="1614" t="n">
        <f aca="false">'P&amp;L'!BD54</f>
        <v>149710276.589906</v>
      </c>
      <c r="BF14" s="1614" t="n">
        <f aca="false">'P&amp;L'!BE54</f>
        <v>155089710.868174</v>
      </c>
      <c r="BG14" s="1614" t="n">
        <f aca="false">'P&amp;L'!BF54</f>
        <v>160470046.680533</v>
      </c>
      <c r="BH14" s="1614" t="n">
        <f aca="false">'P&amp;L'!BG54</f>
        <v>165851288.534651</v>
      </c>
      <c r="BI14" s="1614" t="n">
        <f aca="false">'P&amp;L'!BH54</f>
        <v>171233440.960739</v>
      </c>
      <c r="BJ14" s="1614" t="n">
        <f aca="false">'P&amp;L'!BI54</f>
        <v>176616508.511656</v>
      </c>
      <c r="BK14" s="1615" t="n">
        <f aca="false">'P&amp;L'!BJ54</f>
        <v>-3831207.37527624</v>
      </c>
      <c r="BL14" s="1615" t="n">
        <f aca="false">'P&amp;L'!BK54</f>
        <v>5508029.3813374</v>
      </c>
      <c r="BM14" s="1615" t="n">
        <f aca="false">'P&amp;L'!BL54</f>
        <v>55032056.0183571</v>
      </c>
      <c r="BN14" s="1615" t="n">
        <f aca="false">'P&amp;L'!BM54</f>
        <v>112079105.633732</v>
      </c>
      <c r="BO14" s="1615" t="n">
        <f aca="false">'P&amp;L'!BN54</f>
        <v>176616508.511656</v>
      </c>
      <c r="BP14" s="1616" t="s">
        <v>1916</v>
      </c>
      <c r="BQ14" s="1600"/>
    </row>
    <row r="15" customFormat="false" ht="10.5" hidden="false" customHeight="true" outlineLevel="0" collapsed="false">
      <c r="A15" s="1537"/>
      <c r="C15" s="1466"/>
      <c r="D15" s="1466"/>
      <c r="E15" s="1466"/>
      <c r="F15" s="1466"/>
      <c r="G15" s="1466"/>
      <c r="H15" s="1466"/>
      <c r="I15" s="1466"/>
      <c r="J15" s="1466"/>
      <c r="K15" s="1466"/>
      <c r="L15" s="1466"/>
      <c r="M15" s="1466"/>
      <c r="N15" s="1532"/>
      <c r="O15" s="1533"/>
      <c r="P15" s="1466"/>
      <c r="Q15" s="1466"/>
      <c r="R15" s="1466"/>
      <c r="S15" s="1466"/>
      <c r="T15" s="1466"/>
      <c r="Z15" s="1534"/>
      <c r="AA15" s="1535"/>
      <c r="AL15" s="1534"/>
      <c r="AM15" s="1535"/>
      <c r="AX15" s="1534"/>
      <c r="AY15" s="1535"/>
      <c r="BK15" s="1535"/>
      <c r="BP15" s="1617"/>
      <c r="BQ15" s="1534"/>
    </row>
    <row r="16" customFormat="false" ht="10.5" hidden="false" customHeight="true" outlineLevel="0" collapsed="false">
      <c r="A16" s="1537"/>
      <c r="C16" s="1355"/>
      <c r="D16" s="1466"/>
      <c r="E16" s="1466"/>
      <c r="F16" s="1466"/>
      <c r="G16" s="1466"/>
      <c r="H16" s="1466"/>
      <c r="I16" s="1466"/>
      <c r="J16" s="1466"/>
      <c r="K16" s="1466"/>
      <c r="L16" s="1466"/>
      <c r="M16" s="1466"/>
      <c r="N16" s="1532"/>
      <c r="O16" s="1537"/>
      <c r="P16" s="1466"/>
      <c r="Q16" s="1466"/>
      <c r="R16" s="1466"/>
      <c r="S16" s="1466"/>
      <c r="T16" s="1466"/>
      <c r="Z16" s="1534"/>
      <c r="AA16" s="1535"/>
      <c r="AL16" s="1534"/>
      <c r="AM16" s="1535"/>
      <c r="AX16" s="1534"/>
      <c r="AY16" s="1535"/>
      <c r="BK16" s="1535"/>
      <c r="BP16" s="1617"/>
      <c r="BQ16" s="1534"/>
    </row>
    <row r="17" customFormat="false" ht="10.5" hidden="false" customHeight="true" outlineLevel="0" collapsed="false">
      <c r="A17" s="1537"/>
      <c r="C17" s="1355"/>
      <c r="D17" s="1466"/>
      <c r="E17" s="1466"/>
      <c r="F17" s="1618"/>
      <c r="G17" s="1618"/>
      <c r="H17" s="1618"/>
      <c r="I17" s="1618"/>
      <c r="J17" s="1466"/>
      <c r="K17" s="1466"/>
      <c r="L17" s="1466"/>
      <c r="M17" s="1466"/>
      <c r="N17" s="1532"/>
      <c r="O17" s="1533"/>
      <c r="P17" s="1466"/>
      <c r="Q17" s="1466"/>
      <c r="R17" s="1466"/>
      <c r="S17" s="1466"/>
      <c r="T17" s="1466"/>
      <c r="Z17" s="1534"/>
      <c r="AA17" s="1535"/>
      <c r="AL17" s="1534"/>
      <c r="AM17" s="1535"/>
      <c r="AX17" s="1534"/>
      <c r="AY17" s="1535"/>
      <c r="BK17" s="1535"/>
      <c r="BP17" s="1617"/>
      <c r="BQ17" s="1534"/>
    </row>
    <row r="18" s="1520" customFormat="true" ht="10.5" hidden="false" customHeight="true" outlineLevel="0" collapsed="false">
      <c r="A18" s="1538" t="s">
        <v>2078</v>
      </c>
      <c r="B18" s="1619"/>
      <c r="C18" s="1620" t="s">
        <v>1476</v>
      </c>
      <c r="D18" s="1621" t="s">
        <v>1477</v>
      </c>
      <c r="E18" s="1621" t="s">
        <v>1478</v>
      </c>
      <c r="F18" s="1621" t="s">
        <v>1479</v>
      </c>
      <c r="G18" s="1621" t="s">
        <v>1480</v>
      </c>
      <c r="H18" s="1621" t="s">
        <v>1481</v>
      </c>
      <c r="I18" s="1621" t="s">
        <v>1482</v>
      </c>
      <c r="J18" s="1621" t="s">
        <v>1483</v>
      </c>
      <c r="K18" s="1621" t="s">
        <v>1484</v>
      </c>
      <c r="L18" s="1621" t="s">
        <v>1485</v>
      </c>
      <c r="M18" s="1621" t="s">
        <v>1486</v>
      </c>
      <c r="N18" s="1622" t="s">
        <v>1487</v>
      </c>
      <c r="O18" s="1540" t="s">
        <v>1622</v>
      </c>
      <c r="P18" s="1541" t="s">
        <v>1623</v>
      </c>
      <c r="Q18" s="1541" t="s">
        <v>1624</v>
      </c>
      <c r="R18" s="1541" t="s">
        <v>1625</v>
      </c>
      <c r="S18" s="1541" t="s">
        <v>1626</v>
      </c>
      <c r="T18" s="1541" t="s">
        <v>1627</v>
      </c>
      <c r="U18" s="1623" t="s">
        <v>1628</v>
      </c>
      <c r="V18" s="1623" t="s">
        <v>1629</v>
      </c>
      <c r="W18" s="1623" t="s">
        <v>1630</v>
      </c>
      <c r="X18" s="1623" t="s">
        <v>1631</v>
      </c>
      <c r="Y18" s="1623" t="s">
        <v>1632</v>
      </c>
      <c r="Z18" s="1624" t="s">
        <v>1633</v>
      </c>
      <c r="AA18" s="1625" t="s">
        <v>1634</v>
      </c>
      <c r="AB18" s="1623" t="s">
        <v>1635</v>
      </c>
      <c r="AC18" s="1623" t="s">
        <v>1636</v>
      </c>
      <c r="AD18" s="1623" t="s">
        <v>1637</v>
      </c>
      <c r="AE18" s="1623" t="s">
        <v>1638</v>
      </c>
      <c r="AF18" s="1623" t="s">
        <v>1639</v>
      </c>
      <c r="AG18" s="1623" t="s">
        <v>1640</v>
      </c>
      <c r="AH18" s="1623" t="s">
        <v>1641</v>
      </c>
      <c r="AI18" s="1623" t="s">
        <v>1642</v>
      </c>
      <c r="AJ18" s="1623" t="s">
        <v>1643</v>
      </c>
      <c r="AK18" s="1623" t="s">
        <v>1644</v>
      </c>
      <c r="AL18" s="1624" t="s">
        <v>1645</v>
      </c>
      <c r="AM18" s="1625" t="s">
        <v>1646</v>
      </c>
      <c r="AN18" s="1623" t="s">
        <v>1647</v>
      </c>
      <c r="AO18" s="1623" t="s">
        <v>1648</v>
      </c>
      <c r="AP18" s="1623" t="s">
        <v>1649</v>
      </c>
      <c r="AQ18" s="1623" t="s">
        <v>1650</v>
      </c>
      <c r="AR18" s="1623" t="s">
        <v>1651</v>
      </c>
      <c r="AS18" s="1623" t="s">
        <v>1652</v>
      </c>
      <c r="AT18" s="1623" t="s">
        <v>1653</v>
      </c>
      <c r="AU18" s="1623" t="s">
        <v>1654</v>
      </c>
      <c r="AV18" s="1623" t="s">
        <v>1655</v>
      </c>
      <c r="AW18" s="1623" t="s">
        <v>1656</v>
      </c>
      <c r="AX18" s="1624" t="s">
        <v>1657</v>
      </c>
      <c r="AY18" s="1625" t="s">
        <v>1658</v>
      </c>
      <c r="AZ18" s="1623" t="s">
        <v>1659</v>
      </c>
      <c r="BA18" s="1623" t="s">
        <v>1660</v>
      </c>
      <c r="BB18" s="1623" t="s">
        <v>1661</v>
      </c>
      <c r="BC18" s="1623" t="s">
        <v>1662</v>
      </c>
      <c r="BD18" s="1623" t="s">
        <v>1663</v>
      </c>
      <c r="BE18" s="1623" t="s">
        <v>1664</v>
      </c>
      <c r="BF18" s="1623" t="s">
        <v>1665</v>
      </c>
      <c r="BG18" s="1623" t="s">
        <v>1666</v>
      </c>
      <c r="BH18" s="1623" t="s">
        <v>1667</v>
      </c>
      <c r="BI18" s="1623" t="s">
        <v>1668</v>
      </c>
      <c r="BJ18" s="1623" t="s">
        <v>1669</v>
      </c>
      <c r="BK18" s="1546" t="s">
        <v>1488</v>
      </c>
      <c r="BL18" s="1626" t="s">
        <v>1672</v>
      </c>
      <c r="BM18" s="1626" t="s">
        <v>1673</v>
      </c>
      <c r="BN18" s="1626" t="s">
        <v>1674</v>
      </c>
      <c r="BO18" s="1627" t="s">
        <v>1675</v>
      </c>
      <c r="BP18" s="1549" t="s">
        <v>2078</v>
      </c>
      <c r="BQ18" s="1619"/>
    </row>
    <row r="19" customFormat="false" ht="10.5" hidden="false" customHeight="true" outlineLevel="0" collapsed="false">
      <c r="A19" s="1550" t="s">
        <v>228</v>
      </c>
      <c r="B19" s="1534"/>
      <c r="C19" s="1551" t="n">
        <f aca="false">C5*(1+$B$1)</f>
        <v>0</v>
      </c>
      <c r="D19" s="1552" t="n">
        <f aca="false">D5*(1+$B$1)</f>
        <v>0</v>
      </c>
      <c r="E19" s="1552" t="n">
        <f aca="false">E5*(1+$B$1)</f>
        <v>1054.711</v>
      </c>
      <c r="F19" s="1552" t="n">
        <f aca="false">F5*(1+$B$1)</f>
        <v>154326.619999405</v>
      </c>
      <c r="G19" s="1552" t="n">
        <f aca="false">G5*(1+$B$1)</f>
        <v>308653.23999881</v>
      </c>
      <c r="H19" s="1552" t="n">
        <f aca="false">H5*(1+$B$1)</f>
        <v>617306.479997619</v>
      </c>
      <c r="I19" s="1552" t="n">
        <f aca="false">I5*(1+$B$1)</f>
        <v>925959.719996429</v>
      </c>
      <c r="J19" s="1552" t="n">
        <f aca="false">J5*(1+$B$1)</f>
        <v>1234612.95999524</v>
      </c>
      <c r="K19" s="1552" t="n">
        <f aca="false">K5*(1+$B$1)</f>
        <v>1543266.19999405</v>
      </c>
      <c r="L19" s="1552" t="n">
        <f aca="false">L5*(1+$B$1)</f>
        <v>1851919.43999286</v>
      </c>
      <c r="M19" s="1552" t="n">
        <f aca="false">M5*(1+$B$1)</f>
        <v>2160572.67999167</v>
      </c>
      <c r="N19" s="1553" t="n">
        <f aca="false">'P&amp;L'!M19*(1+$B$1)</f>
        <v>2469225.91999048</v>
      </c>
      <c r="O19" s="1554" t="n">
        <f aca="false">'P&amp;L'!N19*(1+$B$1)</f>
        <v>3775592.33448964</v>
      </c>
      <c r="P19" s="1555" t="n">
        <f aca="false">'P&amp;L'!O19*(1+$B$1)</f>
        <v>4195102.59387738</v>
      </c>
      <c r="Q19" s="1555" t="n">
        <f aca="false">'P&amp;L'!P19*(1+$B$1)</f>
        <v>4614612.85326512</v>
      </c>
      <c r="R19" s="1555" t="n">
        <f aca="false">'P&amp;L'!Q19*(1+$B$1)</f>
        <v>5034123.11265286</v>
      </c>
      <c r="S19" s="1555" t="n">
        <f aca="false">'P&amp;L'!R19*(1+$B$1)</f>
        <v>5453633.3720406</v>
      </c>
      <c r="T19" s="1555" t="n">
        <f aca="false">'P&amp;L'!S19*(1+$B$1)</f>
        <v>5873143.63142834</v>
      </c>
      <c r="U19" s="1555" t="n">
        <f aca="false">'P&amp;L'!T19*(1+$B$1)</f>
        <v>6292653.89081608</v>
      </c>
      <c r="V19" s="1555" t="n">
        <f aca="false">'P&amp;L'!U19*(1+$B$1)</f>
        <v>6712164.15020381</v>
      </c>
      <c r="W19" s="1555" t="n">
        <f aca="false">'P&amp;L'!V19*(1+$B$1)</f>
        <v>7131674.40959155</v>
      </c>
      <c r="X19" s="1555" t="n">
        <f aca="false">'P&amp;L'!W19*(1+$B$1)</f>
        <v>7551184.66897928</v>
      </c>
      <c r="Y19" s="1555" t="n">
        <f aca="false">'P&amp;L'!X19*(1+$B$1)</f>
        <v>7970694.92836702</v>
      </c>
      <c r="Z19" s="1556" t="n">
        <f aca="false">'P&amp;L'!Y19*(1+$B$1)</f>
        <v>8390205.18775476</v>
      </c>
      <c r="AA19" s="1557" t="n">
        <f aca="false">'P&amp;L'!Z19*(1+$B$1)</f>
        <v>16017664.44935</v>
      </c>
      <c r="AB19" s="1558" t="n">
        <f aca="false">'P&amp;L'!AA19*(1+$B$1)</f>
        <v>16017664.44935</v>
      </c>
      <c r="AC19" s="1558" t="n">
        <f aca="false">'P&amp;L'!AB19*(1+$B$1)</f>
        <v>16017664.44935</v>
      </c>
      <c r="AD19" s="1558" t="n">
        <f aca="false">'P&amp;L'!AC19*(1+$B$1)</f>
        <v>16017664.44935</v>
      </c>
      <c r="AE19" s="1558" t="n">
        <f aca="false">'P&amp;L'!AD19*(1+$B$1)</f>
        <v>16017664.44935</v>
      </c>
      <c r="AF19" s="1558" t="n">
        <f aca="false">'P&amp;L'!AE19*(1+$B$1)</f>
        <v>16017664.44935</v>
      </c>
      <c r="AG19" s="1558" t="n">
        <f aca="false">'P&amp;L'!AF19*(1+$B$1)</f>
        <v>16017664.44935</v>
      </c>
      <c r="AH19" s="1558" t="n">
        <f aca="false">'P&amp;L'!AG19*(1+$B$1)</f>
        <v>16017664.44935</v>
      </c>
      <c r="AI19" s="1558" t="n">
        <f aca="false">'P&amp;L'!AH19*(1+$B$1)</f>
        <v>16017664.44935</v>
      </c>
      <c r="AJ19" s="1558" t="n">
        <f aca="false">'P&amp;L'!AI19*(1+$B$1)</f>
        <v>16017664.44935</v>
      </c>
      <c r="AK19" s="1558" t="n">
        <f aca="false">'P&amp;L'!AJ19*(1+$B$1)</f>
        <v>16017664.44935</v>
      </c>
      <c r="AL19" s="1559" t="n">
        <f aca="false">'P&amp;L'!AK19*(1+$B$1)</f>
        <v>16017664.44935</v>
      </c>
      <c r="AM19" s="1560" t="n">
        <f aca="false">'P&amp;L'!AL19*(1+$B$1)</f>
        <v>17352469.8201292</v>
      </c>
      <c r="AN19" s="1561" t="n">
        <f aca="false">'P&amp;L'!AM19*(1+$B$1)</f>
        <v>17352469.8201292</v>
      </c>
      <c r="AO19" s="1561" t="n">
        <f aca="false">'P&amp;L'!AN19*(1+$B$1)</f>
        <v>17352469.8201292</v>
      </c>
      <c r="AP19" s="1561" t="n">
        <f aca="false">'P&amp;L'!AO19*(1+$B$1)</f>
        <v>17352469.8201292</v>
      </c>
      <c r="AQ19" s="1561" t="n">
        <f aca="false">'P&amp;L'!AP19*(1+$B$1)</f>
        <v>17352469.8201292</v>
      </c>
      <c r="AR19" s="1561" t="n">
        <f aca="false">'P&amp;L'!AQ19*(1+$B$1)</f>
        <v>17352469.8201292</v>
      </c>
      <c r="AS19" s="1561" t="n">
        <f aca="false">'P&amp;L'!AR19*(1+$B$1)</f>
        <v>17352469.8201292</v>
      </c>
      <c r="AT19" s="1561" t="n">
        <f aca="false">'P&amp;L'!AS19*(1+$B$1)</f>
        <v>17352469.8201292</v>
      </c>
      <c r="AU19" s="1561" t="n">
        <f aca="false">'P&amp;L'!AT19*(1+$B$1)</f>
        <v>17352469.8201292</v>
      </c>
      <c r="AV19" s="1561" t="n">
        <f aca="false">'P&amp;L'!AU19*(1+$B$1)</f>
        <v>17352469.8201292</v>
      </c>
      <c r="AW19" s="1561" t="n">
        <f aca="false">'P&amp;L'!AV19*(1+$B$1)</f>
        <v>17352469.8201292</v>
      </c>
      <c r="AX19" s="1562" t="n">
        <f aca="false">'P&amp;L'!AW19*(1+$B$1)</f>
        <v>17352469.8201292</v>
      </c>
      <c r="AY19" s="1563" t="n">
        <f aca="false">'P&amp;L'!AX19*(1+$B$1)</f>
        <v>18687275.1909083</v>
      </c>
      <c r="AZ19" s="1564" t="n">
        <f aca="false">'P&amp;L'!AY19*(1+$B$1)</f>
        <v>18687275.1909083</v>
      </c>
      <c r="BA19" s="1564" t="n">
        <f aca="false">'P&amp;L'!AZ19*(1+$B$1)</f>
        <v>18687275.1909083</v>
      </c>
      <c r="BB19" s="1564" t="n">
        <f aca="false">'P&amp;L'!BA19*(1+$B$1)</f>
        <v>18687275.1909083</v>
      </c>
      <c r="BC19" s="1564" t="n">
        <f aca="false">'P&amp;L'!BB19*(1+$B$1)</f>
        <v>18687275.1909083</v>
      </c>
      <c r="BD19" s="1564" t="n">
        <f aca="false">'P&amp;L'!BC19*(1+$B$1)</f>
        <v>18687275.1909083</v>
      </c>
      <c r="BE19" s="1564" t="n">
        <f aca="false">'P&amp;L'!BD19*(1+$B$1)</f>
        <v>18687275.1909083</v>
      </c>
      <c r="BF19" s="1564" t="n">
        <f aca="false">'P&amp;L'!BE19*(1+$B$1)</f>
        <v>18687275.1909083</v>
      </c>
      <c r="BG19" s="1564" t="n">
        <f aca="false">'P&amp;L'!BF19*(1+$B$1)</f>
        <v>18687275.1909083</v>
      </c>
      <c r="BH19" s="1564" t="n">
        <f aca="false">'P&amp;L'!BG19*(1+$B$1)</f>
        <v>18687275.1909083</v>
      </c>
      <c r="BI19" s="1564" t="n">
        <f aca="false">'P&amp;L'!BH19*(1+$B$1)</f>
        <v>18687275.1909083</v>
      </c>
      <c r="BJ19" s="1564" t="n">
        <f aca="false">'P&amp;L'!BI19*(1+$B$1)</f>
        <v>18687275.1909083</v>
      </c>
      <c r="BK19" s="1565" t="n">
        <f aca="false">SUM(C19:N19)</f>
        <v>11266897.9709565</v>
      </c>
      <c r="BL19" s="1565" t="n">
        <f aca="false">SUM(O19:Z19)</f>
        <v>72994785.1334664</v>
      </c>
      <c r="BM19" s="1565" t="n">
        <f aca="false">SUM(AA19:AL19)</f>
        <v>192211973.3922</v>
      </c>
      <c r="BN19" s="1565" t="n">
        <f aca="false">SUM(AM19:AX19)</f>
        <v>208229637.84155</v>
      </c>
      <c r="BO19" s="1565" t="n">
        <f aca="false">SUM(AY19:BJ19)</f>
        <v>224247302.2909</v>
      </c>
      <c r="BP19" s="1566" t="s">
        <v>228</v>
      </c>
      <c r="BQ19" s="1534"/>
    </row>
    <row r="20" customFormat="false" ht="10.5" hidden="false" customHeight="true" outlineLevel="0" collapsed="false">
      <c r="A20" s="1550" t="s">
        <v>1908</v>
      </c>
      <c r="B20" s="1534"/>
      <c r="C20" s="1567" t="n">
        <f aca="false">C6*(1+$B$1)</f>
        <v>0</v>
      </c>
      <c r="D20" s="1568" t="n">
        <f aca="false">D6*(1+$B$1)</f>
        <v>0</v>
      </c>
      <c r="E20" s="1568" t="n">
        <f aca="false">E6*(1+$B$1)</f>
        <v>800.381406142857</v>
      </c>
      <c r="F20" s="1568" t="n">
        <f aca="false">F6*(1+$B$1)</f>
        <v>95901.3305409479</v>
      </c>
      <c r="G20" s="1568" t="n">
        <f aca="false">G6*(1+$B$1)</f>
        <v>191802.661081896</v>
      </c>
      <c r="H20" s="1568" t="n">
        <f aca="false">H6*(1+$B$1)</f>
        <v>383605.322163791</v>
      </c>
      <c r="I20" s="1568" t="n">
        <f aca="false">I6*(1+$B$1)</f>
        <v>575407.983245687</v>
      </c>
      <c r="J20" s="1568" t="n">
        <f aca="false">J6*(1+$B$1)</f>
        <v>767210.644327583</v>
      </c>
      <c r="K20" s="1568" t="n">
        <f aca="false">K6*(1+$B$1)</f>
        <v>959013.305409479</v>
      </c>
      <c r="L20" s="1568" t="n">
        <f aca="false">L6*(1+$B$1)</f>
        <v>1150815.96649137</v>
      </c>
      <c r="M20" s="1568" t="n">
        <f aca="false">M6*(1+$B$1)</f>
        <v>1342618.62757327</v>
      </c>
      <c r="N20" s="1569" t="n">
        <f aca="false">'P&amp;L'!M23*(1+$B$1)</f>
        <v>1534421.28865517</v>
      </c>
      <c r="O20" s="1570" t="n">
        <f aca="false">'P&amp;L'!N23*(1+$B$1)</f>
        <v>1898417.068874</v>
      </c>
      <c r="P20" s="1571" t="n">
        <f aca="false">'P&amp;L'!O23*(1+$B$1)</f>
        <v>2109352.29874889</v>
      </c>
      <c r="Q20" s="1571" t="n">
        <f aca="false">'P&amp;L'!P23*(1+$B$1)</f>
        <v>2320287.52862379</v>
      </c>
      <c r="R20" s="1571" t="n">
        <f aca="false">'P&amp;L'!Q23*(1+$B$1)</f>
        <v>2531222.75849867</v>
      </c>
      <c r="S20" s="1571" t="n">
        <f aca="false">'P&amp;L'!R23*(1+$B$1)</f>
        <v>2742157.98837356</v>
      </c>
      <c r="T20" s="1571" t="n">
        <f aca="false">'P&amp;L'!S23*(1+$B$1)</f>
        <v>2953093.21824845</v>
      </c>
      <c r="U20" s="1571" t="n">
        <f aca="false">'P&amp;L'!T23*(1+$B$1)</f>
        <v>3164028.44812334</v>
      </c>
      <c r="V20" s="1571" t="n">
        <f aca="false">'P&amp;L'!U23*(1+$B$1)</f>
        <v>3374963.67799823</v>
      </c>
      <c r="W20" s="1571" t="n">
        <f aca="false">'P&amp;L'!V23*(1+$B$1)</f>
        <v>3585898.90787312</v>
      </c>
      <c r="X20" s="1571" t="n">
        <f aca="false">'P&amp;L'!W23*(1+$B$1)</f>
        <v>3796834.13774801</v>
      </c>
      <c r="Y20" s="1571" t="n">
        <f aca="false">'P&amp;L'!X23*(1+$B$1)</f>
        <v>4007769.3676229</v>
      </c>
      <c r="Z20" s="1572" t="n">
        <f aca="false">'P&amp;L'!Y23*(1+$B$1)</f>
        <v>4218704.59749779</v>
      </c>
      <c r="AA20" s="1573" t="n">
        <f aca="false">'P&amp;L'!Z23*(1+$B$1)</f>
        <v>7797853.92259257</v>
      </c>
      <c r="AB20" s="1574" t="n">
        <f aca="false">'P&amp;L'!AA23*(1+$B$1)</f>
        <v>7797853.92259257</v>
      </c>
      <c r="AC20" s="1574" t="n">
        <f aca="false">'P&amp;L'!AB23*(1+$B$1)</f>
        <v>7797853.92259257</v>
      </c>
      <c r="AD20" s="1574" t="n">
        <f aca="false">'P&amp;L'!AC23*(1+$B$1)</f>
        <v>7797853.92259257</v>
      </c>
      <c r="AE20" s="1574" t="n">
        <f aca="false">'P&amp;L'!AD23*(1+$B$1)</f>
        <v>7797853.92259257</v>
      </c>
      <c r="AF20" s="1574" t="n">
        <f aca="false">'P&amp;L'!AE23*(1+$B$1)</f>
        <v>7797853.92259257</v>
      </c>
      <c r="AG20" s="1574" t="n">
        <f aca="false">'P&amp;L'!AF23*(1+$B$1)</f>
        <v>7797853.92259257</v>
      </c>
      <c r="AH20" s="1574" t="n">
        <f aca="false">'P&amp;L'!AG23*(1+$B$1)</f>
        <v>7797853.92259257</v>
      </c>
      <c r="AI20" s="1574" t="n">
        <f aca="false">'P&amp;L'!AH23*(1+$B$1)</f>
        <v>7797853.92259257</v>
      </c>
      <c r="AJ20" s="1574" t="n">
        <f aca="false">'P&amp;L'!AI23*(1+$B$1)</f>
        <v>7797853.92259257</v>
      </c>
      <c r="AK20" s="1574" t="n">
        <f aca="false">'P&amp;L'!AJ23*(1+$B$1)</f>
        <v>7797853.92259257</v>
      </c>
      <c r="AL20" s="1575" t="n">
        <f aca="false">'P&amp;L'!AK23*(1+$B$1)</f>
        <v>7797853.92259257</v>
      </c>
      <c r="AM20" s="1576" t="n">
        <f aca="false">'P&amp;L'!AL23*(1+$B$1)</f>
        <v>8212974.79956401</v>
      </c>
      <c r="AN20" s="1577" t="n">
        <f aca="false">'P&amp;L'!AM23*(1+$B$1)</f>
        <v>8212974.79956401</v>
      </c>
      <c r="AO20" s="1577" t="n">
        <f aca="false">'P&amp;L'!AN23*(1+$B$1)</f>
        <v>8212974.79956401</v>
      </c>
      <c r="AP20" s="1577" t="n">
        <f aca="false">'P&amp;L'!AO23*(1+$B$1)</f>
        <v>8212974.79956401</v>
      </c>
      <c r="AQ20" s="1577" t="n">
        <f aca="false">'P&amp;L'!AP23*(1+$B$1)</f>
        <v>8212974.79956401</v>
      </c>
      <c r="AR20" s="1577" t="n">
        <f aca="false">'P&amp;L'!AQ23*(1+$B$1)</f>
        <v>8212974.79956401</v>
      </c>
      <c r="AS20" s="1577" t="n">
        <f aca="false">'P&amp;L'!AR23*(1+$B$1)</f>
        <v>8212974.79956401</v>
      </c>
      <c r="AT20" s="1577" t="n">
        <f aca="false">'P&amp;L'!AS23*(1+$B$1)</f>
        <v>8212974.79956401</v>
      </c>
      <c r="AU20" s="1577" t="n">
        <f aca="false">'P&amp;L'!AT23*(1+$B$1)</f>
        <v>8212974.79956401</v>
      </c>
      <c r="AV20" s="1577" t="n">
        <f aca="false">'P&amp;L'!AU23*(1+$B$1)</f>
        <v>8212974.79956401</v>
      </c>
      <c r="AW20" s="1577" t="n">
        <f aca="false">'P&amp;L'!AV23*(1+$B$1)</f>
        <v>8212974.79956401</v>
      </c>
      <c r="AX20" s="1578" t="n">
        <f aca="false">'P&amp;L'!AW23*(1+$B$1)</f>
        <v>8212974.79956401</v>
      </c>
      <c r="AY20" s="1579" t="n">
        <f aca="false">'P&amp;L'!AX23*(1+$B$1)</f>
        <v>8628095.67653545</v>
      </c>
      <c r="AZ20" s="1580" t="n">
        <f aca="false">'P&amp;L'!AY23*(1+$B$1)</f>
        <v>8628095.67653545</v>
      </c>
      <c r="BA20" s="1580" t="n">
        <f aca="false">'P&amp;L'!AZ23*(1+$B$1)</f>
        <v>8628095.67653545</v>
      </c>
      <c r="BB20" s="1580" t="n">
        <f aca="false">'P&amp;L'!BA23*(1+$B$1)</f>
        <v>8628095.67653545</v>
      </c>
      <c r="BC20" s="1580" t="n">
        <f aca="false">'P&amp;L'!BB23*(1+$B$1)</f>
        <v>8628095.67653545</v>
      </c>
      <c r="BD20" s="1580" t="n">
        <f aca="false">'P&amp;L'!BC23*(1+$B$1)</f>
        <v>8628095.67653545</v>
      </c>
      <c r="BE20" s="1580" t="n">
        <f aca="false">'P&amp;L'!BD23*(1+$B$1)</f>
        <v>8628095.67653545</v>
      </c>
      <c r="BF20" s="1580" t="n">
        <f aca="false">'P&amp;L'!BE23*(1+$B$1)</f>
        <v>8628095.67653545</v>
      </c>
      <c r="BG20" s="1580" t="n">
        <f aca="false">'P&amp;L'!BF23*(1+$B$1)</f>
        <v>8628095.67653545</v>
      </c>
      <c r="BH20" s="1580" t="n">
        <f aca="false">'P&amp;L'!BG23*(1+$B$1)</f>
        <v>8628095.67653545</v>
      </c>
      <c r="BI20" s="1580" t="n">
        <f aca="false">'P&amp;L'!BH23*(1+$B$1)</f>
        <v>8628095.67653545</v>
      </c>
      <c r="BJ20" s="1580" t="n">
        <f aca="false">'P&amp;L'!BI23*(1+$B$1)</f>
        <v>8628095.67653545</v>
      </c>
      <c r="BK20" s="1581" t="n">
        <f aca="false">SUM(C20:N20)</f>
        <v>7001597.51089534</v>
      </c>
      <c r="BL20" s="1581" t="n">
        <f aca="false">SUM(O20:Z20)</f>
        <v>36702729.9982308</v>
      </c>
      <c r="BM20" s="1581" t="n">
        <f aca="false">SUM(AA20:AL20)</f>
        <v>93574247.0711108</v>
      </c>
      <c r="BN20" s="1581" t="n">
        <f aca="false">SUM(AM20:AX20)</f>
        <v>98555697.5947681</v>
      </c>
      <c r="BO20" s="1581" t="n">
        <f aca="false">SUM(AY20:BJ20)</f>
        <v>103537148.118425</v>
      </c>
      <c r="BP20" s="1566" t="s">
        <v>1908</v>
      </c>
      <c r="BQ20" s="1534"/>
    </row>
    <row r="21" customFormat="false" ht="10.5" hidden="false" customHeight="true" outlineLevel="0" collapsed="false">
      <c r="A21" s="1550" t="s">
        <v>1909</v>
      </c>
      <c r="B21" s="1534"/>
      <c r="C21" s="1567" t="n">
        <f aca="false">C19-C20</f>
        <v>0</v>
      </c>
      <c r="D21" s="1568" t="n">
        <f aca="false">D19-D20</f>
        <v>0</v>
      </c>
      <c r="E21" s="1568" t="n">
        <f aca="false">E19-E20</f>
        <v>254.329593857143</v>
      </c>
      <c r="F21" s="1568" t="n">
        <f aca="false">F19-F20</f>
        <v>58425.2894584569</v>
      </c>
      <c r="G21" s="1568" t="n">
        <f aca="false">G19-G20</f>
        <v>116850.578916914</v>
      </c>
      <c r="H21" s="1568" t="n">
        <f aca="false">H19-H20</f>
        <v>233701.157833828</v>
      </c>
      <c r="I21" s="1568" t="n">
        <f aca="false">I19-I20</f>
        <v>350551.736750742</v>
      </c>
      <c r="J21" s="1568" t="n">
        <f aca="false">J19-J20</f>
        <v>467402.315667655</v>
      </c>
      <c r="K21" s="1568" t="n">
        <f aca="false">K19-K20</f>
        <v>584252.894584569</v>
      </c>
      <c r="L21" s="1568" t="n">
        <f aca="false">L19-L20</f>
        <v>701103.473501483</v>
      </c>
      <c r="M21" s="1568" t="n">
        <f aca="false">M19-M20</f>
        <v>817954.052418397</v>
      </c>
      <c r="N21" s="1569" t="n">
        <f aca="false">N19-N20</f>
        <v>934804.63133531</v>
      </c>
      <c r="O21" s="1570" t="n">
        <f aca="false">O19-O20</f>
        <v>1877175.26561564</v>
      </c>
      <c r="P21" s="1571" t="n">
        <f aca="false">P19-P20</f>
        <v>2085750.29512849</v>
      </c>
      <c r="Q21" s="1571" t="n">
        <f aca="false">Q19-Q20</f>
        <v>2294325.32464134</v>
      </c>
      <c r="R21" s="1571" t="n">
        <f aca="false">R19-R20</f>
        <v>2502900.35415419</v>
      </c>
      <c r="S21" s="1571" t="n">
        <f aca="false">S19-S20</f>
        <v>2711475.38366704</v>
      </c>
      <c r="T21" s="1571" t="n">
        <f aca="false">T19-T20</f>
        <v>2920050.41317988</v>
      </c>
      <c r="U21" s="1571" t="n">
        <f aca="false">U19-U20</f>
        <v>3128625.44269273</v>
      </c>
      <c r="V21" s="1571" t="n">
        <f aca="false">V19-V20</f>
        <v>3337200.47220558</v>
      </c>
      <c r="W21" s="1571" t="n">
        <f aca="false">W19-W20</f>
        <v>3545775.50171843</v>
      </c>
      <c r="X21" s="1571" t="n">
        <f aca="false">X19-X20</f>
        <v>3754350.53123127</v>
      </c>
      <c r="Y21" s="1571" t="n">
        <f aca="false">Y19-Y20</f>
        <v>3962925.56074413</v>
      </c>
      <c r="Z21" s="1572" t="n">
        <f aca="false">Z19-Z20</f>
        <v>4171500.59025697</v>
      </c>
      <c r="AA21" s="1573" t="n">
        <f aca="false">AA19-AA20</f>
        <v>8219810.52675743</v>
      </c>
      <c r="AB21" s="1574" t="n">
        <f aca="false">AB19-AB20</f>
        <v>8219810.52675743</v>
      </c>
      <c r="AC21" s="1574" t="n">
        <f aca="false">AC19-AC20</f>
        <v>8219810.52675743</v>
      </c>
      <c r="AD21" s="1574" t="n">
        <f aca="false">AD19-AD20</f>
        <v>8219810.52675743</v>
      </c>
      <c r="AE21" s="1574" t="n">
        <f aca="false">AE19-AE20</f>
        <v>8219810.52675743</v>
      </c>
      <c r="AF21" s="1574" t="n">
        <f aca="false">AF19-AF20</f>
        <v>8219810.52675743</v>
      </c>
      <c r="AG21" s="1574" t="n">
        <f aca="false">AG19-AG20</f>
        <v>8219810.52675743</v>
      </c>
      <c r="AH21" s="1574" t="n">
        <f aca="false">AH19-AH20</f>
        <v>8219810.52675743</v>
      </c>
      <c r="AI21" s="1574" t="n">
        <f aca="false">AI19-AI20</f>
        <v>8219810.52675743</v>
      </c>
      <c r="AJ21" s="1574" t="n">
        <f aca="false">AJ19-AJ20</f>
        <v>8219810.52675743</v>
      </c>
      <c r="AK21" s="1574" t="n">
        <f aca="false">AK19-AK20</f>
        <v>8219810.52675743</v>
      </c>
      <c r="AL21" s="1575" t="n">
        <f aca="false">AL19-AL20</f>
        <v>8219810.52675743</v>
      </c>
      <c r="AM21" s="1576" t="n">
        <f aca="false">AM19-AM20</f>
        <v>9139495.02056516</v>
      </c>
      <c r="AN21" s="1577" t="n">
        <f aca="false">AN19-AN20</f>
        <v>9139495.02056516</v>
      </c>
      <c r="AO21" s="1577" t="n">
        <f aca="false">AO19-AO20</f>
        <v>9139495.02056516</v>
      </c>
      <c r="AP21" s="1577" t="n">
        <f aca="false">AP19-AP20</f>
        <v>9139495.02056516</v>
      </c>
      <c r="AQ21" s="1577" t="n">
        <f aca="false">AQ19-AQ20</f>
        <v>9139495.02056516</v>
      </c>
      <c r="AR21" s="1577" t="n">
        <f aca="false">AR19-AR20</f>
        <v>9139495.02056516</v>
      </c>
      <c r="AS21" s="1577" t="n">
        <f aca="false">AS19-AS20</f>
        <v>9139495.02056516</v>
      </c>
      <c r="AT21" s="1577" t="n">
        <f aca="false">AT19-AT20</f>
        <v>9139495.02056516</v>
      </c>
      <c r="AU21" s="1577" t="n">
        <f aca="false">AU19-AU20</f>
        <v>9139495.02056516</v>
      </c>
      <c r="AV21" s="1577" t="n">
        <f aca="false">AV19-AV20</f>
        <v>9139495.02056516</v>
      </c>
      <c r="AW21" s="1577" t="n">
        <f aca="false">AW19-AW20</f>
        <v>9139495.02056516</v>
      </c>
      <c r="AX21" s="1578" t="n">
        <f aca="false">AX19-AX20</f>
        <v>9139495.02056516</v>
      </c>
      <c r="AY21" s="1579" t="n">
        <f aca="false">AY19-AY20</f>
        <v>10059179.5143729</v>
      </c>
      <c r="AZ21" s="1580" t="n">
        <f aca="false">AZ19-AZ20</f>
        <v>10059179.5143729</v>
      </c>
      <c r="BA21" s="1580" t="n">
        <f aca="false">BA19-BA20</f>
        <v>10059179.5143729</v>
      </c>
      <c r="BB21" s="1580" t="n">
        <f aca="false">BB19-BB20</f>
        <v>10059179.5143729</v>
      </c>
      <c r="BC21" s="1580" t="n">
        <f aca="false">BC19-BC20</f>
        <v>10059179.5143729</v>
      </c>
      <c r="BD21" s="1580" t="n">
        <f aca="false">BD19-BD20</f>
        <v>10059179.5143729</v>
      </c>
      <c r="BE21" s="1580" t="n">
        <f aca="false">BE19-BE20</f>
        <v>10059179.5143729</v>
      </c>
      <c r="BF21" s="1580" t="n">
        <f aca="false">BF19-BF20</f>
        <v>10059179.5143729</v>
      </c>
      <c r="BG21" s="1580" t="n">
        <f aca="false">BG19-BG20</f>
        <v>10059179.5143729</v>
      </c>
      <c r="BH21" s="1580" t="n">
        <f aca="false">BH19-BH20</f>
        <v>10059179.5143729</v>
      </c>
      <c r="BI21" s="1580" t="n">
        <f aca="false">BI19-BI20</f>
        <v>10059179.5143729</v>
      </c>
      <c r="BJ21" s="1580" t="n">
        <f aca="false">BJ19-BJ20</f>
        <v>10059179.5143729</v>
      </c>
      <c r="BK21" s="1581" t="n">
        <f aca="false">SUM(C21:N21)</f>
        <v>4265300.46006121</v>
      </c>
      <c r="BL21" s="1581" t="n">
        <f aca="false">SUM(O21:Z21)</f>
        <v>36292055.1352357</v>
      </c>
      <c r="BM21" s="1581" t="n">
        <f aca="false">SUM(AA21:AL21)</f>
        <v>98637726.3210891</v>
      </c>
      <c r="BN21" s="1581" t="n">
        <f aca="false">SUM(AM21:AX21)</f>
        <v>109673940.246782</v>
      </c>
      <c r="BO21" s="1581" t="n">
        <f aca="false">SUM(AY21:BJ21)</f>
        <v>120710154.172475</v>
      </c>
      <c r="BP21" s="1566" t="s">
        <v>1909</v>
      </c>
      <c r="BQ21" s="1534"/>
    </row>
    <row r="22" customFormat="false" ht="10.5" hidden="false" customHeight="true" outlineLevel="0" collapsed="false">
      <c r="A22" s="1582" t="s">
        <v>2076</v>
      </c>
      <c r="B22" s="1534"/>
      <c r="C22" s="1583" t="str">
        <f aca="false">IF(C19=0,"N/A",C21/C19)</f>
        <v>N/A</v>
      </c>
      <c r="D22" s="1584" t="str">
        <f aca="false">IF(D19=0,"N/A",D21/D19)</f>
        <v>N/A</v>
      </c>
      <c r="E22" s="1584" t="n">
        <f aca="false">IF(E19=0,"N/A",E21/E19)</f>
        <v>0.241136760550656</v>
      </c>
      <c r="F22" s="1584" t="n">
        <f aca="false">IF(F19=0,"N/A",F21/F19)</f>
        <v>0.378582058355728</v>
      </c>
      <c r="G22" s="1584" t="n">
        <f aca="false">IF(G19=0,"N/A",G21/G19)</f>
        <v>0.378582058355728</v>
      </c>
      <c r="H22" s="1584" t="n">
        <f aca="false">IF(H19=0,"N/A",H21/H19)</f>
        <v>0.378582058355728</v>
      </c>
      <c r="I22" s="1584" t="n">
        <f aca="false">IF(I19=0,"N/A",I21/I19)</f>
        <v>0.378582058355728</v>
      </c>
      <c r="J22" s="1584" t="n">
        <f aca="false">IF(J19=0,"N/A",J21/J19)</f>
        <v>0.378582058355728</v>
      </c>
      <c r="K22" s="1584" t="n">
        <f aca="false">IF(K19=0,"N/A",K21/K19)</f>
        <v>0.378582058355728</v>
      </c>
      <c r="L22" s="1584" t="n">
        <f aca="false">IF(L19=0,"N/A",L21/L19)</f>
        <v>0.378582058355728</v>
      </c>
      <c r="M22" s="1584" t="n">
        <f aca="false">IF(M19=0,"N/A",M21/M19)</f>
        <v>0.378582058355728</v>
      </c>
      <c r="N22" s="1585" t="n">
        <f aca="false">IF(N19=0,"N/A",N21/N19)</f>
        <v>0.378582058355728</v>
      </c>
      <c r="O22" s="1586" t="n">
        <f aca="false">IFERROR(O21/O19,"N/A")</f>
        <v>0.497186957518649</v>
      </c>
      <c r="P22" s="1587" t="n">
        <f aca="false">IFERROR(P21/P19,"N/A")</f>
        <v>0.497186957518649</v>
      </c>
      <c r="Q22" s="1587" t="n">
        <f aca="false">IFERROR(Q21/Q19,"N/A")</f>
        <v>0.497186957518649</v>
      </c>
      <c r="R22" s="1587" t="n">
        <f aca="false">IFERROR(R21/R19,"N/A")</f>
        <v>0.497186957518649</v>
      </c>
      <c r="S22" s="1587" t="n">
        <f aca="false">IFERROR(S21/S19,"N/A")</f>
        <v>0.497186957518649</v>
      </c>
      <c r="T22" s="1587" t="n">
        <f aca="false">IFERROR(T21/T19,"N/A")</f>
        <v>0.497186957518649</v>
      </c>
      <c r="U22" s="1587" t="n">
        <f aca="false">IFERROR(U21/U19,"N/A")</f>
        <v>0.497186957518649</v>
      </c>
      <c r="V22" s="1587" t="n">
        <f aca="false">IFERROR(V21/V19,"N/A")</f>
        <v>0.497186957518649</v>
      </c>
      <c r="W22" s="1587" t="n">
        <f aca="false">IFERROR(W21/W19,"N/A")</f>
        <v>0.497186957518649</v>
      </c>
      <c r="X22" s="1587" t="n">
        <f aca="false">IFERROR(X21/X19,"N/A")</f>
        <v>0.497186957518649</v>
      </c>
      <c r="Y22" s="1587" t="n">
        <f aca="false">IFERROR(Y21/Y19,"N/A")</f>
        <v>0.497186957518649</v>
      </c>
      <c r="Z22" s="1588" t="n">
        <f aca="false">IFERROR(Z21/Z19,"N/A")</f>
        <v>0.497186957518649</v>
      </c>
      <c r="AA22" s="1589" t="n">
        <f aca="false">IFERROR(AA21/AA19,"N/A")</f>
        <v>0.51317160206156</v>
      </c>
      <c r="AB22" s="1590" t="n">
        <f aca="false">IFERROR(AB21/AB19,"N/A")</f>
        <v>0.51317160206156</v>
      </c>
      <c r="AC22" s="1590" t="n">
        <f aca="false">IFERROR(AC21/AC19,"N/A")</f>
        <v>0.51317160206156</v>
      </c>
      <c r="AD22" s="1590" t="n">
        <f aca="false">IFERROR(AD21/AD19,"N/A")</f>
        <v>0.51317160206156</v>
      </c>
      <c r="AE22" s="1590" t="n">
        <f aca="false">IFERROR(AE21/AE19,"N/A")</f>
        <v>0.51317160206156</v>
      </c>
      <c r="AF22" s="1590" t="n">
        <f aca="false">IFERROR(AF21/AF19,"N/A")</f>
        <v>0.51317160206156</v>
      </c>
      <c r="AG22" s="1590" t="n">
        <f aca="false">IFERROR(AG21/AG19,"N/A")</f>
        <v>0.51317160206156</v>
      </c>
      <c r="AH22" s="1590" t="n">
        <f aca="false">IFERROR(AH21/AH19,"N/A")</f>
        <v>0.51317160206156</v>
      </c>
      <c r="AI22" s="1590" t="n">
        <f aca="false">IFERROR(AI21/AI19,"N/A")</f>
        <v>0.51317160206156</v>
      </c>
      <c r="AJ22" s="1590" t="n">
        <f aca="false">IFERROR(AJ21/AJ19,"N/A")</f>
        <v>0.51317160206156</v>
      </c>
      <c r="AK22" s="1590" t="n">
        <f aca="false">IFERROR(AK21/AK19,"N/A")</f>
        <v>0.51317160206156</v>
      </c>
      <c r="AL22" s="1591" t="n">
        <f aca="false">IFERROR(AL21/AL19,"N/A")</f>
        <v>0.51317160206156</v>
      </c>
      <c r="AM22" s="1592" t="n">
        <f aca="false">IFERROR(AM21/AM19,"N/A")</f>
        <v>0.526697070520946</v>
      </c>
      <c r="AN22" s="1593" t="n">
        <f aca="false">IFERROR(AN21/AN19,"N/A")</f>
        <v>0.526697070520946</v>
      </c>
      <c r="AO22" s="1593" t="n">
        <f aca="false">IFERROR(AO21/AO19,"N/A")</f>
        <v>0.526697070520946</v>
      </c>
      <c r="AP22" s="1593" t="n">
        <f aca="false">IFERROR(AP21/AP19,"N/A")</f>
        <v>0.526697070520946</v>
      </c>
      <c r="AQ22" s="1593" t="n">
        <f aca="false">IFERROR(AQ21/AQ19,"N/A")</f>
        <v>0.526697070520946</v>
      </c>
      <c r="AR22" s="1593" t="n">
        <f aca="false">IFERROR(AR21/AR19,"N/A")</f>
        <v>0.526697070520946</v>
      </c>
      <c r="AS22" s="1593" t="n">
        <f aca="false">IFERROR(AS21/AS19,"N/A")</f>
        <v>0.526697070520946</v>
      </c>
      <c r="AT22" s="1593" t="n">
        <f aca="false">IFERROR(AT21/AT19,"N/A")</f>
        <v>0.526697070520946</v>
      </c>
      <c r="AU22" s="1593" t="n">
        <f aca="false">IFERROR(AU21/AU19,"N/A")</f>
        <v>0.526697070520946</v>
      </c>
      <c r="AV22" s="1593" t="n">
        <f aca="false">IFERROR(AV21/AV19,"N/A")</f>
        <v>0.526697070520946</v>
      </c>
      <c r="AW22" s="1593" t="n">
        <f aca="false">IFERROR(AW21/AW19,"N/A")</f>
        <v>0.526697070520946</v>
      </c>
      <c r="AX22" s="1594" t="n">
        <f aca="false">IFERROR(AX21/AX19,"N/A")</f>
        <v>0.526697070520946</v>
      </c>
      <c r="AY22" s="1595" t="n">
        <f aca="false">IFERROR(AY21/AY19,"N/A")</f>
        <v>0.53829032920042</v>
      </c>
      <c r="AZ22" s="1596" t="n">
        <f aca="false">IFERROR(AZ21/AZ19,"N/A")</f>
        <v>0.53829032920042</v>
      </c>
      <c r="BA22" s="1596" t="n">
        <f aca="false">IFERROR(BA21/BA19,"N/A")</f>
        <v>0.53829032920042</v>
      </c>
      <c r="BB22" s="1596" t="n">
        <f aca="false">IFERROR(BB21/BB19,"N/A")</f>
        <v>0.53829032920042</v>
      </c>
      <c r="BC22" s="1596" t="n">
        <f aca="false">IFERROR(BC21/BC19,"N/A")</f>
        <v>0.53829032920042</v>
      </c>
      <c r="BD22" s="1596" t="n">
        <f aca="false">IFERROR(BD21/BD19,"N/A")</f>
        <v>0.53829032920042</v>
      </c>
      <c r="BE22" s="1596" t="n">
        <f aca="false">IFERROR(BE21/BE19,"N/A")</f>
        <v>0.53829032920042</v>
      </c>
      <c r="BF22" s="1596" t="n">
        <f aca="false">IFERROR(BF21/BF19,"N/A")</f>
        <v>0.53829032920042</v>
      </c>
      <c r="BG22" s="1596" t="n">
        <f aca="false">IFERROR(BG21/BG19,"N/A")</f>
        <v>0.53829032920042</v>
      </c>
      <c r="BH22" s="1596" t="n">
        <f aca="false">IFERROR(BH21/BH19,"N/A")</f>
        <v>0.53829032920042</v>
      </c>
      <c r="BI22" s="1596" t="n">
        <f aca="false">IFERROR(BI21/BI19,"N/A")</f>
        <v>0.53829032920042</v>
      </c>
      <c r="BJ22" s="1596" t="n">
        <f aca="false">IFERROR(BJ21/BJ19,"N/A")</f>
        <v>0.53829032920042</v>
      </c>
      <c r="BK22" s="1597" t="n">
        <f aca="false">IFERROR(BK21/BK19,"N/A")</f>
        <v>0.378569191897909</v>
      </c>
      <c r="BL22" s="1597" t="n">
        <f aca="false">IFERROR(BL21/BL19,"N/A")</f>
        <v>0.497186957518649</v>
      </c>
      <c r="BM22" s="1597" t="n">
        <f aca="false">IFERROR(BM21/BM19,"N/A")</f>
        <v>0.51317160206156</v>
      </c>
      <c r="BN22" s="1597" t="n">
        <f aca="false">IFERROR(BN21/BN19,"N/A")</f>
        <v>0.526697070520946</v>
      </c>
      <c r="BO22" s="1597" t="n">
        <f aca="false">IFERROR(BO21/BO19,"N/A")</f>
        <v>0.538290329200419</v>
      </c>
      <c r="BP22" s="1598" t="s">
        <v>2076</v>
      </c>
      <c r="BQ22" s="1534"/>
    </row>
    <row r="23" customFormat="false" ht="10.5" hidden="false" customHeight="true" outlineLevel="0" collapsed="false">
      <c r="A23" s="1550" t="s">
        <v>1490</v>
      </c>
      <c r="B23" s="1534"/>
      <c r="C23" s="1567" t="n">
        <f aca="false">C9</f>
        <v>395805.9718</v>
      </c>
      <c r="D23" s="1568" t="n">
        <f aca="false">D9</f>
        <v>412861.9718</v>
      </c>
      <c r="E23" s="1568" t="n">
        <f aca="false">E9</f>
        <v>421481.6858</v>
      </c>
      <c r="F23" s="1568" t="n">
        <f aca="false">F9</f>
        <v>434809.677886905</v>
      </c>
      <c r="G23" s="1568" t="n">
        <f aca="false">G9</f>
        <v>448229.38397381</v>
      </c>
      <c r="H23" s="1568" t="n">
        <f aca="false">H9</f>
        <v>496388.796147619</v>
      </c>
      <c r="I23" s="1568" t="n">
        <f aca="false">I9</f>
        <v>608656.708321429</v>
      </c>
      <c r="J23" s="1568" t="n">
        <f aca="false">J9</f>
        <v>686496.075495238</v>
      </c>
      <c r="K23" s="1568" t="n">
        <f aca="false">K9</f>
        <v>737231.512669048</v>
      </c>
      <c r="L23" s="1568" t="n">
        <f aca="false">L9</f>
        <v>789756.389842857</v>
      </c>
      <c r="M23" s="1568" t="n">
        <f aca="false">M9</f>
        <v>836907.347016667</v>
      </c>
      <c r="N23" s="1569" t="n">
        <f aca="false">'P&amp;L'!M41</f>
        <v>889432.224190476</v>
      </c>
      <c r="O23" s="1570" t="n">
        <f aca="false">'P&amp;L'!N41</f>
        <v>1158254.81769214</v>
      </c>
      <c r="P23" s="1571" t="n">
        <f aca="false">'P&amp;L'!O41</f>
        <v>1247120.43068238</v>
      </c>
      <c r="Q23" s="1571" t="n">
        <f aca="false">'P&amp;L'!P41</f>
        <v>1380758.04367262</v>
      </c>
      <c r="R23" s="1571" t="n">
        <f aca="false">'P&amp;L'!Q41</f>
        <v>1510512.19666286</v>
      </c>
      <c r="S23" s="1571" t="n">
        <f aca="false">'P&amp;L'!R41</f>
        <v>1640266.3496531</v>
      </c>
      <c r="T23" s="1571" t="n">
        <f aca="false">'P&amp;L'!S41</f>
        <v>1770020.50264333</v>
      </c>
      <c r="U23" s="1571" t="n">
        <f aca="false">'P&amp;L'!T41</f>
        <v>1899774.65563357</v>
      </c>
      <c r="V23" s="1571" t="n">
        <f aca="false">'P&amp;L'!U41</f>
        <v>1984756.80862381</v>
      </c>
      <c r="W23" s="1571" t="n">
        <f aca="false">'P&amp;L'!V41</f>
        <v>2021235.96161405</v>
      </c>
      <c r="X23" s="1571" t="n">
        <f aca="false">'P&amp;L'!W41</f>
        <v>2057715.11460429</v>
      </c>
      <c r="Y23" s="1571" t="n">
        <f aca="false">'P&amp;L'!X41</f>
        <v>2094194.26759452</v>
      </c>
      <c r="Z23" s="1572" t="n">
        <f aca="false">'P&amp;L'!Y41</f>
        <v>2130673.42058476</v>
      </c>
      <c r="AA23" s="1573" t="n">
        <f aca="false">'P&amp;L'!Z41</f>
        <v>2918981.3386285</v>
      </c>
      <c r="AB23" s="1574" t="n">
        <f aca="false">'P&amp;L'!AA41</f>
        <v>2918981.3386285</v>
      </c>
      <c r="AC23" s="1574" t="n">
        <f aca="false">'P&amp;L'!AB41</f>
        <v>2918981.3386285</v>
      </c>
      <c r="AD23" s="1574" t="n">
        <f aca="false">'P&amp;L'!AC41</f>
        <v>2918981.3386285</v>
      </c>
      <c r="AE23" s="1574" t="n">
        <f aca="false">'P&amp;L'!AD41</f>
        <v>2918981.3386285</v>
      </c>
      <c r="AF23" s="1574" t="n">
        <f aca="false">'P&amp;L'!AE41</f>
        <v>2918981.3386285</v>
      </c>
      <c r="AG23" s="1574" t="n">
        <f aca="false">'P&amp;L'!AF41</f>
        <v>2918981.3386285</v>
      </c>
      <c r="AH23" s="1574" t="n">
        <f aca="false">'P&amp;L'!AG41</f>
        <v>2918981.3386285</v>
      </c>
      <c r="AI23" s="1574" t="n">
        <f aca="false">'P&amp;L'!AH41</f>
        <v>2918981.3386285</v>
      </c>
      <c r="AJ23" s="1574" t="n">
        <f aca="false">'P&amp;L'!AI41</f>
        <v>2918981.3386285</v>
      </c>
      <c r="AK23" s="1574" t="n">
        <f aca="false">'P&amp;L'!AJ41</f>
        <v>2918981.3386285</v>
      </c>
      <c r="AL23" s="1575" t="n">
        <f aca="false">'P&amp;L'!AK41</f>
        <v>2918981.3386285</v>
      </c>
      <c r="AM23" s="1576" t="n">
        <f aca="false">'P&amp;L'!AL41</f>
        <v>3101582.64745659</v>
      </c>
      <c r="AN23" s="1577" t="n">
        <f aca="false">'P&amp;L'!AM41</f>
        <v>3101582.64745659</v>
      </c>
      <c r="AO23" s="1577" t="n">
        <f aca="false">'P&amp;L'!AN41</f>
        <v>3101582.64745659</v>
      </c>
      <c r="AP23" s="1577" t="n">
        <f aca="false">'P&amp;L'!AO41</f>
        <v>3101582.64745659</v>
      </c>
      <c r="AQ23" s="1577" t="n">
        <f aca="false">'P&amp;L'!AP41</f>
        <v>3101582.64745659</v>
      </c>
      <c r="AR23" s="1577" t="n">
        <f aca="false">'P&amp;L'!AQ41</f>
        <v>3101582.64745659</v>
      </c>
      <c r="AS23" s="1577" t="n">
        <f aca="false">'P&amp;L'!AR41</f>
        <v>3101582.64745659</v>
      </c>
      <c r="AT23" s="1577" t="n">
        <f aca="false">'P&amp;L'!AS41</f>
        <v>3101582.64745659</v>
      </c>
      <c r="AU23" s="1577" t="n">
        <f aca="false">'P&amp;L'!AT41</f>
        <v>3101582.64745659</v>
      </c>
      <c r="AV23" s="1577" t="n">
        <f aca="false">'P&amp;L'!AU41</f>
        <v>3101582.64745659</v>
      </c>
      <c r="AW23" s="1577" t="n">
        <f aca="false">'P&amp;L'!AV41</f>
        <v>3101582.64745659</v>
      </c>
      <c r="AX23" s="1578" t="n">
        <f aca="false">'P&amp;L'!AW41</f>
        <v>3101582.64745659</v>
      </c>
      <c r="AY23" s="1579" t="n">
        <f aca="false">'P&amp;L'!AX41</f>
        <v>3287510.520114</v>
      </c>
      <c r="AZ23" s="1580" t="n">
        <f aca="false">'P&amp;L'!AY41</f>
        <v>3287510.520114</v>
      </c>
      <c r="BA23" s="1580" t="n">
        <f aca="false">'P&amp;L'!AZ41</f>
        <v>3287510.520114</v>
      </c>
      <c r="BB23" s="1580" t="n">
        <f aca="false">'P&amp;L'!BA41</f>
        <v>3287510.520114</v>
      </c>
      <c r="BC23" s="1580" t="n">
        <f aca="false">'P&amp;L'!BB41</f>
        <v>3287510.520114</v>
      </c>
      <c r="BD23" s="1580" t="n">
        <f aca="false">'P&amp;L'!BC41</f>
        <v>3287510.520114</v>
      </c>
      <c r="BE23" s="1580" t="n">
        <f aca="false">'P&amp;L'!BD41</f>
        <v>3287510.520114</v>
      </c>
      <c r="BF23" s="1580" t="n">
        <f aca="false">'P&amp;L'!BE41</f>
        <v>3287510.520114</v>
      </c>
      <c r="BG23" s="1580" t="n">
        <f aca="false">'P&amp;L'!BF41</f>
        <v>3287510.520114</v>
      </c>
      <c r="BH23" s="1580" t="n">
        <f aca="false">'P&amp;L'!BG41</f>
        <v>3287510.520114</v>
      </c>
      <c r="BI23" s="1580" t="n">
        <f aca="false">'P&amp;L'!BH41</f>
        <v>3287510.520114</v>
      </c>
      <c r="BJ23" s="1580" t="n">
        <f aca="false">'P&amp;L'!BI41</f>
        <v>3287510.520114</v>
      </c>
      <c r="BK23" s="1581" t="n">
        <f aca="false">SUM(C23:N23)</f>
        <v>7158057.74494405</v>
      </c>
      <c r="BL23" s="1581" t="n">
        <f aca="false">SUM(O23:Z23)</f>
        <v>20895282.5696614</v>
      </c>
      <c r="BM23" s="1581" t="n">
        <f aca="false">SUM(AA23:AL23)</f>
        <v>35027776.063542</v>
      </c>
      <c r="BN23" s="1581" t="n">
        <f aca="false">SUM(AM23:AX23)</f>
        <v>37218991.7694791</v>
      </c>
      <c r="BO23" s="1581" t="n">
        <f aca="false">SUM(AY23:BJ23)</f>
        <v>39450126.2413681</v>
      </c>
      <c r="BP23" s="1566" t="s">
        <v>1490</v>
      </c>
      <c r="BQ23" s="1534"/>
    </row>
    <row r="24" customFormat="false" ht="10.5" hidden="false" customHeight="true" outlineLevel="0" collapsed="false">
      <c r="A24" s="1550" t="s">
        <v>111</v>
      </c>
      <c r="B24" s="1534"/>
      <c r="C24" s="1567" t="n">
        <f aca="false">C21-C23</f>
        <v>-395805.9718</v>
      </c>
      <c r="D24" s="1568" t="n">
        <f aca="false">D21-D23</f>
        <v>-412861.9718</v>
      </c>
      <c r="E24" s="1568" t="n">
        <f aca="false">E21-E23</f>
        <v>-421227.356206143</v>
      </c>
      <c r="F24" s="1568" t="n">
        <f aca="false">F21-F23</f>
        <v>-376384.388428448</v>
      </c>
      <c r="G24" s="1568" t="n">
        <f aca="false">G21-G23</f>
        <v>-331378.805056896</v>
      </c>
      <c r="H24" s="1568" t="n">
        <f aca="false">H21-H23</f>
        <v>-262687.638313792</v>
      </c>
      <c r="I24" s="1568" t="n">
        <f aca="false">I21-I23</f>
        <v>-258104.971570687</v>
      </c>
      <c r="J24" s="1568" t="n">
        <f aca="false">J21-J23</f>
        <v>-219093.759827583</v>
      </c>
      <c r="K24" s="1568" t="n">
        <f aca="false">K21-K23</f>
        <v>-152978.618084478</v>
      </c>
      <c r="L24" s="1568" t="n">
        <f aca="false">L21-L23</f>
        <v>-88652.9163413743</v>
      </c>
      <c r="M24" s="1568" t="n">
        <f aca="false">M21-M23</f>
        <v>-18953.2945982699</v>
      </c>
      <c r="N24" s="1569" t="n">
        <f aca="false">N21-N23</f>
        <v>45372.4071448338</v>
      </c>
      <c r="O24" s="1570" t="n">
        <f aca="false">O21-O23</f>
        <v>718920.447923496</v>
      </c>
      <c r="P24" s="1571" t="n">
        <f aca="false">P21-P23</f>
        <v>838629.864446106</v>
      </c>
      <c r="Q24" s="1571" t="n">
        <f aca="false">Q21-Q23</f>
        <v>913567.280968718</v>
      </c>
      <c r="R24" s="1571" t="n">
        <f aca="false">R21-R23</f>
        <v>992388.15749133</v>
      </c>
      <c r="S24" s="1571" t="n">
        <f aca="false">S21-S23</f>
        <v>1071209.03401394</v>
      </c>
      <c r="T24" s="1571" t="n">
        <f aca="false">T21-T23</f>
        <v>1150029.91053655</v>
      </c>
      <c r="U24" s="1571" t="n">
        <f aca="false">U21-U23</f>
        <v>1228850.78705916</v>
      </c>
      <c r="V24" s="1571" t="n">
        <f aca="false">V21-V23</f>
        <v>1352443.66358177</v>
      </c>
      <c r="W24" s="1571" t="n">
        <f aca="false">W21-W23</f>
        <v>1524539.54010438</v>
      </c>
      <c r="X24" s="1571" t="n">
        <f aca="false">X21-X23</f>
        <v>1696635.41662699</v>
      </c>
      <c r="Y24" s="1571" t="n">
        <f aca="false">Y21-Y23</f>
        <v>1868731.2931496</v>
      </c>
      <c r="Z24" s="1572" t="n">
        <f aca="false">Z21-Z23</f>
        <v>2040827.16967221</v>
      </c>
      <c r="AA24" s="1573" t="n">
        <f aca="false">AA21-AA23</f>
        <v>5300829.18812893</v>
      </c>
      <c r="AB24" s="1574" t="n">
        <f aca="false">AB21-AB23</f>
        <v>5300829.18812893</v>
      </c>
      <c r="AC24" s="1574" t="n">
        <f aca="false">AC21-AC23</f>
        <v>5300829.18812893</v>
      </c>
      <c r="AD24" s="1574" t="n">
        <f aca="false">AD21-AD23</f>
        <v>5300829.18812893</v>
      </c>
      <c r="AE24" s="1574" t="n">
        <f aca="false">AE21-AE23</f>
        <v>5300829.18812893</v>
      </c>
      <c r="AF24" s="1574" t="n">
        <f aca="false">AF21-AF23</f>
        <v>5300829.18812893</v>
      </c>
      <c r="AG24" s="1574" t="n">
        <f aca="false">AG21-AG23</f>
        <v>5300829.18812893</v>
      </c>
      <c r="AH24" s="1574" t="n">
        <f aca="false">AH21-AH23</f>
        <v>5300829.18812893</v>
      </c>
      <c r="AI24" s="1574" t="n">
        <f aca="false">AI21-AI23</f>
        <v>5300829.18812893</v>
      </c>
      <c r="AJ24" s="1574" t="n">
        <f aca="false">AJ21-AJ23</f>
        <v>5300829.18812893</v>
      </c>
      <c r="AK24" s="1574" t="n">
        <f aca="false">AK21-AK23</f>
        <v>5300829.18812893</v>
      </c>
      <c r="AL24" s="1575" t="n">
        <f aca="false">AL21-AL23</f>
        <v>5300829.18812893</v>
      </c>
      <c r="AM24" s="1576" t="n">
        <f aca="false">AM21-AM23</f>
        <v>6037912.37310856</v>
      </c>
      <c r="AN24" s="1577" t="n">
        <f aca="false">AN21-AN23</f>
        <v>6037912.37310856</v>
      </c>
      <c r="AO24" s="1577" t="n">
        <f aca="false">AO21-AO23</f>
        <v>6037912.37310856</v>
      </c>
      <c r="AP24" s="1577" t="n">
        <f aca="false">AP21-AP23</f>
        <v>6037912.37310856</v>
      </c>
      <c r="AQ24" s="1577" t="n">
        <f aca="false">AQ21-AQ23</f>
        <v>6037912.37310856</v>
      </c>
      <c r="AR24" s="1577" t="n">
        <f aca="false">AR21-AR23</f>
        <v>6037912.37310856</v>
      </c>
      <c r="AS24" s="1577" t="n">
        <f aca="false">AS21-AS23</f>
        <v>6037912.37310856</v>
      </c>
      <c r="AT24" s="1577" t="n">
        <f aca="false">AT21-AT23</f>
        <v>6037912.37310856</v>
      </c>
      <c r="AU24" s="1577" t="n">
        <f aca="false">AU21-AU23</f>
        <v>6037912.37310856</v>
      </c>
      <c r="AV24" s="1577" t="n">
        <f aca="false">AV21-AV23</f>
        <v>6037912.37310856</v>
      </c>
      <c r="AW24" s="1577" t="n">
        <f aca="false">AW21-AW23</f>
        <v>6037912.37310856</v>
      </c>
      <c r="AX24" s="1578" t="n">
        <f aca="false">AX21-AX23</f>
        <v>6037912.37310856</v>
      </c>
      <c r="AY24" s="1579" t="n">
        <f aca="false">AY21-AY23</f>
        <v>6771668.99425887</v>
      </c>
      <c r="AZ24" s="1580" t="n">
        <f aca="false">AZ21-AZ23</f>
        <v>6771668.99425887</v>
      </c>
      <c r="BA24" s="1580" t="n">
        <f aca="false">BA21-BA23</f>
        <v>6771668.99425887</v>
      </c>
      <c r="BB24" s="1580" t="n">
        <f aca="false">BB21-BB23</f>
        <v>6771668.99425887</v>
      </c>
      <c r="BC24" s="1580" t="n">
        <f aca="false">BC21-BC23</f>
        <v>6771668.99425887</v>
      </c>
      <c r="BD24" s="1580" t="n">
        <f aca="false">BD21-BD23</f>
        <v>6771668.99425887</v>
      </c>
      <c r="BE24" s="1580" t="n">
        <f aca="false">BE21-BE23</f>
        <v>6771668.99425887</v>
      </c>
      <c r="BF24" s="1580" t="n">
        <f aca="false">BF21-BF23</f>
        <v>6771668.99425887</v>
      </c>
      <c r="BG24" s="1580" t="n">
        <f aca="false">BG21-BG23</f>
        <v>6771668.99425887</v>
      </c>
      <c r="BH24" s="1580" t="n">
        <f aca="false">BH21-BH23</f>
        <v>6771668.99425887</v>
      </c>
      <c r="BI24" s="1580" t="n">
        <f aca="false">BI21-BI23</f>
        <v>6771668.99425887</v>
      </c>
      <c r="BJ24" s="1580" t="n">
        <f aca="false">BJ21-BJ23</f>
        <v>6771668.99425887</v>
      </c>
      <c r="BK24" s="1581" t="n">
        <f aca="false">SUM(C24:N24)</f>
        <v>-2892757.28488284</v>
      </c>
      <c r="BL24" s="1581" t="n">
        <f aca="false">SUM(O24:Z24)</f>
        <v>15396772.5655743</v>
      </c>
      <c r="BM24" s="1581" t="n">
        <f aca="false">SUM(AA24:AL24)</f>
        <v>63609950.2575471</v>
      </c>
      <c r="BN24" s="1581" t="n">
        <f aca="false">SUM(AM24:AX24)</f>
        <v>72454948.4773028</v>
      </c>
      <c r="BO24" s="1581" t="n">
        <f aca="false">SUM(AY24:BJ24)</f>
        <v>81260027.9311065</v>
      </c>
      <c r="BP24" s="1566" t="s">
        <v>111</v>
      </c>
      <c r="BQ24" s="1534"/>
    </row>
    <row r="25" customFormat="false" ht="10.5" hidden="false" customHeight="true" outlineLevel="0" collapsed="false">
      <c r="A25" s="1550" t="s">
        <v>227</v>
      </c>
      <c r="B25" s="1534"/>
      <c r="C25" s="1567" t="n">
        <f aca="false">C24</f>
        <v>-395805.9718</v>
      </c>
      <c r="D25" s="1568" t="n">
        <f aca="false">D24</f>
        <v>-412861.9718</v>
      </c>
      <c r="E25" s="1568" t="n">
        <f aca="false">E24</f>
        <v>-421227.356206143</v>
      </c>
      <c r="F25" s="1568" t="n">
        <f aca="false">F24</f>
        <v>-376384.388428448</v>
      </c>
      <c r="G25" s="1568" t="n">
        <f aca="false">G24</f>
        <v>-331378.805056896</v>
      </c>
      <c r="H25" s="1568" t="n">
        <f aca="false">H24</f>
        <v>-262687.638313792</v>
      </c>
      <c r="I25" s="1568" t="n">
        <f aca="false">I24</f>
        <v>-258104.971570687</v>
      </c>
      <c r="J25" s="1568" t="n">
        <f aca="false">J24</f>
        <v>-219093.759827583</v>
      </c>
      <c r="K25" s="1568" t="n">
        <f aca="false">K24</f>
        <v>-152978.618084478</v>
      </c>
      <c r="L25" s="1568" t="n">
        <f aca="false">L24</f>
        <v>-88652.9163413743</v>
      </c>
      <c r="M25" s="1568" t="n">
        <f aca="false">M24</f>
        <v>-18953.2945982699</v>
      </c>
      <c r="N25" s="1569" t="n">
        <f aca="false">N24</f>
        <v>45372.4071448338</v>
      </c>
      <c r="O25" s="1570" t="n">
        <f aca="false">O24</f>
        <v>718920.447923496</v>
      </c>
      <c r="P25" s="1571" t="n">
        <f aca="false">P24</f>
        <v>838629.864446106</v>
      </c>
      <c r="Q25" s="1571" t="n">
        <f aca="false">Q24</f>
        <v>913567.280968718</v>
      </c>
      <c r="R25" s="1571" t="n">
        <f aca="false">R24</f>
        <v>992388.15749133</v>
      </c>
      <c r="S25" s="1571" t="n">
        <f aca="false">S24</f>
        <v>1071209.03401394</v>
      </c>
      <c r="T25" s="1571" t="n">
        <f aca="false">T24</f>
        <v>1150029.91053655</v>
      </c>
      <c r="U25" s="1571" t="n">
        <f aca="false">U24</f>
        <v>1228850.78705916</v>
      </c>
      <c r="V25" s="1571" t="n">
        <f aca="false">V24</f>
        <v>1352443.66358177</v>
      </c>
      <c r="W25" s="1571" t="n">
        <f aca="false">W24</f>
        <v>1524539.54010438</v>
      </c>
      <c r="X25" s="1571" t="n">
        <f aca="false">X24</f>
        <v>1696635.41662699</v>
      </c>
      <c r="Y25" s="1571" t="n">
        <f aca="false">Y24</f>
        <v>1868731.2931496</v>
      </c>
      <c r="Z25" s="1572" t="n">
        <f aca="false">Z24</f>
        <v>2040827.16967221</v>
      </c>
      <c r="AA25" s="1573" t="n">
        <f aca="false">AA24</f>
        <v>5300829.18812893</v>
      </c>
      <c r="AB25" s="1574" t="n">
        <f aca="false">AB24</f>
        <v>5300829.18812893</v>
      </c>
      <c r="AC25" s="1574" t="n">
        <f aca="false">AC24</f>
        <v>5300829.18812893</v>
      </c>
      <c r="AD25" s="1574" t="n">
        <f aca="false">AD24</f>
        <v>5300829.18812893</v>
      </c>
      <c r="AE25" s="1574" t="n">
        <f aca="false">AE24</f>
        <v>5300829.18812893</v>
      </c>
      <c r="AF25" s="1574" t="n">
        <f aca="false">AF24</f>
        <v>5300829.18812893</v>
      </c>
      <c r="AG25" s="1574" t="n">
        <f aca="false">AG24</f>
        <v>5300829.18812893</v>
      </c>
      <c r="AH25" s="1574" t="n">
        <f aca="false">AH24</f>
        <v>5300829.18812893</v>
      </c>
      <c r="AI25" s="1574" t="n">
        <f aca="false">AI24</f>
        <v>5300829.18812893</v>
      </c>
      <c r="AJ25" s="1574" t="n">
        <f aca="false">AJ24</f>
        <v>5300829.18812893</v>
      </c>
      <c r="AK25" s="1574" t="n">
        <f aca="false">AK24</f>
        <v>5300829.18812893</v>
      </c>
      <c r="AL25" s="1575" t="n">
        <f aca="false">AL24</f>
        <v>5300829.18812893</v>
      </c>
      <c r="AM25" s="1576" t="n">
        <f aca="false">AM24</f>
        <v>6037912.37310856</v>
      </c>
      <c r="AN25" s="1577" t="n">
        <f aca="false">AN24</f>
        <v>6037912.37310856</v>
      </c>
      <c r="AO25" s="1577" t="n">
        <f aca="false">AO24</f>
        <v>6037912.37310856</v>
      </c>
      <c r="AP25" s="1577" t="n">
        <f aca="false">AP24</f>
        <v>6037912.37310856</v>
      </c>
      <c r="AQ25" s="1577" t="n">
        <f aca="false">AQ24</f>
        <v>6037912.37310856</v>
      </c>
      <c r="AR25" s="1577" t="n">
        <f aca="false">AR24</f>
        <v>6037912.37310856</v>
      </c>
      <c r="AS25" s="1577" t="n">
        <f aca="false">AS24</f>
        <v>6037912.37310856</v>
      </c>
      <c r="AT25" s="1577" t="n">
        <f aca="false">AT24</f>
        <v>6037912.37310856</v>
      </c>
      <c r="AU25" s="1577" t="n">
        <f aca="false">AU24</f>
        <v>6037912.37310856</v>
      </c>
      <c r="AV25" s="1577" t="n">
        <f aca="false">AV24</f>
        <v>6037912.37310856</v>
      </c>
      <c r="AW25" s="1577" t="n">
        <f aca="false">AW24</f>
        <v>6037912.37310856</v>
      </c>
      <c r="AX25" s="1578" t="n">
        <f aca="false">AX24</f>
        <v>6037912.37310856</v>
      </c>
      <c r="AY25" s="1579" t="n">
        <f aca="false">AY24</f>
        <v>6771668.99425887</v>
      </c>
      <c r="AZ25" s="1580" t="n">
        <f aca="false">AZ24</f>
        <v>6771668.99425887</v>
      </c>
      <c r="BA25" s="1580" t="n">
        <f aca="false">BA24</f>
        <v>6771668.99425887</v>
      </c>
      <c r="BB25" s="1580" t="n">
        <f aca="false">BB24</f>
        <v>6771668.99425887</v>
      </c>
      <c r="BC25" s="1580" t="n">
        <f aca="false">BC24</f>
        <v>6771668.99425887</v>
      </c>
      <c r="BD25" s="1580" t="n">
        <f aca="false">BD24</f>
        <v>6771668.99425887</v>
      </c>
      <c r="BE25" s="1580" t="n">
        <f aca="false">BE24</f>
        <v>6771668.99425887</v>
      </c>
      <c r="BF25" s="1580" t="n">
        <f aca="false">BF24</f>
        <v>6771668.99425887</v>
      </c>
      <c r="BG25" s="1580" t="n">
        <f aca="false">BG24</f>
        <v>6771668.99425887</v>
      </c>
      <c r="BH25" s="1580" t="n">
        <f aca="false">BH24</f>
        <v>6771668.99425887</v>
      </c>
      <c r="BI25" s="1580" t="n">
        <f aca="false">BI24</f>
        <v>6771668.99425887</v>
      </c>
      <c r="BJ25" s="1580" t="n">
        <f aca="false">BJ24</f>
        <v>6771668.99425887</v>
      </c>
      <c r="BK25" s="1581" t="n">
        <f aca="false">SUM(C25:N25)</f>
        <v>-2892757.28488284</v>
      </c>
      <c r="BL25" s="1581" t="n">
        <f aca="false">SUM(O25:Z25)</f>
        <v>15396772.5655743</v>
      </c>
      <c r="BM25" s="1581" t="n">
        <f aca="false">SUM(AA25:AL25)</f>
        <v>63609950.2575471</v>
      </c>
      <c r="BN25" s="1581" t="n">
        <f aca="false">SUM(AM25:AX25)</f>
        <v>72454948.4773028</v>
      </c>
      <c r="BO25" s="1581" t="n">
        <f aca="false">SUM(AY25:BJ25)</f>
        <v>81260027.9311065</v>
      </c>
      <c r="BP25" s="1566" t="s">
        <v>227</v>
      </c>
      <c r="BQ25" s="1534"/>
    </row>
    <row r="26" customFormat="false" ht="10.5" hidden="false" customHeight="true" outlineLevel="0" collapsed="false">
      <c r="A26" s="1550" t="s">
        <v>1914</v>
      </c>
      <c r="B26" s="1534"/>
      <c r="C26" s="1567" t="n">
        <f aca="false">C12+(C24-C10)</f>
        <v>9994578.0003863</v>
      </c>
      <c r="D26" s="1568" t="n">
        <f aca="false">D12+(D24-D10)</f>
        <v>9598538.38475069</v>
      </c>
      <c r="E26" s="1568" t="n">
        <f aca="false">E12+(E24-E10)</f>
        <v>9185594.53763855</v>
      </c>
      <c r="F26" s="1568" t="n">
        <f aca="false">F12+(F24-F10)</f>
        <v>8772431.87315879</v>
      </c>
      <c r="G26" s="1568" t="n">
        <f aca="false">G12+(G24-G10)</f>
        <v>8396559.60655831</v>
      </c>
      <c r="H26" s="1568" t="n">
        <f aca="false">H12+(H24-H10)</f>
        <v>8065912.99036285</v>
      </c>
      <c r="I26" s="1568" t="n">
        <f aca="false">I12+(I24-I10)</f>
        <v>7782413.81098791</v>
      </c>
      <c r="J26" s="1568" t="n">
        <f aca="false">J12+(J24-J10)</f>
        <v>7475861.78765493</v>
      </c>
      <c r="K26" s="1568" t="n">
        <f aca="false">K12+(K24-K10)</f>
        <v>7184105.64729063</v>
      </c>
      <c r="L26" s="1568" t="n">
        <f aca="false">L12+(L24-L10)</f>
        <v>6934856.13342306</v>
      </c>
      <c r="M26" s="1568" t="n">
        <f aca="false">M12+(M24-M10)</f>
        <v>6726721.57906701</v>
      </c>
      <c r="N26" s="1569" t="n">
        <f aca="false">M26+N25</f>
        <v>6772093.98621184</v>
      </c>
      <c r="O26" s="1570" t="n">
        <f aca="false">N26+O25</f>
        <v>7491014.43413534</v>
      </c>
      <c r="P26" s="1571" t="n">
        <f aca="false">O26+P25</f>
        <v>8329644.29858144</v>
      </c>
      <c r="Q26" s="1571" t="n">
        <f aca="false">P26+Q25</f>
        <v>9243211.57955016</v>
      </c>
      <c r="R26" s="1571" t="n">
        <f aca="false">Q26+R25</f>
        <v>10235599.7370415</v>
      </c>
      <c r="S26" s="1571" t="n">
        <f aca="false">R26+S25</f>
        <v>11306808.7710554</v>
      </c>
      <c r="T26" s="1571" t="n">
        <f aca="false">S26+T25</f>
        <v>12456838.681592</v>
      </c>
      <c r="U26" s="1571" t="n">
        <f aca="false">T26+U25</f>
        <v>13685689.4686511</v>
      </c>
      <c r="V26" s="1571" t="n">
        <f aca="false">U26+V25</f>
        <v>15038133.1322329</v>
      </c>
      <c r="W26" s="1571" t="n">
        <f aca="false">V26+W25</f>
        <v>16562672.6723373</v>
      </c>
      <c r="X26" s="1571" t="n">
        <f aca="false">W26+X25</f>
        <v>18259308.0889643</v>
      </c>
      <c r="Y26" s="1571" t="n">
        <f aca="false">X26+Y25</f>
        <v>20128039.3821139</v>
      </c>
      <c r="Z26" s="1572" t="n">
        <f aca="false">Y26+Z25</f>
        <v>22168866.5517861</v>
      </c>
      <c r="AA26" s="1573" t="n">
        <f aca="false">Z26+AA25</f>
        <v>27469695.739915</v>
      </c>
      <c r="AB26" s="1574" t="n">
        <f aca="false">AA26+AB25</f>
        <v>32770524.928044</v>
      </c>
      <c r="AC26" s="1574" t="n">
        <f aca="false">AB26+AC25</f>
        <v>38071354.1161729</v>
      </c>
      <c r="AD26" s="1574" t="n">
        <f aca="false">AC26+AD25</f>
        <v>43372183.3043018</v>
      </c>
      <c r="AE26" s="1574" t="n">
        <f aca="false">AD26+AE25</f>
        <v>48673012.4924307</v>
      </c>
      <c r="AF26" s="1574" t="n">
        <f aca="false">AE26+AF25</f>
        <v>53973841.6805597</v>
      </c>
      <c r="AG26" s="1574" t="n">
        <f aca="false">AF26+AG25</f>
        <v>59274670.8686886</v>
      </c>
      <c r="AH26" s="1574" t="n">
        <f aca="false">AG26+AH25</f>
        <v>64575500.0568175</v>
      </c>
      <c r="AI26" s="1574" t="n">
        <f aca="false">AH26+AI25</f>
        <v>69876329.2449464</v>
      </c>
      <c r="AJ26" s="1574" t="n">
        <f aca="false">AI26+AJ25</f>
        <v>75177158.4330754</v>
      </c>
      <c r="AK26" s="1574" t="n">
        <f aca="false">AJ26+AK25</f>
        <v>80477987.6212043</v>
      </c>
      <c r="AL26" s="1575" t="n">
        <f aca="false">AK26+AL25</f>
        <v>85778816.8093332</v>
      </c>
      <c r="AM26" s="1576" t="n">
        <f aca="false">AL26+AM25</f>
        <v>91816729.1824418</v>
      </c>
      <c r="AN26" s="1577" t="n">
        <f aca="false">AM26+AN25</f>
        <v>97854641.5555503</v>
      </c>
      <c r="AO26" s="1577" t="n">
        <f aca="false">AN26+AO25</f>
        <v>103892553.928659</v>
      </c>
      <c r="AP26" s="1577" t="n">
        <f aca="false">AO26+AP25</f>
        <v>109930466.301767</v>
      </c>
      <c r="AQ26" s="1577" t="n">
        <f aca="false">AP26+AQ25</f>
        <v>115968378.674876</v>
      </c>
      <c r="AR26" s="1577" t="n">
        <f aca="false">AQ26+AR25</f>
        <v>122006291.047985</v>
      </c>
      <c r="AS26" s="1577" t="n">
        <f aca="false">AR26+AS25</f>
        <v>128044203.421093</v>
      </c>
      <c r="AT26" s="1577" t="n">
        <f aca="false">AS26+AT25</f>
        <v>134082115.794202</v>
      </c>
      <c r="AU26" s="1577" t="n">
        <f aca="false">AT26+AU25</f>
        <v>140120028.16731</v>
      </c>
      <c r="AV26" s="1577" t="n">
        <f aca="false">AU26+AV25</f>
        <v>146157940.540419</v>
      </c>
      <c r="AW26" s="1577" t="n">
        <f aca="false">AV26+AW25</f>
        <v>152195852.913527</v>
      </c>
      <c r="AX26" s="1578" t="n">
        <f aca="false">AW26+AX25</f>
        <v>158233765.286636</v>
      </c>
      <c r="AY26" s="1579" t="n">
        <f aca="false">AX26+AY25</f>
        <v>165005434.280895</v>
      </c>
      <c r="AZ26" s="1580" t="n">
        <f aca="false">AY26+AZ25</f>
        <v>171777103.275154</v>
      </c>
      <c r="BA26" s="1580" t="n">
        <f aca="false">AZ26+BA25</f>
        <v>178548772.269413</v>
      </c>
      <c r="BB26" s="1580" t="n">
        <f aca="false">BA26+BB25</f>
        <v>185320441.263672</v>
      </c>
      <c r="BC26" s="1580" t="n">
        <f aca="false">BB26+BC25</f>
        <v>192092110.25793</v>
      </c>
      <c r="BD26" s="1580" t="n">
        <f aca="false">BC26+BD25</f>
        <v>198863779.252189</v>
      </c>
      <c r="BE26" s="1580" t="n">
        <f aca="false">BD26+BE25</f>
        <v>205635448.246448</v>
      </c>
      <c r="BF26" s="1580" t="n">
        <f aca="false">BE26+BF25</f>
        <v>212407117.240707</v>
      </c>
      <c r="BG26" s="1580" t="n">
        <f aca="false">BF26+BG25</f>
        <v>219178786.234966</v>
      </c>
      <c r="BH26" s="1580" t="n">
        <f aca="false">BG26+BH25</f>
        <v>225950455.229225</v>
      </c>
      <c r="BI26" s="1580" t="n">
        <f aca="false">BH26+BI25</f>
        <v>232722124.223484</v>
      </c>
      <c r="BJ26" s="1580" t="n">
        <f aca="false">BI26+BJ25</f>
        <v>239493793.217743</v>
      </c>
      <c r="BK26" s="1581" t="n">
        <f aca="false">N26</f>
        <v>6772093.98621184</v>
      </c>
      <c r="BL26" s="1581" t="n">
        <f aca="false">Z26</f>
        <v>22168866.5517861</v>
      </c>
      <c r="BM26" s="1581" t="n">
        <f aca="false">AL26</f>
        <v>85778816.8093332</v>
      </c>
      <c r="BN26" s="1581" t="n">
        <f aca="false">AX26</f>
        <v>158233765.286636</v>
      </c>
      <c r="BO26" s="1581" t="n">
        <f aca="false">BJ26</f>
        <v>239493793.217743</v>
      </c>
      <c r="BP26" s="1566" t="s">
        <v>1914</v>
      </c>
      <c r="BQ26" s="1534"/>
    </row>
    <row r="27" customFormat="false" ht="10.5" hidden="false" customHeight="true" outlineLevel="0" collapsed="false">
      <c r="A27" s="1582" t="s">
        <v>2077</v>
      </c>
      <c r="B27" s="1534"/>
      <c r="C27" s="1583" t="str">
        <f aca="false">IF(C19=0,"N/A",C24/C19)</f>
        <v>N/A</v>
      </c>
      <c r="D27" s="1584" t="str">
        <f aca="false">IF(D19=0,"N/A",D24/D19)</f>
        <v>N/A</v>
      </c>
      <c r="E27" s="1584" t="n">
        <f aca="false">IF(E19=0,"N/A",E24/E19)</f>
        <v>-399.377039024096</v>
      </c>
      <c r="F27" s="1584" t="n">
        <f aca="false">IF(F19=0,"N/A",F24/F19)</f>
        <v>-2.4388818236925</v>
      </c>
      <c r="G27" s="1584" t="n">
        <f aca="false">IF(G19=0,"N/A",G24/G19)</f>
        <v>-1.07362814353795</v>
      </c>
      <c r="H27" s="1584" t="n">
        <f aca="false">IF(H19=0,"N/A",H24/H19)</f>
        <v>-0.425538442938109</v>
      </c>
      <c r="I27" s="1584" t="n">
        <f aca="false">IF(I19=0,"N/A",I24/I19)</f>
        <v>-0.278743195839753</v>
      </c>
      <c r="J27" s="1584" t="n">
        <f aca="false">IF(J19=0,"N/A",J24/J19)</f>
        <v>-0.177459468616325</v>
      </c>
      <c r="K27" s="1584" t="n">
        <f aca="false">IF(K19=0,"N/A",K24/K19)</f>
        <v>-0.0991265266388056</v>
      </c>
      <c r="L27" s="1584" t="n">
        <f aca="false">IF(L19=0,"N/A",L24/L19)</f>
        <v>-0.0478708276542074</v>
      </c>
      <c r="M27" s="1584" t="n">
        <f aca="false">IF(M19=0,"N/A",M24/M19)</f>
        <v>-0.0087723476158844</v>
      </c>
      <c r="N27" s="1585" t="n">
        <f aca="false">IF(N19=0,"N/A",N24/N19)</f>
        <v>0.018375154244699</v>
      </c>
      <c r="O27" s="1586" t="n">
        <f aca="false">IFERROR(O24/O19,"N/A")</f>
        <v>0.190412625154531</v>
      </c>
      <c r="P27" s="1587" t="n">
        <f aca="false">IFERROR(P24/P19,"N/A")</f>
        <v>0.199906878480173</v>
      </c>
      <c r="Q27" s="1587" t="n">
        <f aca="false">IFERROR(Q24/Q19,"N/A")</f>
        <v>0.197972681570094</v>
      </c>
      <c r="R27" s="1587" t="n">
        <f aca="false">IFERROR(R24/R19,"N/A")</f>
        <v>0.197132278111563</v>
      </c>
      <c r="S27" s="1587" t="n">
        <f aca="false">IFERROR(S24/S19,"N/A")</f>
        <v>0.196421167492805</v>
      </c>
      <c r="T27" s="1587" t="n">
        <f aca="false">IFERROR(T24/T19,"N/A")</f>
        <v>0.195811644105299</v>
      </c>
      <c r="U27" s="1587" t="n">
        <f aca="false">IFERROR(U24/U19,"N/A")</f>
        <v>0.195283390502794</v>
      </c>
      <c r="V27" s="1587" t="n">
        <f aca="false">IFERROR(V24/V19,"N/A")</f>
        <v>0.201491446471956</v>
      </c>
      <c r="W27" s="1587" t="n">
        <f aca="false">IFERROR(W24/W19,"N/A")</f>
        <v>0.213770210548871</v>
      </c>
      <c r="X27" s="1587" t="n">
        <f aca="false">IFERROR(X24/X19,"N/A")</f>
        <v>0.224684667506129</v>
      </c>
      <c r="Y27" s="1587" t="n">
        <f aca="false">IFERROR(Y24/Y19,"N/A")</f>
        <v>0.23445023425736</v>
      </c>
      <c r="Z27" s="1588" t="n">
        <f aca="false">IFERROR(Z24/Z19,"N/A")</f>
        <v>0.243239244333468</v>
      </c>
      <c r="AA27" s="1589" t="n">
        <f aca="false">IFERROR(AA24/AA19,"N/A")</f>
        <v>0.330936461110848</v>
      </c>
      <c r="AB27" s="1590" t="n">
        <f aca="false">IFERROR(AB24/AB19,"N/A")</f>
        <v>0.330936461110848</v>
      </c>
      <c r="AC27" s="1590" t="n">
        <f aca="false">IFERROR(AC24/AC19,"N/A")</f>
        <v>0.330936461110848</v>
      </c>
      <c r="AD27" s="1590" t="n">
        <f aca="false">IFERROR(AD24/AD19,"N/A")</f>
        <v>0.330936461110848</v>
      </c>
      <c r="AE27" s="1590" t="n">
        <f aca="false">IFERROR(AE24/AE19,"N/A")</f>
        <v>0.330936461110848</v>
      </c>
      <c r="AF27" s="1590" t="n">
        <f aca="false">IFERROR(AF24/AF19,"N/A")</f>
        <v>0.330936461110848</v>
      </c>
      <c r="AG27" s="1590" t="n">
        <f aca="false">IFERROR(AG24/AG19,"N/A")</f>
        <v>0.330936461110848</v>
      </c>
      <c r="AH27" s="1590" t="n">
        <f aca="false">IFERROR(AH24/AH19,"N/A")</f>
        <v>0.330936461110848</v>
      </c>
      <c r="AI27" s="1590" t="n">
        <f aca="false">IFERROR(AI24/AI19,"N/A")</f>
        <v>0.330936461110848</v>
      </c>
      <c r="AJ27" s="1590" t="n">
        <f aca="false">IFERROR(AJ24/AJ19,"N/A")</f>
        <v>0.330936461110848</v>
      </c>
      <c r="AK27" s="1590" t="n">
        <f aca="false">IFERROR(AK24/AK19,"N/A")</f>
        <v>0.330936461110848</v>
      </c>
      <c r="AL27" s="1591" t="n">
        <f aca="false">IFERROR(AL24/AL19,"N/A")</f>
        <v>0.330936461110848</v>
      </c>
      <c r="AM27" s="1592" t="n">
        <f aca="false">IFERROR(AM24/AM19,"N/A")</f>
        <v>0.34795694421001</v>
      </c>
      <c r="AN27" s="1593" t="n">
        <f aca="false">IFERROR(AN24/AN19,"N/A")</f>
        <v>0.34795694421001</v>
      </c>
      <c r="AO27" s="1593" t="n">
        <f aca="false">IFERROR(AO24/AO19,"N/A")</f>
        <v>0.34795694421001</v>
      </c>
      <c r="AP27" s="1593" t="n">
        <f aca="false">IFERROR(AP24/AP19,"N/A")</f>
        <v>0.34795694421001</v>
      </c>
      <c r="AQ27" s="1593" t="n">
        <f aca="false">IFERROR(AQ24/AQ19,"N/A")</f>
        <v>0.34795694421001</v>
      </c>
      <c r="AR27" s="1593" t="n">
        <f aca="false">IFERROR(AR24/AR19,"N/A")</f>
        <v>0.34795694421001</v>
      </c>
      <c r="AS27" s="1593" t="n">
        <f aca="false">IFERROR(AS24/AS19,"N/A")</f>
        <v>0.34795694421001</v>
      </c>
      <c r="AT27" s="1593" t="n">
        <f aca="false">IFERROR(AT24/AT19,"N/A")</f>
        <v>0.34795694421001</v>
      </c>
      <c r="AU27" s="1593" t="n">
        <f aca="false">IFERROR(AU24/AU19,"N/A")</f>
        <v>0.34795694421001</v>
      </c>
      <c r="AV27" s="1593" t="n">
        <f aca="false">IFERROR(AV24/AV19,"N/A")</f>
        <v>0.34795694421001</v>
      </c>
      <c r="AW27" s="1593" t="n">
        <f aca="false">IFERROR(AW24/AW19,"N/A")</f>
        <v>0.34795694421001</v>
      </c>
      <c r="AX27" s="1594" t="n">
        <f aca="false">IFERROR(AX24/AX19,"N/A")</f>
        <v>0.34795694421001</v>
      </c>
      <c r="AY27" s="1595" t="n">
        <f aca="false">IFERROR(AY24/AY19,"N/A")</f>
        <v>0.362367917477525</v>
      </c>
      <c r="AZ27" s="1596" t="n">
        <f aca="false">IFERROR(AZ24/AZ19,"N/A")</f>
        <v>0.362367917477525</v>
      </c>
      <c r="BA27" s="1596" t="n">
        <f aca="false">IFERROR(BA24/BA19,"N/A")</f>
        <v>0.362367917477525</v>
      </c>
      <c r="BB27" s="1596" t="n">
        <f aca="false">IFERROR(BB24/BB19,"N/A")</f>
        <v>0.362367917477525</v>
      </c>
      <c r="BC27" s="1596" t="n">
        <f aca="false">IFERROR(BC24/BC19,"N/A")</f>
        <v>0.362367917477525</v>
      </c>
      <c r="BD27" s="1596" t="n">
        <f aca="false">IFERROR(BD24/BD19,"N/A")</f>
        <v>0.362367917477525</v>
      </c>
      <c r="BE27" s="1596" t="n">
        <f aca="false">IFERROR(BE24/BE19,"N/A")</f>
        <v>0.362367917477525</v>
      </c>
      <c r="BF27" s="1596" t="n">
        <f aca="false">IFERROR(BF24/BF19,"N/A")</f>
        <v>0.362367917477525</v>
      </c>
      <c r="BG27" s="1596" t="n">
        <f aca="false">IFERROR(BG24/BG19,"N/A")</f>
        <v>0.362367917477525</v>
      </c>
      <c r="BH27" s="1596" t="n">
        <f aca="false">IFERROR(BH24/BH19,"N/A")</f>
        <v>0.362367917477525</v>
      </c>
      <c r="BI27" s="1596" t="n">
        <f aca="false">IFERROR(BI24/BI19,"N/A")</f>
        <v>0.362367917477525</v>
      </c>
      <c r="BJ27" s="1596" t="n">
        <f aca="false">IFERROR(BJ24/BJ19,"N/A")</f>
        <v>0.362367917477525</v>
      </c>
      <c r="BK27" s="1597" t="n">
        <f aca="false">IFERROR(BK24/BK19,"N/A")</f>
        <v>-0.256748334132402</v>
      </c>
      <c r="BL27" s="1597" t="n">
        <f aca="false">IFERROR(BL24/BL19,"N/A")</f>
        <v>0.21092976076883</v>
      </c>
      <c r="BM27" s="1597" t="n">
        <f aca="false">IFERROR(BM24/BM19,"N/A")</f>
        <v>0.330936461110848</v>
      </c>
      <c r="BN27" s="1597" t="n">
        <f aca="false">IFERROR(BN24/BN19,"N/A")</f>
        <v>0.34795694421001</v>
      </c>
      <c r="BO27" s="1597" t="n">
        <f aca="false">IFERROR(BO24/BO19,"N/A")</f>
        <v>0.362367917477525</v>
      </c>
      <c r="BP27" s="1598" t="s">
        <v>2077</v>
      </c>
      <c r="BQ27" s="1534"/>
    </row>
    <row r="28" customFormat="false" ht="10.5" hidden="false" customHeight="true" outlineLevel="0" collapsed="false">
      <c r="A28" s="1599" t="s">
        <v>1916</v>
      </c>
      <c r="B28" s="1600"/>
      <c r="C28" s="1601" t="n">
        <f aca="false">C24</f>
        <v>-395805.9718</v>
      </c>
      <c r="D28" s="1602" t="n">
        <f aca="false">C28+D24</f>
        <v>-808667.9436</v>
      </c>
      <c r="E28" s="1602" t="n">
        <f aca="false">D28+E24</f>
        <v>-1229895.29980614</v>
      </c>
      <c r="F28" s="1602" t="n">
        <f aca="false">E28+F24</f>
        <v>-1606279.68823459</v>
      </c>
      <c r="G28" s="1602" t="n">
        <f aca="false">F28+G24</f>
        <v>-1937658.49329149</v>
      </c>
      <c r="H28" s="1602" t="n">
        <f aca="false">G28+H24</f>
        <v>-2200346.13160528</v>
      </c>
      <c r="I28" s="1602" t="n">
        <f aca="false">H28+I24</f>
        <v>-2458451.10317596</v>
      </c>
      <c r="J28" s="1602" t="n">
        <f aca="false">I28+J24</f>
        <v>-2677544.86300355</v>
      </c>
      <c r="K28" s="1602" t="n">
        <f aca="false">J28+K24</f>
        <v>-2830523.48108803</v>
      </c>
      <c r="L28" s="1602" t="n">
        <f aca="false">K28+L24</f>
        <v>-2919176.3974294</v>
      </c>
      <c r="M28" s="1602" t="n">
        <f aca="false">L28+M24</f>
        <v>-2938129.69202767</v>
      </c>
      <c r="N28" s="1603" t="n">
        <f aca="false">M28+N24</f>
        <v>-2892757.28488284</v>
      </c>
      <c r="O28" s="1604" t="n">
        <f aca="false">N28+O24</f>
        <v>-2173836.83695934</v>
      </c>
      <c r="P28" s="1605" t="n">
        <f aca="false">O28+P24</f>
        <v>-1335206.97251323</v>
      </c>
      <c r="Q28" s="1605" t="n">
        <f aca="false">P28+Q24</f>
        <v>-421639.691544516</v>
      </c>
      <c r="R28" s="1605" t="n">
        <f aca="false">Q28+R24</f>
        <v>570748.465946814</v>
      </c>
      <c r="S28" s="1605" t="n">
        <f aca="false">R28+S24</f>
        <v>1641957.49996075</v>
      </c>
      <c r="T28" s="1605" t="n">
        <f aca="false">S28+T24</f>
        <v>2791987.4104973</v>
      </c>
      <c r="U28" s="1605" t="n">
        <f aca="false">T28+U24</f>
        <v>4020838.19755647</v>
      </c>
      <c r="V28" s="1605" t="n">
        <f aca="false">U28+V24</f>
        <v>5373281.86113824</v>
      </c>
      <c r="W28" s="1605" t="n">
        <f aca="false">V28+W24</f>
        <v>6897821.40124262</v>
      </c>
      <c r="X28" s="1605" t="n">
        <f aca="false">W28+X24</f>
        <v>8594456.81786961</v>
      </c>
      <c r="Y28" s="1605" t="n">
        <f aca="false">X28+Y24</f>
        <v>10463188.1110192</v>
      </c>
      <c r="Z28" s="1606" t="n">
        <f aca="false">Y28+Z24</f>
        <v>12504015.2806914</v>
      </c>
      <c r="AA28" s="1607" t="n">
        <f aca="false">Z28+AA24</f>
        <v>17804844.4688203</v>
      </c>
      <c r="AB28" s="1608" t="n">
        <f aca="false">AA28+AB24</f>
        <v>23105673.6569493</v>
      </c>
      <c r="AC28" s="1608" t="n">
        <f aca="false">AB28+AC24</f>
        <v>28406502.8450782</v>
      </c>
      <c r="AD28" s="1608" t="n">
        <f aca="false">AC28+AD24</f>
        <v>33707332.0332071</v>
      </c>
      <c r="AE28" s="1608" t="n">
        <f aca="false">AD28+AE24</f>
        <v>39008161.221336</v>
      </c>
      <c r="AF28" s="1608" t="n">
        <f aca="false">AE28+AF24</f>
        <v>44308990.409465</v>
      </c>
      <c r="AG28" s="1608" t="n">
        <f aca="false">AF28+AG24</f>
        <v>49609819.5975939</v>
      </c>
      <c r="AH28" s="1608" t="n">
        <f aca="false">AG28+AH24</f>
        <v>54910648.7857228</v>
      </c>
      <c r="AI28" s="1608" t="n">
        <f aca="false">AH28+AI24</f>
        <v>60211477.9738518</v>
      </c>
      <c r="AJ28" s="1608" t="n">
        <f aca="false">AI28+AJ24</f>
        <v>65512307.1619807</v>
      </c>
      <c r="AK28" s="1608" t="n">
        <f aca="false">AJ28+AK24</f>
        <v>70813136.3501096</v>
      </c>
      <c r="AL28" s="1609" t="n">
        <f aca="false">AK28+AL24</f>
        <v>76113965.5382385</v>
      </c>
      <c r="AM28" s="1610" t="n">
        <f aca="false">AL28+AM24</f>
        <v>82151877.9113471</v>
      </c>
      <c r="AN28" s="1611" t="n">
        <f aca="false">AM28+AN24</f>
        <v>88189790.2844557</v>
      </c>
      <c r="AO28" s="1611" t="n">
        <f aca="false">AN28+AO24</f>
        <v>94227702.6575642</v>
      </c>
      <c r="AP28" s="1611" t="n">
        <f aca="false">AO28+AP24</f>
        <v>100265615.030673</v>
      </c>
      <c r="AQ28" s="1611" t="n">
        <f aca="false">AP28+AQ24</f>
        <v>106303527.403781</v>
      </c>
      <c r="AR28" s="1611" t="n">
        <f aca="false">AQ28+AR24</f>
        <v>112341439.77689</v>
      </c>
      <c r="AS28" s="1611" t="n">
        <f aca="false">AR28+AS24</f>
        <v>118379352.149998</v>
      </c>
      <c r="AT28" s="1611" t="n">
        <f aca="false">AS28+AT24</f>
        <v>124417264.523107</v>
      </c>
      <c r="AU28" s="1611" t="n">
        <f aca="false">AT28+AU24</f>
        <v>130455176.896216</v>
      </c>
      <c r="AV28" s="1611" t="n">
        <f aca="false">AU28+AV24</f>
        <v>136493089.269324</v>
      </c>
      <c r="AW28" s="1611" t="n">
        <f aca="false">AV28+AW24</f>
        <v>142531001.642433</v>
      </c>
      <c r="AX28" s="1612" t="n">
        <f aca="false">AW28+AX24</f>
        <v>148568914.015541</v>
      </c>
      <c r="AY28" s="1613" t="n">
        <f aca="false">AX28+AY24</f>
        <v>155340583.0098</v>
      </c>
      <c r="AZ28" s="1614" t="n">
        <f aca="false">AY28+AZ24</f>
        <v>162112252.004059</v>
      </c>
      <c r="BA28" s="1614" t="n">
        <f aca="false">AZ28+BA24</f>
        <v>168883920.998318</v>
      </c>
      <c r="BB28" s="1614" t="n">
        <f aca="false">BA28+BB24</f>
        <v>175655589.992577</v>
      </c>
      <c r="BC28" s="1614" t="n">
        <f aca="false">BB28+BC24</f>
        <v>182427258.986836</v>
      </c>
      <c r="BD28" s="1614" t="n">
        <f aca="false">BC28+BD24</f>
        <v>189198927.981095</v>
      </c>
      <c r="BE28" s="1614" t="n">
        <f aca="false">BD28+BE24</f>
        <v>195970596.975353</v>
      </c>
      <c r="BF28" s="1614" t="n">
        <f aca="false">BE28+BF24</f>
        <v>202742265.969612</v>
      </c>
      <c r="BG28" s="1614" t="n">
        <f aca="false">BF28+BG24</f>
        <v>209513934.963871</v>
      </c>
      <c r="BH28" s="1614" t="n">
        <f aca="false">BG28+BH24</f>
        <v>216285603.95813</v>
      </c>
      <c r="BI28" s="1614" t="n">
        <f aca="false">BH28+BI24</f>
        <v>223057272.952389</v>
      </c>
      <c r="BJ28" s="1614" t="n">
        <f aca="false">BI28+BJ24</f>
        <v>229828941.946648</v>
      </c>
      <c r="BK28" s="1615" t="n">
        <f aca="false">N28</f>
        <v>-2892757.28488284</v>
      </c>
      <c r="BL28" s="1615" t="n">
        <f aca="false">Z28</f>
        <v>12504015.2806914</v>
      </c>
      <c r="BM28" s="1615" t="n">
        <f aca="false">AL28</f>
        <v>76113965.5382385</v>
      </c>
      <c r="BN28" s="1615" t="n">
        <f aca="false">AX28</f>
        <v>148568914.015541</v>
      </c>
      <c r="BO28" s="1615" t="n">
        <f aca="false">BJ28</f>
        <v>229828941.946648</v>
      </c>
      <c r="BP28" s="1616" t="s">
        <v>1916</v>
      </c>
      <c r="BQ28" s="1600"/>
    </row>
    <row r="29" customFormat="false" ht="10.5" hidden="false" customHeight="true" outlineLevel="0" collapsed="false">
      <c r="A29" s="1537"/>
      <c r="C29" s="1466"/>
      <c r="D29" s="1466"/>
      <c r="E29" s="1466"/>
      <c r="F29" s="1466"/>
      <c r="G29" s="1466"/>
      <c r="H29" s="1466"/>
      <c r="I29" s="1466"/>
      <c r="J29" s="1466"/>
      <c r="K29" s="1466"/>
      <c r="L29" s="1466"/>
      <c r="M29" s="1466"/>
      <c r="N29" s="1532"/>
      <c r="O29" s="1533"/>
      <c r="P29" s="1466"/>
      <c r="Q29" s="1466"/>
      <c r="R29" s="1466"/>
      <c r="S29" s="1466"/>
      <c r="T29" s="1466"/>
      <c r="Z29" s="1534"/>
      <c r="AA29" s="1535"/>
      <c r="AL29" s="1534"/>
      <c r="AM29" s="1535"/>
      <c r="AX29" s="1534"/>
      <c r="AY29" s="1535"/>
      <c r="BK29" s="1535"/>
      <c r="BP29" s="1617"/>
      <c r="BQ29" s="1534"/>
    </row>
    <row r="30" customFormat="false" ht="10.5" hidden="false" customHeight="true" outlineLevel="0" collapsed="false">
      <c r="A30" s="1537"/>
      <c r="C30" s="1355"/>
      <c r="D30" s="1466"/>
      <c r="E30" s="1466"/>
      <c r="F30" s="1466"/>
      <c r="G30" s="1466"/>
      <c r="H30" s="1466"/>
      <c r="I30" s="1466"/>
      <c r="J30" s="1466"/>
      <c r="K30" s="1466"/>
      <c r="L30" s="1466"/>
      <c r="M30" s="1466"/>
      <c r="N30" s="1532"/>
      <c r="O30" s="1533"/>
      <c r="P30" s="1466"/>
      <c r="Q30" s="1466"/>
      <c r="R30" s="1466"/>
      <c r="S30" s="1466"/>
      <c r="T30" s="1466"/>
      <c r="Z30" s="1534"/>
      <c r="AA30" s="1535"/>
      <c r="AL30" s="1534"/>
      <c r="AM30" s="1535"/>
      <c r="AX30" s="1534"/>
      <c r="AY30" s="1535"/>
      <c r="BK30" s="1535"/>
      <c r="BP30" s="1617"/>
      <c r="BQ30" s="1534"/>
    </row>
    <row r="31" customFormat="false" ht="10.5" hidden="false" customHeight="true" outlineLevel="0" collapsed="false">
      <c r="A31" s="1537"/>
      <c r="C31" s="1355"/>
      <c r="D31" s="1466"/>
      <c r="E31" s="1466"/>
      <c r="F31" s="1618"/>
      <c r="G31" s="1618"/>
      <c r="H31" s="1618"/>
      <c r="I31" s="1618"/>
      <c r="J31" s="1466"/>
      <c r="K31" s="1466"/>
      <c r="L31" s="1466"/>
      <c r="M31" s="1466"/>
      <c r="N31" s="1532"/>
      <c r="O31" s="1533"/>
      <c r="P31" s="1466"/>
      <c r="Q31" s="1466"/>
      <c r="R31" s="1466"/>
      <c r="S31" s="1466"/>
      <c r="T31" s="1466"/>
      <c r="Z31" s="1534"/>
      <c r="AA31" s="1535"/>
      <c r="AL31" s="1534"/>
      <c r="AM31" s="1535"/>
      <c r="AX31" s="1534"/>
      <c r="AY31" s="1535"/>
      <c r="BK31" s="1535"/>
      <c r="BP31" s="1617"/>
      <c r="BQ31" s="1534"/>
    </row>
    <row r="32" s="1520" customFormat="true" ht="10.5" hidden="false" customHeight="true" outlineLevel="0" collapsed="false">
      <c r="A32" s="1538" t="s">
        <v>2079</v>
      </c>
      <c r="B32" s="1619"/>
      <c r="C32" s="1620" t="s">
        <v>1476</v>
      </c>
      <c r="D32" s="1621" t="s">
        <v>1477</v>
      </c>
      <c r="E32" s="1621" t="s">
        <v>1478</v>
      </c>
      <c r="F32" s="1621" t="s">
        <v>1479</v>
      </c>
      <c r="G32" s="1621" t="s">
        <v>1480</v>
      </c>
      <c r="H32" s="1621" t="s">
        <v>1481</v>
      </c>
      <c r="I32" s="1621" t="s">
        <v>1482</v>
      </c>
      <c r="J32" s="1621" t="s">
        <v>1483</v>
      </c>
      <c r="K32" s="1621" t="s">
        <v>1484</v>
      </c>
      <c r="L32" s="1621" t="s">
        <v>1485</v>
      </c>
      <c r="M32" s="1621" t="s">
        <v>1486</v>
      </c>
      <c r="N32" s="1622" t="s">
        <v>1487</v>
      </c>
      <c r="O32" s="1540" t="s">
        <v>1622</v>
      </c>
      <c r="P32" s="1541" t="s">
        <v>1623</v>
      </c>
      <c r="Q32" s="1541" t="s">
        <v>1624</v>
      </c>
      <c r="R32" s="1541" t="s">
        <v>1625</v>
      </c>
      <c r="S32" s="1541" t="s">
        <v>1626</v>
      </c>
      <c r="T32" s="1541" t="s">
        <v>1627</v>
      </c>
      <c r="U32" s="1623" t="s">
        <v>1628</v>
      </c>
      <c r="V32" s="1623" t="s">
        <v>1629</v>
      </c>
      <c r="W32" s="1623" t="s">
        <v>1630</v>
      </c>
      <c r="X32" s="1623" t="s">
        <v>1631</v>
      </c>
      <c r="Y32" s="1623" t="s">
        <v>1632</v>
      </c>
      <c r="Z32" s="1624" t="s">
        <v>1633</v>
      </c>
      <c r="AA32" s="1625" t="s">
        <v>1634</v>
      </c>
      <c r="AB32" s="1623" t="s">
        <v>1635</v>
      </c>
      <c r="AC32" s="1623" t="s">
        <v>1636</v>
      </c>
      <c r="AD32" s="1623" t="s">
        <v>1637</v>
      </c>
      <c r="AE32" s="1623" t="s">
        <v>1638</v>
      </c>
      <c r="AF32" s="1623" t="s">
        <v>1639</v>
      </c>
      <c r="AG32" s="1623" t="s">
        <v>1640</v>
      </c>
      <c r="AH32" s="1623" t="s">
        <v>1641</v>
      </c>
      <c r="AI32" s="1623" t="s">
        <v>1642</v>
      </c>
      <c r="AJ32" s="1623" t="s">
        <v>1643</v>
      </c>
      <c r="AK32" s="1623" t="s">
        <v>1644</v>
      </c>
      <c r="AL32" s="1624" t="s">
        <v>1645</v>
      </c>
      <c r="AM32" s="1625" t="s">
        <v>1646</v>
      </c>
      <c r="AN32" s="1623" t="s">
        <v>1647</v>
      </c>
      <c r="AO32" s="1623" t="s">
        <v>1648</v>
      </c>
      <c r="AP32" s="1623" t="s">
        <v>1649</v>
      </c>
      <c r="AQ32" s="1623" t="s">
        <v>1650</v>
      </c>
      <c r="AR32" s="1623" t="s">
        <v>1651</v>
      </c>
      <c r="AS32" s="1623" t="s">
        <v>1652</v>
      </c>
      <c r="AT32" s="1623" t="s">
        <v>1653</v>
      </c>
      <c r="AU32" s="1623" t="s">
        <v>1654</v>
      </c>
      <c r="AV32" s="1623" t="s">
        <v>1655</v>
      </c>
      <c r="AW32" s="1623" t="s">
        <v>1656</v>
      </c>
      <c r="AX32" s="1624" t="s">
        <v>1657</v>
      </c>
      <c r="AY32" s="1625" t="s">
        <v>1658</v>
      </c>
      <c r="AZ32" s="1623" t="s">
        <v>1659</v>
      </c>
      <c r="BA32" s="1623" t="s">
        <v>1660</v>
      </c>
      <c r="BB32" s="1623" t="s">
        <v>1661</v>
      </c>
      <c r="BC32" s="1623" t="s">
        <v>1662</v>
      </c>
      <c r="BD32" s="1623" t="s">
        <v>1663</v>
      </c>
      <c r="BE32" s="1623" t="s">
        <v>1664</v>
      </c>
      <c r="BF32" s="1623" t="s">
        <v>1665</v>
      </c>
      <c r="BG32" s="1623" t="s">
        <v>1666</v>
      </c>
      <c r="BH32" s="1623" t="s">
        <v>1667</v>
      </c>
      <c r="BI32" s="1623" t="s">
        <v>1668</v>
      </c>
      <c r="BJ32" s="1623" t="s">
        <v>1669</v>
      </c>
      <c r="BK32" s="1546" t="s">
        <v>1488</v>
      </c>
      <c r="BL32" s="1626" t="s">
        <v>1672</v>
      </c>
      <c r="BM32" s="1626" t="s">
        <v>1673</v>
      </c>
      <c r="BN32" s="1547" t="s">
        <v>1674</v>
      </c>
      <c r="BO32" s="1548" t="s">
        <v>1675</v>
      </c>
      <c r="BP32" s="1549" t="s">
        <v>2079</v>
      </c>
      <c r="BQ32" s="1619"/>
    </row>
    <row r="33" customFormat="false" ht="10.5" hidden="false" customHeight="true" outlineLevel="0" collapsed="false">
      <c r="A33" s="1550" t="s">
        <v>228</v>
      </c>
      <c r="B33" s="1534"/>
      <c r="C33" s="1551" t="n">
        <f aca="false">C5*(1-$B$2)</f>
        <v>0</v>
      </c>
      <c r="D33" s="1552" t="n">
        <f aca="false">D5*(1-$B$2)</f>
        <v>0</v>
      </c>
      <c r="E33" s="1552" t="n">
        <f aca="false">E5*(1-$B$2)</f>
        <v>779.569</v>
      </c>
      <c r="F33" s="1552" t="n">
        <f aca="false">F5*(1-$B$2)</f>
        <v>114067.501738691</v>
      </c>
      <c r="G33" s="1552" t="n">
        <f aca="false">G5*(1-$B$2)</f>
        <v>228135.003477381</v>
      </c>
      <c r="H33" s="1552" t="n">
        <f aca="false">H5*(1-$B$2)</f>
        <v>456270.006954762</v>
      </c>
      <c r="I33" s="1552" t="n">
        <f aca="false">I5*(1-$B$2)</f>
        <v>684405.010432143</v>
      </c>
      <c r="J33" s="1552" t="n">
        <f aca="false">J5*(1-$B$2)</f>
        <v>912540.013909524</v>
      </c>
      <c r="K33" s="1552" t="n">
        <f aca="false">K5*(1-$B$2)</f>
        <v>1140675.01738691</v>
      </c>
      <c r="L33" s="1552" t="n">
        <f aca="false">L5*(1-$B$2)</f>
        <v>1368810.02086429</v>
      </c>
      <c r="M33" s="1552" t="n">
        <f aca="false">M5*(1-$B$2)</f>
        <v>1596945.02434167</v>
      </c>
      <c r="N33" s="1553" t="n">
        <f aca="false">'P&amp;L'!M19*(1-$B$2)</f>
        <v>1825080.02781905</v>
      </c>
      <c r="O33" s="1554" t="n">
        <f aca="false">'P&amp;L'!N19*(1-$B$2)</f>
        <v>2790655.20375321</v>
      </c>
      <c r="P33" s="1555" t="n">
        <f aca="false">'P&amp;L'!O19*(1-$B$2)</f>
        <v>3100728.00417024</v>
      </c>
      <c r="Q33" s="1555" t="n">
        <f aca="false">'P&amp;L'!P19*(1-$B$2)</f>
        <v>3410800.80458727</v>
      </c>
      <c r="R33" s="1555" t="n">
        <f aca="false">'P&amp;L'!Q19*(1-$B$2)</f>
        <v>3720873.60500429</v>
      </c>
      <c r="S33" s="1555" t="n">
        <f aca="false">'P&amp;L'!R19*(1-$B$2)</f>
        <v>4030946.40542131</v>
      </c>
      <c r="T33" s="1555" t="n">
        <f aca="false">'P&amp;L'!S19*(1-$B$2)</f>
        <v>4341019.20583834</v>
      </c>
      <c r="U33" s="1555" t="n">
        <f aca="false">'P&amp;L'!T19*(1-$B$2)</f>
        <v>4651092.00625536</v>
      </c>
      <c r="V33" s="1555" t="n">
        <f aca="false">'P&amp;L'!U19*(1-$B$2)</f>
        <v>4961164.80667238</v>
      </c>
      <c r="W33" s="1555" t="n">
        <f aca="false">'P&amp;L'!V19*(1-$B$2)</f>
        <v>5271237.6070894</v>
      </c>
      <c r="X33" s="1555" t="n">
        <f aca="false">'P&amp;L'!W19*(1-$B$2)</f>
        <v>5581310.40750642</v>
      </c>
      <c r="Y33" s="1555" t="n">
        <f aca="false">'P&amp;L'!X19*(1-$B$2)</f>
        <v>5891383.20792345</v>
      </c>
      <c r="Z33" s="1556" t="n">
        <f aca="false">'P&amp;L'!Y19*(1-$B$2)</f>
        <v>6201456.00834048</v>
      </c>
      <c r="AA33" s="1557" t="n">
        <f aca="false">'P&amp;L'!Z19*(1-$B$2)</f>
        <v>11839143.28865</v>
      </c>
      <c r="AB33" s="1558" t="n">
        <f aca="false">'P&amp;L'!AA19*(1-$B$2)</f>
        <v>11839143.28865</v>
      </c>
      <c r="AC33" s="1558" t="n">
        <f aca="false">'P&amp;L'!AB19*(1-$B$2)</f>
        <v>11839143.28865</v>
      </c>
      <c r="AD33" s="1558" t="n">
        <f aca="false">'P&amp;L'!AC19*(1-$B$2)</f>
        <v>11839143.28865</v>
      </c>
      <c r="AE33" s="1558" t="n">
        <f aca="false">'P&amp;L'!AD19*(1-$B$2)</f>
        <v>11839143.28865</v>
      </c>
      <c r="AF33" s="1558" t="n">
        <f aca="false">'P&amp;L'!AE19*(1-$B$2)</f>
        <v>11839143.28865</v>
      </c>
      <c r="AG33" s="1558" t="n">
        <f aca="false">'P&amp;L'!AF19*(1-$B$2)</f>
        <v>11839143.28865</v>
      </c>
      <c r="AH33" s="1558" t="n">
        <f aca="false">'P&amp;L'!AG19*(1-$B$2)</f>
        <v>11839143.28865</v>
      </c>
      <c r="AI33" s="1558" t="n">
        <f aca="false">'P&amp;L'!AH19*(1-$B$2)</f>
        <v>11839143.28865</v>
      </c>
      <c r="AJ33" s="1558" t="n">
        <f aca="false">'P&amp;L'!AI19*(1-$B$2)</f>
        <v>11839143.28865</v>
      </c>
      <c r="AK33" s="1558" t="n">
        <f aca="false">'P&amp;L'!AJ19*(1-$B$2)</f>
        <v>11839143.28865</v>
      </c>
      <c r="AL33" s="1559" t="n">
        <f aca="false">'P&amp;L'!AK19*(1-$B$2)</f>
        <v>11839143.28865</v>
      </c>
      <c r="AM33" s="1560" t="n">
        <f aca="false">'P&amp;L'!AL19*(1-$B$2)</f>
        <v>12825738.5627042</v>
      </c>
      <c r="AN33" s="1561" t="n">
        <f aca="false">'P&amp;L'!AM19*(1-$B$2)</f>
        <v>12825738.5627042</v>
      </c>
      <c r="AO33" s="1561" t="n">
        <f aca="false">'P&amp;L'!AN19*(1-$B$2)</f>
        <v>12825738.5627042</v>
      </c>
      <c r="AP33" s="1561" t="n">
        <f aca="false">'P&amp;L'!AO19*(1-$B$2)</f>
        <v>12825738.5627042</v>
      </c>
      <c r="AQ33" s="1561" t="n">
        <f aca="false">'P&amp;L'!AP19*(1-$B$2)</f>
        <v>12825738.5627042</v>
      </c>
      <c r="AR33" s="1561" t="n">
        <f aca="false">'P&amp;L'!AQ19*(1-$B$2)</f>
        <v>12825738.5627042</v>
      </c>
      <c r="AS33" s="1561" t="n">
        <f aca="false">'P&amp;L'!AR19*(1-$B$2)</f>
        <v>12825738.5627042</v>
      </c>
      <c r="AT33" s="1561" t="n">
        <f aca="false">'P&amp;L'!AS19*(1-$B$2)</f>
        <v>12825738.5627042</v>
      </c>
      <c r="AU33" s="1561" t="n">
        <f aca="false">'P&amp;L'!AT19*(1-$B$2)</f>
        <v>12825738.5627042</v>
      </c>
      <c r="AV33" s="1561" t="n">
        <f aca="false">'P&amp;L'!AU19*(1-$B$2)</f>
        <v>12825738.5627042</v>
      </c>
      <c r="AW33" s="1561" t="n">
        <f aca="false">'P&amp;L'!AV19*(1-$B$2)</f>
        <v>12825738.5627042</v>
      </c>
      <c r="AX33" s="1562" t="n">
        <f aca="false">'P&amp;L'!AW19*(1-$B$2)</f>
        <v>12825738.5627042</v>
      </c>
      <c r="AY33" s="1563" t="n">
        <f aca="false">'P&amp;L'!AX19*(1-$B$2)</f>
        <v>13812333.8367583</v>
      </c>
      <c r="AZ33" s="1564" t="n">
        <f aca="false">'P&amp;L'!AY19*(1-$B$2)</f>
        <v>13812333.8367583</v>
      </c>
      <c r="BA33" s="1564" t="n">
        <f aca="false">'P&amp;L'!AZ19*(1-$B$2)</f>
        <v>13812333.8367583</v>
      </c>
      <c r="BB33" s="1564" t="n">
        <f aca="false">'P&amp;L'!BA19*(1-$B$2)</f>
        <v>13812333.8367583</v>
      </c>
      <c r="BC33" s="1564" t="n">
        <f aca="false">'P&amp;L'!BB19*(1-$B$2)</f>
        <v>13812333.8367583</v>
      </c>
      <c r="BD33" s="1564" t="n">
        <f aca="false">'P&amp;L'!BC19*(1-$B$2)</f>
        <v>13812333.8367583</v>
      </c>
      <c r="BE33" s="1564" t="n">
        <f aca="false">'P&amp;L'!BD19*(1-$B$2)</f>
        <v>13812333.8367583</v>
      </c>
      <c r="BF33" s="1564" t="n">
        <f aca="false">'P&amp;L'!BE19*(1-$B$2)</f>
        <v>13812333.8367583</v>
      </c>
      <c r="BG33" s="1564" t="n">
        <f aca="false">'P&amp;L'!BF19*(1-$B$2)</f>
        <v>13812333.8367583</v>
      </c>
      <c r="BH33" s="1564" t="n">
        <f aca="false">'P&amp;L'!BG19*(1-$B$2)</f>
        <v>13812333.8367583</v>
      </c>
      <c r="BI33" s="1564" t="n">
        <f aca="false">'P&amp;L'!BH19*(1-$B$2)</f>
        <v>13812333.8367583</v>
      </c>
      <c r="BJ33" s="1564" t="n">
        <f aca="false">'P&amp;L'!BI19*(1-$B$2)</f>
        <v>13812333.8367583</v>
      </c>
      <c r="BK33" s="1565" t="n">
        <f aca="false">SUM(C33:N33)</f>
        <v>8327707.19592441</v>
      </c>
      <c r="BL33" s="1565" t="n">
        <f aca="false">SUM(O33:Z33)</f>
        <v>53952667.2725622</v>
      </c>
      <c r="BM33" s="1565" t="n">
        <f aca="false">SUM(AA33:AL33)</f>
        <v>142069719.4638</v>
      </c>
      <c r="BN33" s="1565" t="n">
        <f aca="false">SUM(AM33:AX33)</f>
        <v>153908862.75245</v>
      </c>
      <c r="BO33" s="1565" t="n">
        <f aca="false">SUM(AY33:BJ33)</f>
        <v>165748006.0411</v>
      </c>
      <c r="BP33" s="1566" t="s">
        <v>228</v>
      </c>
      <c r="BQ33" s="1534"/>
    </row>
    <row r="34" customFormat="false" ht="10.5" hidden="false" customHeight="true" outlineLevel="0" collapsed="false">
      <c r="A34" s="1550" t="s">
        <v>1908</v>
      </c>
      <c r="B34" s="1534"/>
      <c r="C34" s="1567" t="n">
        <f aca="false">C6*(1-$B$2)</f>
        <v>0</v>
      </c>
      <c r="D34" s="1568" t="n">
        <f aca="false">D6*(1-$B$2)</f>
        <v>0</v>
      </c>
      <c r="E34" s="1568" t="n">
        <f aca="false">E6*(1-$B$2)</f>
        <v>591.586256714286</v>
      </c>
      <c r="F34" s="1568" t="n">
        <f aca="false">F6*(1-$B$2)</f>
        <v>70883.5921389615</v>
      </c>
      <c r="G34" s="1568" t="n">
        <f aca="false">G6*(1-$B$2)</f>
        <v>141767.184277923</v>
      </c>
      <c r="H34" s="1568" t="n">
        <f aca="false">H6*(1-$B$2)</f>
        <v>283534.368555846</v>
      </c>
      <c r="I34" s="1568" t="n">
        <f aca="false">I6*(1-$B$2)</f>
        <v>425301.552833769</v>
      </c>
      <c r="J34" s="1568" t="n">
        <f aca="false">J6*(1-$B$2)</f>
        <v>567068.737111692</v>
      </c>
      <c r="K34" s="1568" t="n">
        <f aca="false">K6*(1-$B$2)</f>
        <v>708835.921389615</v>
      </c>
      <c r="L34" s="1568" t="n">
        <f aca="false">L6*(1-$B$2)</f>
        <v>850603.105667537</v>
      </c>
      <c r="M34" s="1568" t="n">
        <f aca="false">M6*(1-$B$2)</f>
        <v>992370.289945461</v>
      </c>
      <c r="N34" s="1569" t="n">
        <f aca="false">'P&amp;L'!M23*(1-$B$2)</f>
        <v>1134137.47422338</v>
      </c>
      <c r="O34" s="1570" t="n">
        <f aca="false">'P&amp;L'!N23*(1-$B$2)</f>
        <v>1403177.83351557</v>
      </c>
      <c r="P34" s="1571" t="n">
        <f aca="false">'P&amp;L'!O23*(1-$B$2)</f>
        <v>1559086.48168396</v>
      </c>
      <c r="Q34" s="1571" t="n">
        <f aca="false">'P&amp;L'!P23*(1-$B$2)</f>
        <v>1714995.12985236</v>
      </c>
      <c r="R34" s="1571" t="n">
        <f aca="false">'P&amp;L'!Q23*(1-$B$2)</f>
        <v>1870903.77802076</v>
      </c>
      <c r="S34" s="1571" t="n">
        <f aca="false">'P&amp;L'!R23*(1-$B$2)</f>
        <v>2026812.42618916</v>
      </c>
      <c r="T34" s="1571" t="n">
        <f aca="false">'P&amp;L'!S23*(1-$B$2)</f>
        <v>2182721.07435755</v>
      </c>
      <c r="U34" s="1571" t="n">
        <f aca="false">'P&amp;L'!T23*(1-$B$2)</f>
        <v>2338629.72252595</v>
      </c>
      <c r="V34" s="1571" t="n">
        <f aca="false">'P&amp;L'!U23*(1-$B$2)</f>
        <v>2494538.37069434</v>
      </c>
      <c r="W34" s="1571" t="n">
        <f aca="false">'P&amp;L'!V23*(1-$B$2)</f>
        <v>2650447.01886274</v>
      </c>
      <c r="X34" s="1571" t="n">
        <f aca="false">'P&amp;L'!W23*(1-$B$2)</f>
        <v>2806355.66703114</v>
      </c>
      <c r="Y34" s="1571" t="n">
        <f aca="false">'P&amp;L'!X23*(1-$B$2)</f>
        <v>2962264.31519953</v>
      </c>
      <c r="Z34" s="1572" t="n">
        <f aca="false">'P&amp;L'!Y23*(1-$B$2)</f>
        <v>3118172.96336793</v>
      </c>
      <c r="AA34" s="1573" t="n">
        <f aca="false">'P&amp;L'!Z23*(1-$B$2)</f>
        <v>5763631.16017712</v>
      </c>
      <c r="AB34" s="1574" t="n">
        <f aca="false">'P&amp;L'!AA23*(1-$B$2)</f>
        <v>5763631.16017712</v>
      </c>
      <c r="AC34" s="1574" t="n">
        <f aca="false">'P&amp;L'!AB23*(1-$B$2)</f>
        <v>5763631.16017712</v>
      </c>
      <c r="AD34" s="1574" t="n">
        <f aca="false">'P&amp;L'!AC23*(1-$B$2)</f>
        <v>5763631.16017712</v>
      </c>
      <c r="AE34" s="1574" t="n">
        <f aca="false">'P&amp;L'!AD23*(1-$B$2)</f>
        <v>5763631.16017712</v>
      </c>
      <c r="AF34" s="1574" t="n">
        <f aca="false">'P&amp;L'!AE23*(1-$B$2)</f>
        <v>5763631.16017712</v>
      </c>
      <c r="AG34" s="1574" t="n">
        <f aca="false">'P&amp;L'!AF23*(1-$B$2)</f>
        <v>5763631.16017712</v>
      </c>
      <c r="AH34" s="1574" t="n">
        <f aca="false">'P&amp;L'!AG23*(1-$B$2)</f>
        <v>5763631.16017712</v>
      </c>
      <c r="AI34" s="1574" t="n">
        <f aca="false">'P&amp;L'!AH23*(1-$B$2)</f>
        <v>5763631.16017712</v>
      </c>
      <c r="AJ34" s="1574" t="n">
        <f aca="false">'P&amp;L'!AI23*(1-$B$2)</f>
        <v>5763631.16017712</v>
      </c>
      <c r="AK34" s="1574" t="n">
        <f aca="false">'P&amp;L'!AJ23*(1-$B$2)</f>
        <v>5763631.16017712</v>
      </c>
      <c r="AL34" s="1575" t="n">
        <f aca="false">'P&amp;L'!AK23*(1-$B$2)</f>
        <v>5763631.16017712</v>
      </c>
      <c r="AM34" s="1576" t="n">
        <f aca="false">'P&amp;L'!AL23*(1-$B$2)</f>
        <v>6070459.63446035</v>
      </c>
      <c r="AN34" s="1577" t="n">
        <f aca="false">'P&amp;L'!AM23*(1-$B$2)</f>
        <v>6070459.63446035</v>
      </c>
      <c r="AO34" s="1577" t="n">
        <f aca="false">'P&amp;L'!AN23*(1-$B$2)</f>
        <v>6070459.63446035</v>
      </c>
      <c r="AP34" s="1577" t="n">
        <f aca="false">'P&amp;L'!AO23*(1-$B$2)</f>
        <v>6070459.63446035</v>
      </c>
      <c r="AQ34" s="1577" t="n">
        <f aca="false">'P&amp;L'!AP23*(1-$B$2)</f>
        <v>6070459.63446035</v>
      </c>
      <c r="AR34" s="1577" t="n">
        <f aca="false">'P&amp;L'!AQ23*(1-$B$2)</f>
        <v>6070459.63446035</v>
      </c>
      <c r="AS34" s="1577" t="n">
        <f aca="false">'P&amp;L'!AR23*(1-$B$2)</f>
        <v>6070459.63446035</v>
      </c>
      <c r="AT34" s="1577" t="n">
        <f aca="false">'P&amp;L'!AS23*(1-$B$2)</f>
        <v>6070459.63446035</v>
      </c>
      <c r="AU34" s="1577" t="n">
        <f aca="false">'P&amp;L'!AT23*(1-$B$2)</f>
        <v>6070459.63446035</v>
      </c>
      <c r="AV34" s="1577" t="n">
        <f aca="false">'P&amp;L'!AU23*(1-$B$2)</f>
        <v>6070459.63446035</v>
      </c>
      <c r="AW34" s="1577" t="n">
        <f aca="false">'P&amp;L'!AV23*(1-$B$2)</f>
        <v>6070459.63446035</v>
      </c>
      <c r="AX34" s="1578" t="n">
        <f aca="false">'P&amp;L'!AW23*(1-$B$2)</f>
        <v>6070459.63446035</v>
      </c>
      <c r="AY34" s="1579" t="n">
        <f aca="false">'P&amp;L'!AX23*(1-$B$2)</f>
        <v>6377288.1087436</v>
      </c>
      <c r="AZ34" s="1580" t="n">
        <f aca="false">'P&amp;L'!AY23*(1-$B$2)</f>
        <v>6377288.1087436</v>
      </c>
      <c r="BA34" s="1580" t="n">
        <f aca="false">'P&amp;L'!AZ23*(1-$B$2)</f>
        <v>6377288.1087436</v>
      </c>
      <c r="BB34" s="1580" t="n">
        <f aca="false">'P&amp;L'!BA23*(1-$B$2)</f>
        <v>6377288.1087436</v>
      </c>
      <c r="BC34" s="1580" t="n">
        <f aca="false">'P&amp;L'!BB23*(1-$B$2)</f>
        <v>6377288.1087436</v>
      </c>
      <c r="BD34" s="1580" t="n">
        <f aca="false">'P&amp;L'!BC23*(1-$B$2)</f>
        <v>6377288.1087436</v>
      </c>
      <c r="BE34" s="1580" t="n">
        <f aca="false">'P&amp;L'!BD23*(1-$B$2)</f>
        <v>6377288.1087436</v>
      </c>
      <c r="BF34" s="1580" t="n">
        <f aca="false">'P&amp;L'!BE23*(1-$B$2)</f>
        <v>6377288.1087436</v>
      </c>
      <c r="BG34" s="1580" t="n">
        <f aca="false">'P&amp;L'!BF23*(1-$B$2)</f>
        <v>6377288.1087436</v>
      </c>
      <c r="BH34" s="1580" t="n">
        <f aca="false">'P&amp;L'!BG23*(1-$B$2)</f>
        <v>6377288.1087436</v>
      </c>
      <c r="BI34" s="1580" t="n">
        <f aca="false">'P&amp;L'!BH23*(1-$B$2)</f>
        <v>6377288.1087436</v>
      </c>
      <c r="BJ34" s="1580" t="n">
        <f aca="false">'P&amp;L'!BI23*(1-$B$2)</f>
        <v>6377288.1087436</v>
      </c>
      <c r="BK34" s="1581" t="n">
        <f aca="false">SUM(C34:N34)</f>
        <v>5175093.8124009</v>
      </c>
      <c r="BL34" s="1581" t="n">
        <f aca="false">SUM(O34:Z34)</f>
        <v>27128104.781301</v>
      </c>
      <c r="BM34" s="1581" t="n">
        <f aca="false">SUM(AA34:AL34)</f>
        <v>69163573.9221254</v>
      </c>
      <c r="BN34" s="1581" t="n">
        <f aca="false">SUM(AM34:AX34)</f>
        <v>72845515.6135243</v>
      </c>
      <c r="BO34" s="1581" t="n">
        <f aca="false">SUM(AY34:BJ34)</f>
        <v>76527457.3049232</v>
      </c>
      <c r="BP34" s="1566" t="s">
        <v>1908</v>
      </c>
      <c r="BQ34" s="1534"/>
    </row>
    <row r="35" customFormat="false" ht="10.5" hidden="false" customHeight="true" outlineLevel="0" collapsed="false">
      <c r="A35" s="1550" t="s">
        <v>1909</v>
      </c>
      <c r="B35" s="1534"/>
      <c r="C35" s="1567" t="n">
        <f aca="false">C33-C34</f>
        <v>0</v>
      </c>
      <c r="D35" s="1568" t="n">
        <f aca="false">D33-D34</f>
        <v>0</v>
      </c>
      <c r="E35" s="1568" t="n">
        <f aca="false">E33-E34</f>
        <v>187.982743285714</v>
      </c>
      <c r="F35" s="1568" t="n">
        <f aca="false">F33-F34</f>
        <v>43183.9095997291</v>
      </c>
      <c r="G35" s="1568" t="n">
        <f aca="false">G33-G34</f>
        <v>86367.819199458</v>
      </c>
      <c r="H35" s="1568" t="n">
        <f aca="false">H33-H34</f>
        <v>172735.638398916</v>
      </c>
      <c r="I35" s="1568" t="n">
        <f aca="false">I33-I34</f>
        <v>259103.457598374</v>
      </c>
      <c r="J35" s="1568" t="n">
        <f aca="false">J33-J34</f>
        <v>345471.276797832</v>
      </c>
      <c r="K35" s="1568" t="n">
        <f aca="false">K33-K34</f>
        <v>431839.095997291</v>
      </c>
      <c r="L35" s="1568" t="n">
        <f aca="false">L33-L34</f>
        <v>518206.915196748</v>
      </c>
      <c r="M35" s="1568" t="n">
        <f aca="false">M33-M34</f>
        <v>604574.734396206</v>
      </c>
      <c r="N35" s="1569" t="n">
        <f aca="false">N33-N34</f>
        <v>690942.553595664</v>
      </c>
      <c r="O35" s="1570" t="n">
        <f aca="false">O33-O34</f>
        <v>1387477.37023765</v>
      </c>
      <c r="P35" s="1571" t="n">
        <f aca="false">P33-P34</f>
        <v>1541641.52248627</v>
      </c>
      <c r="Q35" s="1571" t="n">
        <f aca="false">Q33-Q34</f>
        <v>1695805.6747349</v>
      </c>
      <c r="R35" s="1571" t="n">
        <f aca="false">R33-R34</f>
        <v>1849969.82698353</v>
      </c>
      <c r="S35" s="1571" t="n">
        <f aca="false">S33-S34</f>
        <v>2004133.97923216</v>
      </c>
      <c r="T35" s="1571" t="n">
        <f aca="false">T33-T34</f>
        <v>2158298.13148078</v>
      </c>
      <c r="U35" s="1571" t="n">
        <f aca="false">U33-U34</f>
        <v>2312462.28372941</v>
      </c>
      <c r="V35" s="1571" t="n">
        <f aca="false">V33-V34</f>
        <v>2466626.43597804</v>
      </c>
      <c r="W35" s="1571" t="n">
        <f aca="false">W33-W34</f>
        <v>2620790.58822666</v>
      </c>
      <c r="X35" s="1571" t="n">
        <f aca="false">X33-X34</f>
        <v>2774954.74047529</v>
      </c>
      <c r="Y35" s="1571" t="n">
        <f aca="false">Y33-Y34</f>
        <v>2929118.89272392</v>
      </c>
      <c r="Z35" s="1572" t="n">
        <f aca="false">Z33-Z34</f>
        <v>3083283.04497255</v>
      </c>
      <c r="AA35" s="1573" t="n">
        <f aca="false">AA33-AA34</f>
        <v>6075512.12847288</v>
      </c>
      <c r="AB35" s="1574" t="n">
        <f aca="false">AB33-AB34</f>
        <v>6075512.12847288</v>
      </c>
      <c r="AC35" s="1574" t="n">
        <f aca="false">AC33-AC34</f>
        <v>6075512.12847288</v>
      </c>
      <c r="AD35" s="1574" t="n">
        <f aca="false">AD33-AD34</f>
        <v>6075512.12847288</v>
      </c>
      <c r="AE35" s="1574" t="n">
        <f aca="false">AE33-AE34</f>
        <v>6075512.12847288</v>
      </c>
      <c r="AF35" s="1574" t="n">
        <f aca="false">AF33-AF34</f>
        <v>6075512.12847288</v>
      </c>
      <c r="AG35" s="1574" t="n">
        <f aca="false">AG33-AG34</f>
        <v>6075512.12847288</v>
      </c>
      <c r="AH35" s="1574" t="n">
        <f aca="false">AH33-AH34</f>
        <v>6075512.12847288</v>
      </c>
      <c r="AI35" s="1574" t="n">
        <f aca="false">AI33-AI34</f>
        <v>6075512.12847288</v>
      </c>
      <c r="AJ35" s="1574" t="n">
        <f aca="false">AJ33-AJ34</f>
        <v>6075512.12847288</v>
      </c>
      <c r="AK35" s="1574" t="n">
        <f aca="false">AK33-AK34</f>
        <v>6075512.12847288</v>
      </c>
      <c r="AL35" s="1575" t="n">
        <f aca="false">AL33-AL34</f>
        <v>6075512.12847288</v>
      </c>
      <c r="AM35" s="1576" t="n">
        <f aca="false">AM33-AM34</f>
        <v>6755278.92824381</v>
      </c>
      <c r="AN35" s="1577" t="n">
        <f aca="false">AN33-AN34</f>
        <v>6755278.92824381</v>
      </c>
      <c r="AO35" s="1577" t="n">
        <f aca="false">AO33-AO34</f>
        <v>6755278.92824381</v>
      </c>
      <c r="AP35" s="1577" t="n">
        <f aca="false">AP33-AP34</f>
        <v>6755278.92824381</v>
      </c>
      <c r="AQ35" s="1577" t="n">
        <f aca="false">AQ33-AQ34</f>
        <v>6755278.92824381</v>
      </c>
      <c r="AR35" s="1577" t="n">
        <f aca="false">AR33-AR34</f>
        <v>6755278.92824381</v>
      </c>
      <c r="AS35" s="1577" t="n">
        <f aca="false">AS33-AS34</f>
        <v>6755278.92824381</v>
      </c>
      <c r="AT35" s="1577" t="n">
        <f aca="false">AT33-AT34</f>
        <v>6755278.92824381</v>
      </c>
      <c r="AU35" s="1577" t="n">
        <f aca="false">AU33-AU34</f>
        <v>6755278.92824381</v>
      </c>
      <c r="AV35" s="1577" t="n">
        <f aca="false">AV33-AV34</f>
        <v>6755278.92824381</v>
      </c>
      <c r="AW35" s="1577" t="n">
        <f aca="false">AW33-AW34</f>
        <v>6755278.92824381</v>
      </c>
      <c r="AX35" s="1578" t="n">
        <f aca="false">AX33-AX34</f>
        <v>6755278.92824381</v>
      </c>
      <c r="AY35" s="1579" t="n">
        <f aca="false">AY33-AY34</f>
        <v>7435045.72801473</v>
      </c>
      <c r="AZ35" s="1580" t="n">
        <f aca="false">AZ33-AZ34</f>
        <v>7435045.72801473</v>
      </c>
      <c r="BA35" s="1580" t="n">
        <f aca="false">BA33-BA34</f>
        <v>7435045.72801473</v>
      </c>
      <c r="BB35" s="1580" t="n">
        <f aca="false">BB33-BB34</f>
        <v>7435045.72801473</v>
      </c>
      <c r="BC35" s="1580" t="n">
        <f aca="false">BC33-BC34</f>
        <v>7435045.72801473</v>
      </c>
      <c r="BD35" s="1580" t="n">
        <f aca="false">BD33-BD34</f>
        <v>7435045.72801473</v>
      </c>
      <c r="BE35" s="1580" t="n">
        <f aca="false">BE33-BE34</f>
        <v>7435045.72801473</v>
      </c>
      <c r="BF35" s="1580" t="n">
        <f aca="false">BF33-BF34</f>
        <v>7435045.72801473</v>
      </c>
      <c r="BG35" s="1580" t="n">
        <f aca="false">BG33-BG34</f>
        <v>7435045.72801473</v>
      </c>
      <c r="BH35" s="1580" t="n">
        <f aca="false">BH33-BH34</f>
        <v>7435045.72801473</v>
      </c>
      <c r="BI35" s="1580" t="n">
        <f aca="false">BI33-BI34</f>
        <v>7435045.72801473</v>
      </c>
      <c r="BJ35" s="1580" t="n">
        <f aca="false">BJ33-BJ34</f>
        <v>7435045.72801473</v>
      </c>
      <c r="BK35" s="1581" t="n">
        <f aca="false">SUM(C35:N35)</f>
        <v>3152613.3835235</v>
      </c>
      <c r="BL35" s="1581" t="n">
        <f aca="false">SUM(O35:Z35)</f>
        <v>26824562.4912612</v>
      </c>
      <c r="BM35" s="1581" t="n">
        <f aca="false">SUM(AA35:AL35)</f>
        <v>72906145.5416746</v>
      </c>
      <c r="BN35" s="1581" t="n">
        <f aca="false">SUM(AM35:AX35)</f>
        <v>81063347.1389257</v>
      </c>
      <c r="BO35" s="1581" t="n">
        <f aca="false">SUM(AY35:BJ35)</f>
        <v>89220548.7361768</v>
      </c>
      <c r="BP35" s="1566" t="s">
        <v>1909</v>
      </c>
      <c r="BQ35" s="1534"/>
    </row>
    <row r="36" customFormat="false" ht="10.5" hidden="false" customHeight="true" outlineLevel="0" collapsed="false">
      <c r="A36" s="1582" t="s">
        <v>2076</v>
      </c>
      <c r="B36" s="1534"/>
      <c r="C36" s="1583" t="str">
        <f aca="false">IF(C33=0,"N/A",C35/C33)</f>
        <v>N/A</v>
      </c>
      <c r="D36" s="1584" t="str">
        <f aca="false">IF(D33=0,"N/A",D35/D33)</f>
        <v>N/A</v>
      </c>
      <c r="E36" s="1584" t="n">
        <f aca="false">IF(E33=0,"N/A",E35/E33)</f>
        <v>0.241136760550656</v>
      </c>
      <c r="F36" s="1584" t="n">
        <f aca="false">IF(F33=0,"N/A",F35/F33)</f>
        <v>0.378582058355728</v>
      </c>
      <c r="G36" s="1584" t="n">
        <f aca="false">IF(G33=0,"N/A",G35/G33)</f>
        <v>0.378582058355728</v>
      </c>
      <c r="H36" s="1584" t="n">
        <f aca="false">IF(H33=0,"N/A",H35/H33)</f>
        <v>0.378582058355728</v>
      </c>
      <c r="I36" s="1584" t="n">
        <f aca="false">IF(I33=0,"N/A",I35/I33)</f>
        <v>0.378582058355728</v>
      </c>
      <c r="J36" s="1584" t="n">
        <f aca="false">IF(J33=0,"N/A",J35/J33)</f>
        <v>0.378582058355728</v>
      </c>
      <c r="K36" s="1584" t="n">
        <f aca="false">IF(K33=0,"N/A",K35/K33)</f>
        <v>0.378582058355728</v>
      </c>
      <c r="L36" s="1584" t="n">
        <f aca="false">IF(L33=0,"N/A",L35/L33)</f>
        <v>0.378582058355728</v>
      </c>
      <c r="M36" s="1584" t="n">
        <f aca="false">IF(M33=0,"N/A",M35/M33)</f>
        <v>0.378582058355728</v>
      </c>
      <c r="N36" s="1585" t="n">
        <f aca="false">IF(N33=0,"N/A",N35/N33)</f>
        <v>0.378582058355728</v>
      </c>
      <c r="O36" s="1586" t="n">
        <f aca="false">IFERROR(O35/O33,"N/A")</f>
        <v>0.497186957518649</v>
      </c>
      <c r="P36" s="1587" t="n">
        <f aca="false">IFERROR(P35/P33,"N/A")</f>
        <v>0.497186957518649</v>
      </c>
      <c r="Q36" s="1587" t="n">
        <f aca="false">IFERROR(Q35/Q33,"N/A")</f>
        <v>0.497186957518649</v>
      </c>
      <c r="R36" s="1587" t="n">
        <f aca="false">IFERROR(R35/R33,"N/A")</f>
        <v>0.497186957518649</v>
      </c>
      <c r="S36" s="1587" t="n">
        <f aca="false">IFERROR(S35/S33,"N/A")</f>
        <v>0.497186957518649</v>
      </c>
      <c r="T36" s="1587" t="n">
        <f aca="false">IFERROR(T35/T33,"N/A")</f>
        <v>0.497186957518649</v>
      </c>
      <c r="U36" s="1587" t="n">
        <f aca="false">IFERROR(U35/U33,"N/A")</f>
        <v>0.497186957518649</v>
      </c>
      <c r="V36" s="1587" t="n">
        <f aca="false">IFERROR(V35/V33,"N/A")</f>
        <v>0.497186957518649</v>
      </c>
      <c r="W36" s="1587" t="n">
        <f aca="false">IFERROR(W35/W33,"N/A")</f>
        <v>0.497186957518649</v>
      </c>
      <c r="X36" s="1587" t="n">
        <f aca="false">IFERROR(X35/X33,"N/A")</f>
        <v>0.497186957518649</v>
      </c>
      <c r="Y36" s="1587" t="n">
        <f aca="false">IFERROR(Y35/Y33,"N/A")</f>
        <v>0.497186957518649</v>
      </c>
      <c r="Z36" s="1588" t="n">
        <f aca="false">IFERROR(Z35/Z33,"N/A")</f>
        <v>0.497186957518649</v>
      </c>
      <c r="AA36" s="1589" t="n">
        <f aca="false">IFERROR(AA35/AA33,"N/A")</f>
        <v>0.51317160206156</v>
      </c>
      <c r="AB36" s="1590" t="n">
        <f aca="false">IFERROR(AB35/AB33,"N/A")</f>
        <v>0.51317160206156</v>
      </c>
      <c r="AC36" s="1590" t="n">
        <f aca="false">IFERROR(AC35/AC33,"N/A")</f>
        <v>0.51317160206156</v>
      </c>
      <c r="AD36" s="1590" t="n">
        <f aca="false">IFERROR(AD35/AD33,"N/A")</f>
        <v>0.51317160206156</v>
      </c>
      <c r="AE36" s="1590" t="n">
        <f aca="false">IFERROR(AE35/AE33,"N/A")</f>
        <v>0.51317160206156</v>
      </c>
      <c r="AF36" s="1590" t="n">
        <f aca="false">IFERROR(AF35/AF33,"N/A")</f>
        <v>0.51317160206156</v>
      </c>
      <c r="AG36" s="1590" t="n">
        <f aca="false">IFERROR(AG35/AG33,"N/A")</f>
        <v>0.51317160206156</v>
      </c>
      <c r="AH36" s="1590" t="n">
        <f aca="false">IFERROR(AH35/AH33,"N/A")</f>
        <v>0.51317160206156</v>
      </c>
      <c r="AI36" s="1590" t="n">
        <f aca="false">IFERROR(AI35/AI33,"N/A")</f>
        <v>0.51317160206156</v>
      </c>
      <c r="AJ36" s="1590" t="n">
        <f aca="false">IFERROR(AJ35/AJ33,"N/A")</f>
        <v>0.51317160206156</v>
      </c>
      <c r="AK36" s="1590" t="n">
        <f aca="false">IFERROR(AK35/AK33,"N/A")</f>
        <v>0.51317160206156</v>
      </c>
      <c r="AL36" s="1591" t="n">
        <f aca="false">IFERROR(AL35/AL33,"N/A")</f>
        <v>0.51317160206156</v>
      </c>
      <c r="AM36" s="1592" t="n">
        <f aca="false">IFERROR(AM35/AM33,"N/A")</f>
        <v>0.526697070520946</v>
      </c>
      <c r="AN36" s="1593" t="n">
        <f aca="false">IFERROR(AN35/AN33,"N/A")</f>
        <v>0.526697070520946</v>
      </c>
      <c r="AO36" s="1593" t="n">
        <f aca="false">IFERROR(AO35/AO33,"N/A")</f>
        <v>0.526697070520946</v>
      </c>
      <c r="AP36" s="1593" t="n">
        <f aca="false">IFERROR(AP35/AP33,"N/A")</f>
        <v>0.526697070520946</v>
      </c>
      <c r="AQ36" s="1593" t="n">
        <f aca="false">IFERROR(AQ35/AQ33,"N/A")</f>
        <v>0.526697070520946</v>
      </c>
      <c r="AR36" s="1593" t="n">
        <f aca="false">IFERROR(AR35/AR33,"N/A")</f>
        <v>0.526697070520946</v>
      </c>
      <c r="AS36" s="1593" t="n">
        <f aca="false">IFERROR(AS35/AS33,"N/A")</f>
        <v>0.526697070520946</v>
      </c>
      <c r="AT36" s="1593" t="n">
        <f aca="false">IFERROR(AT35/AT33,"N/A")</f>
        <v>0.526697070520946</v>
      </c>
      <c r="AU36" s="1593" t="n">
        <f aca="false">IFERROR(AU35/AU33,"N/A")</f>
        <v>0.526697070520946</v>
      </c>
      <c r="AV36" s="1593" t="n">
        <f aca="false">IFERROR(AV35/AV33,"N/A")</f>
        <v>0.526697070520946</v>
      </c>
      <c r="AW36" s="1593" t="n">
        <f aca="false">IFERROR(AW35/AW33,"N/A")</f>
        <v>0.526697070520946</v>
      </c>
      <c r="AX36" s="1594" t="n">
        <f aca="false">IFERROR(AX35/AX33,"N/A")</f>
        <v>0.526697070520946</v>
      </c>
      <c r="AY36" s="1595" t="n">
        <f aca="false">IFERROR(AY35/AY33,"N/A")</f>
        <v>0.538290329200419</v>
      </c>
      <c r="AZ36" s="1596" t="n">
        <f aca="false">IFERROR(AZ35/AZ33,"N/A")</f>
        <v>0.538290329200419</v>
      </c>
      <c r="BA36" s="1596" t="n">
        <f aca="false">IFERROR(BA35/BA33,"N/A")</f>
        <v>0.538290329200419</v>
      </c>
      <c r="BB36" s="1596" t="n">
        <f aca="false">IFERROR(BB35/BB33,"N/A")</f>
        <v>0.538290329200419</v>
      </c>
      <c r="BC36" s="1596" t="n">
        <f aca="false">IFERROR(BC35/BC33,"N/A")</f>
        <v>0.538290329200419</v>
      </c>
      <c r="BD36" s="1596" t="n">
        <f aca="false">IFERROR(BD35/BD33,"N/A")</f>
        <v>0.538290329200419</v>
      </c>
      <c r="BE36" s="1596" t="n">
        <f aca="false">IFERROR(BE35/BE33,"N/A")</f>
        <v>0.538290329200419</v>
      </c>
      <c r="BF36" s="1596" t="n">
        <f aca="false">IFERROR(BF35/BF33,"N/A")</f>
        <v>0.538290329200419</v>
      </c>
      <c r="BG36" s="1596" t="n">
        <f aca="false">IFERROR(BG35/BG33,"N/A")</f>
        <v>0.538290329200419</v>
      </c>
      <c r="BH36" s="1596" t="n">
        <f aca="false">IFERROR(BH35/BH33,"N/A")</f>
        <v>0.538290329200419</v>
      </c>
      <c r="BI36" s="1596" t="n">
        <f aca="false">IFERROR(BI35/BI33,"N/A")</f>
        <v>0.538290329200419</v>
      </c>
      <c r="BJ36" s="1596" t="n">
        <f aca="false">IFERROR(BJ35/BJ33,"N/A")</f>
        <v>0.538290329200419</v>
      </c>
      <c r="BK36" s="1597" t="n">
        <f aca="false">IFERROR(BK35/BK33,"N/A")</f>
        <v>0.378569191897909</v>
      </c>
      <c r="BL36" s="1597" t="n">
        <f aca="false">IFERROR(BL35/BL33,"N/A")</f>
        <v>0.497186957518649</v>
      </c>
      <c r="BM36" s="1597" t="n">
        <f aca="false">IFERROR(BM35/BM33,"N/A")</f>
        <v>0.51317160206156</v>
      </c>
      <c r="BN36" s="1597" t="n">
        <f aca="false">IFERROR(BN35/BN33,"N/A")</f>
        <v>0.526697070520946</v>
      </c>
      <c r="BO36" s="1597" t="n">
        <f aca="false">IFERROR(BO35/BO33,"N/A")</f>
        <v>0.53829032920042</v>
      </c>
      <c r="BP36" s="1598" t="s">
        <v>2076</v>
      </c>
      <c r="BQ36" s="1534"/>
    </row>
    <row r="37" customFormat="false" ht="10.5" hidden="false" customHeight="true" outlineLevel="0" collapsed="false">
      <c r="A37" s="1550" t="s">
        <v>1490</v>
      </c>
      <c r="B37" s="1534"/>
      <c r="C37" s="1567" t="n">
        <f aca="false">C9</f>
        <v>395805.9718</v>
      </c>
      <c r="D37" s="1568" t="n">
        <f aca="false">D9</f>
        <v>412861.9718</v>
      </c>
      <c r="E37" s="1568" t="n">
        <f aca="false">E9</f>
        <v>421481.6858</v>
      </c>
      <c r="F37" s="1568" t="n">
        <f aca="false">F9</f>
        <v>434809.677886905</v>
      </c>
      <c r="G37" s="1568" t="n">
        <f aca="false">G9</f>
        <v>448229.38397381</v>
      </c>
      <c r="H37" s="1568" t="n">
        <f aca="false">H9</f>
        <v>496388.796147619</v>
      </c>
      <c r="I37" s="1568" t="n">
        <f aca="false">I9</f>
        <v>608656.708321429</v>
      </c>
      <c r="J37" s="1568" t="n">
        <f aca="false">J9</f>
        <v>686496.075495238</v>
      </c>
      <c r="K37" s="1568" t="n">
        <f aca="false">K9</f>
        <v>737231.512669048</v>
      </c>
      <c r="L37" s="1568" t="n">
        <f aca="false">L9</f>
        <v>789756.389842857</v>
      </c>
      <c r="M37" s="1568" t="n">
        <f aca="false">M9</f>
        <v>836907.347016667</v>
      </c>
      <c r="N37" s="1569" t="n">
        <f aca="false">'P&amp;L'!M41</f>
        <v>889432.224190476</v>
      </c>
      <c r="O37" s="1570" t="n">
        <f aca="false">'P&amp;L'!N41</f>
        <v>1158254.81769214</v>
      </c>
      <c r="P37" s="1571" t="n">
        <f aca="false">'P&amp;L'!O41</f>
        <v>1247120.43068238</v>
      </c>
      <c r="Q37" s="1571" t="n">
        <f aca="false">'P&amp;L'!P41</f>
        <v>1380758.04367262</v>
      </c>
      <c r="R37" s="1571" t="n">
        <f aca="false">'P&amp;L'!Q41</f>
        <v>1510512.19666286</v>
      </c>
      <c r="S37" s="1571" t="n">
        <f aca="false">'P&amp;L'!R41</f>
        <v>1640266.3496531</v>
      </c>
      <c r="T37" s="1571" t="n">
        <f aca="false">'P&amp;L'!S41</f>
        <v>1770020.50264333</v>
      </c>
      <c r="U37" s="1571" t="n">
        <f aca="false">'P&amp;L'!T41</f>
        <v>1899774.65563357</v>
      </c>
      <c r="V37" s="1571" t="n">
        <f aca="false">'P&amp;L'!U41</f>
        <v>1984756.80862381</v>
      </c>
      <c r="W37" s="1571" t="n">
        <f aca="false">'P&amp;L'!V41</f>
        <v>2021235.96161405</v>
      </c>
      <c r="X37" s="1571" t="n">
        <f aca="false">'P&amp;L'!W41</f>
        <v>2057715.11460429</v>
      </c>
      <c r="Y37" s="1571" t="n">
        <f aca="false">'P&amp;L'!X41</f>
        <v>2094194.26759452</v>
      </c>
      <c r="Z37" s="1572" t="n">
        <f aca="false">'P&amp;L'!Y41</f>
        <v>2130673.42058476</v>
      </c>
      <c r="AA37" s="1573" t="n">
        <f aca="false">'P&amp;L'!Z41</f>
        <v>2918981.3386285</v>
      </c>
      <c r="AB37" s="1574" t="n">
        <f aca="false">'P&amp;L'!AA41</f>
        <v>2918981.3386285</v>
      </c>
      <c r="AC37" s="1574" t="n">
        <f aca="false">'P&amp;L'!AB41</f>
        <v>2918981.3386285</v>
      </c>
      <c r="AD37" s="1574" t="n">
        <f aca="false">'P&amp;L'!AC41</f>
        <v>2918981.3386285</v>
      </c>
      <c r="AE37" s="1574" t="n">
        <f aca="false">'P&amp;L'!AD41</f>
        <v>2918981.3386285</v>
      </c>
      <c r="AF37" s="1574" t="n">
        <f aca="false">'P&amp;L'!AE41</f>
        <v>2918981.3386285</v>
      </c>
      <c r="AG37" s="1574" t="n">
        <f aca="false">'P&amp;L'!AF41</f>
        <v>2918981.3386285</v>
      </c>
      <c r="AH37" s="1574" t="n">
        <f aca="false">'P&amp;L'!AG41</f>
        <v>2918981.3386285</v>
      </c>
      <c r="AI37" s="1574" t="n">
        <f aca="false">'P&amp;L'!AH41</f>
        <v>2918981.3386285</v>
      </c>
      <c r="AJ37" s="1574" t="n">
        <f aca="false">'P&amp;L'!AI41</f>
        <v>2918981.3386285</v>
      </c>
      <c r="AK37" s="1574" t="n">
        <f aca="false">'P&amp;L'!AJ41</f>
        <v>2918981.3386285</v>
      </c>
      <c r="AL37" s="1575" t="n">
        <f aca="false">'P&amp;L'!AK41</f>
        <v>2918981.3386285</v>
      </c>
      <c r="AM37" s="1576" t="n">
        <f aca="false">'P&amp;L'!AL41</f>
        <v>3101582.64745659</v>
      </c>
      <c r="AN37" s="1577" t="n">
        <f aca="false">'P&amp;L'!AM41</f>
        <v>3101582.64745659</v>
      </c>
      <c r="AO37" s="1577" t="n">
        <f aca="false">'P&amp;L'!AN41</f>
        <v>3101582.64745659</v>
      </c>
      <c r="AP37" s="1577" t="n">
        <f aca="false">'P&amp;L'!AO41</f>
        <v>3101582.64745659</v>
      </c>
      <c r="AQ37" s="1577" t="n">
        <f aca="false">'P&amp;L'!AP41</f>
        <v>3101582.64745659</v>
      </c>
      <c r="AR37" s="1577" t="n">
        <f aca="false">'P&amp;L'!AQ41</f>
        <v>3101582.64745659</v>
      </c>
      <c r="AS37" s="1577" t="n">
        <f aca="false">'P&amp;L'!AR41</f>
        <v>3101582.64745659</v>
      </c>
      <c r="AT37" s="1577" t="n">
        <f aca="false">'P&amp;L'!AS41</f>
        <v>3101582.64745659</v>
      </c>
      <c r="AU37" s="1577" t="n">
        <f aca="false">'P&amp;L'!AT41</f>
        <v>3101582.64745659</v>
      </c>
      <c r="AV37" s="1577" t="n">
        <f aca="false">'P&amp;L'!AU41</f>
        <v>3101582.64745659</v>
      </c>
      <c r="AW37" s="1577" t="n">
        <f aca="false">'P&amp;L'!AV41</f>
        <v>3101582.64745659</v>
      </c>
      <c r="AX37" s="1578" t="n">
        <f aca="false">'P&amp;L'!AW41</f>
        <v>3101582.64745659</v>
      </c>
      <c r="AY37" s="1579" t="n">
        <f aca="false">'P&amp;L'!AX41</f>
        <v>3287510.520114</v>
      </c>
      <c r="AZ37" s="1580" t="n">
        <f aca="false">'P&amp;L'!AY41</f>
        <v>3287510.520114</v>
      </c>
      <c r="BA37" s="1580" t="n">
        <f aca="false">'P&amp;L'!AZ41</f>
        <v>3287510.520114</v>
      </c>
      <c r="BB37" s="1580" t="n">
        <f aca="false">'P&amp;L'!BA41</f>
        <v>3287510.520114</v>
      </c>
      <c r="BC37" s="1580" t="n">
        <f aca="false">'P&amp;L'!BB41</f>
        <v>3287510.520114</v>
      </c>
      <c r="BD37" s="1580" t="n">
        <f aca="false">'P&amp;L'!BC41</f>
        <v>3287510.520114</v>
      </c>
      <c r="BE37" s="1580" t="n">
        <f aca="false">'P&amp;L'!BD41</f>
        <v>3287510.520114</v>
      </c>
      <c r="BF37" s="1580" t="n">
        <f aca="false">'P&amp;L'!BE41</f>
        <v>3287510.520114</v>
      </c>
      <c r="BG37" s="1580" t="n">
        <f aca="false">'P&amp;L'!BF41</f>
        <v>3287510.520114</v>
      </c>
      <c r="BH37" s="1580" t="n">
        <f aca="false">'P&amp;L'!BG41</f>
        <v>3287510.520114</v>
      </c>
      <c r="BI37" s="1580" t="n">
        <f aca="false">'P&amp;L'!BH41</f>
        <v>3287510.520114</v>
      </c>
      <c r="BJ37" s="1580" t="n">
        <f aca="false">'P&amp;L'!BI41</f>
        <v>3287510.520114</v>
      </c>
      <c r="BK37" s="1581" t="n">
        <f aca="false">SUM(C37:N37)</f>
        <v>7158057.74494405</v>
      </c>
      <c r="BL37" s="1581" t="n">
        <f aca="false">SUM(O37:Z37)</f>
        <v>20895282.5696614</v>
      </c>
      <c r="BM37" s="1581" t="n">
        <f aca="false">SUM(AA37:AL37)</f>
        <v>35027776.063542</v>
      </c>
      <c r="BN37" s="1581" t="n">
        <f aca="false">SUM(AM37:AX37)</f>
        <v>37218991.7694791</v>
      </c>
      <c r="BO37" s="1581" t="n">
        <f aca="false">SUM(AY37:BJ37)</f>
        <v>39450126.2413681</v>
      </c>
      <c r="BP37" s="1566" t="s">
        <v>1490</v>
      </c>
      <c r="BQ37" s="1534"/>
    </row>
    <row r="38" customFormat="false" ht="10.5" hidden="false" customHeight="true" outlineLevel="0" collapsed="false">
      <c r="A38" s="1550" t="s">
        <v>111</v>
      </c>
      <c r="B38" s="1534"/>
      <c r="C38" s="1567" t="n">
        <f aca="false">C35-C37</f>
        <v>-395805.9718</v>
      </c>
      <c r="D38" s="1568" t="n">
        <f aca="false">D35-D37</f>
        <v>-412861.9718</v>
      </c>
      <c r="E38" s="1568" t="n">
        <f aca="false">E35-E37</f>
        <v>-421293.703056714</v>
      </c>
      <c r="F38" s="1568" t="n">
        <f aca="false">F35-F37</f>
        <v>-391625.768287176</v>
      </c>
      <c r="G38" s="1568" t="n">
        <f aca="false">G35-G37</f>
        <v>-361861.564774352</v>
      </c>
      <c r="H38" s="1568" t="n">
        <f aca="false">H35-H37</f>
        <v>-323653.157748703</v>
      </c>
      <c r="I38" s="1568" t="n">
        <f aca="false">I35-I37</f>
        <v>-349553.250723054</v>
      </c>
      <c r="J38" s="1568" t="n">
        <f aca="false">J35-J37</f>
        <v>-341024.798697406</v>
      </c>
      <c r="K38" s="1568" t="n">
        <f aca="false">K35-K37</f>
        <v>-305392.416671757</v>
      </c>
      <c r="L38" s="1568" t="n">
        <f aca="false">L35-L37</f>
        <v>-271549.474646109</v>
      </c>
      <c r="M38" s="1568" t="n">
        <f aca="false">M35-M37</f>
        <v>-232332.61262046</v>
      </c>
      <c r="N38" s="1569" t="n">
        <f aca="false">N35-N37</f>
        <v>-198489.670594812</v>
      </c>
      <c r="O38" s="1570" t="n">
        <f aca="false">O35-O37</f>
        <v>229222.552545503</v>
      </c>
      <c r="P38" s="1571" t="n">
        <f aca="false">P35-P37</f>
        <v>294521.091803893</v>
      </c>
      <c r="Q38" s="1571" t="n">
        <f aca="false">Q35-Q37</f>
        <v>315047.631062283</v>
      </c>
      <c r="R38" s="1571" t="n">
        <f aca="false">R35-R37</f>
        <v>339457.630320672</v>
      </c>
      <c r="S38" s="1571" t="n">
        <f aca="false">S35-S37</f>
        <v>363867.629579061</v>
      </c>
      <c r="T38" s="1571" t="n">
        <f aca="false">T35-T37</f>
        <v>388277.62883745</v>
      </c>
      <c r="U38" s="1571" t="n">
        <f aca="false">U35-U37</f>
        <v>412687.628095841</v>
      </c>
      <c r="V38" s="1571" t="n">
        <f aca="false">V35-V37</f>
        <v>481869.627354228</v>
      </c>
      <c r="W38" s="1571" t="n">
        <f aca="false">W35-W37</f>
        <v>599554.626612617</v>
      </c>
      <c r="X38" s="1571" t="n">
        <f aca="false">X35-X37</f>
        <v>717239.625871004</v>
      </c>
      <c r="Y38" s="1571" t="n">
        <f aca="false">Y35-Y37</f>
        <v>834924.625129395</v>
      </c>
      <c r="Z38" s="1572" t="n">
        <f aca="false">Z35-Z37</f>
        <v>952609.624387784</v>
      </c>
      <c r="AA38" s="1573" t="n">
        <f aca="false">AA35-AA37</f>
        <v>3156530.78984438</v>
      </c>
      <c r="AB38" s="1574" t="n">
        <f aca="false">AB35-AB37</f>
        <v>3156530.78984438</v>
      </c>
      <c r="AC38" s="1574" t="n">
        <f aca="false">AC35-AC37</f>
        <v>3156530.78984438</v>
      </c>
      <c r="AD38" s="1574" t="n">
        <f aca="false">AD35-AD37</f>
        <v>3156530.78984438</v>
      </c>
      <c r="AE38" s="1574" t="n">
        <f aca="false">AE35-AE37</f>
        <v>3156530.78984438</v>
      </c>
      <c r="AF38" s="1574" t="n">
        <f aca="false">AF35-AF37</f>
        <v>3156530.78984438</v>
      </c>
      <c r="AG38" s="1574" t="n">
        <f aca="false">AG35-AG37</f>
        <v>3156530.78984438</v>
      </c>
      <c r="AH38" s="1574" t="n">
        <f aca="false">AH35-AH37</f>
        <v>3156530.78984438</v>
      </c>
      <c r="AI38" s="1574" t="n">
        <f aca="false">AI35-AI37</f>
        <v>3156530.78984438</v>
      </c>
      <c r="AJ38" s="1574" t="n">
        <f aca="false">AJ35-AJ37</f>
        <v>3156530.78984438</v>
      </c>
      <c r="AK38" s="1574" t="n">
        <f aca="false">AK35-AK37</f>
        <v>3156530.78984438</v>
      </c>
      <c r="AL38" s="1575" t="n">
        <f aca="false">AL35-AL37</f>
        <v>3156530.78984438</v>
      </c>
      <c r="AM38" s="1576" t="n">
        <f aca="false">AM35-AM37</f>
        <v>3653696.28078722</v>
      </c>
      <c r="AN38" s="1577" t="n">
        <f aca="false">AN35-AN37</f>
        <v>3653696.28078722</v>
      </c>
      <c r="AO38" s="1577" t="n">
        <f aca="false">AO35-AO37</f>
        <v>3653696.28078722</v>
      </c>
      <c r="AP38" s="1577" t="n">
        <f aca="false">AP35-AP37</f>
        <v>3653696.28078722</v>
      </c>
      <c r="AQ38" s="1577" t="n">
        <f aca="false">AQ35-AQ37</f>
        <v>3653696.28078722</v>
      </c>
      <c r="AR38" s="1577" t="n">
        <f aca="false">AR35-AR37</f>
        <v>3653696.28078722</v>
      </c>
      <c r="AS38" s="1577" t="n">
        <f aca="false">AS35-AS37</f>
        <v>3653696.28078722</v>
      </c>
      <c r="AT38" s="1577" t="n">
        <f aca="false">AT35-AT37</f>
        <v>3653696.28078722</v>
      </c>
      <c r="AU38" s="1577" t="n">
        <f aca="false">AU35-AU37</f>
        <v>3653696.28078722</v>
      </c>
      <c r="AV38" s="1577" t="n">
        <f aca="false">AV35-AV37</f>
        <v>3653696.28078722</v>
      </c>
      <c r="AW38" s="1577" t="n">
        <f aca="false">AW35-AW37</f>
        <v>3653696.28078722</v>
      </c>
      <c r="AX38" s="1578" t="n">
        <f aca="false">AX35-AX37</f>
        <v>3653696.28078722</v>
      </c>
      <c r="AY38" s="1579" t="n">
        <f aca="false">AY35-AY37</f>
        <v>4147535.20790073</v>
      </c>
      <c r="AZ38" s="1580" t="n">
        <f aca="false">AZ35-AZ37</f>
        <v>4147535.20790073</v>
      </c>
      <c r="BA38" s="1580" t="n">
        <f aca="false">BA35-BA37</f>
        <v>4147535.20790073</v>
      </c>
      <c r="BB38" s="1580" t="n">
        <f aca="false">BB35-BB37</f>
        <v>4147535.20790073</v>
      </c>
      <c r="BC38" s="1580" t="n">
        <f aca="false">BC35-BC37</f>
        <v>4147535.20790073</v>
      </c>
      <c r="BD38" s="1580" t="n">
        <f aca="false">BD35-BD37</f>
        <v>4147535.20790073</v>
      </c>
      <c r="BE38" s="1580" t="n">
        <f aca="false">BE35-BE37</f>
        <v>4147535.20790073</v>
      </c>
      <c r="BF38" s="1580" t="n">
        <f aca="false">BF35-BF37</f>
        <v>4147535.20790073</v>
      </c>
      <c r="BG38" s="1580" t="n">
        <f aca="false">BG35-BG37</f>
        <v>4147535.20790073</v>
      </c>
      <c r="BH38" s="1580" t="n">
        <f aca="false">BH35-BH37</f>
        <v>4147535.20790073</v>
      </c>
      <c r="BI38" s="1580" t="n">
        <f aca="false">BI35-BI37</f>
        <v>4147535.20790073</v>
      </c>
      <c r="BJ38" s="1580" t="n">
        <f aca="false">BJ35-BJ37</f>
        <v>4147535.20790073</v>
      </c>
      <c r="BK38" s="1581" t="n">
        <f aca="false">SUM(C38:N38)</f>
        <v>-4005444.36142054</v>
      </c>
      <c r="BL38" s="1581" t="n">
        <f aca="false">SUM(O38:Z38)</f>
        <v>5929279.92159973</v>
      </c>
      <c r="BM38" s="1581" t="n">
        <f aca="false">SUM(AA38:AL38)</f>
        <v>37878369.4781326</v>
      </c>
      <c r="BN38" s="1581" t="n">
        <f aca="false">SUM(AM38:AX38)</f>
        <v>43844355.3694466</v>
      </c>
      <c r="BO38" s="1581" t="n">
        <f aca="false">SUM(AY38:BJ38)</f>
        <v>49770422.4948087</v>
      </c>
      <c r="BP38" s="1566" t="s">
        <v>111</v>
      </c>
      <c r="BQ38" s="1534"/>
    </row>
    <row r="39" customFormat="false" ht="10.5" hidden="false" customHeight="true" outlineLevel="0" collapsed="false">
      <c r="A39" s="1550" t="s">
        <v>227</v>
      </c>
      <c r="B39" s="1534"/>
      <c r="C39" s="1567" t="n">
        <f aca="false">C38</f>
        <v>-395805.9718</v>
      </c>
      <c r="D39" s="1568" t="n">
        <f aca="false">D38</f>
        <v>-412861.9718</v>
      </c>
      <c r="E39" s="1568" t="n">
        <f aca="false">E38</f>
        <v>-421293.703056714</v>
      </c>
      <c r="F39" s="1568" t="n">
        <f aca="false">F38</f>
        <v>-391625.768287176</v>
      </c>
      <c r="G39" s="1568" t="n">
        <f aca="false">G38</f>
        <v>-361861.564774352</v>
      </c>
      <c r="H39" s="1568" t="n">
        <f aca="false">H38</f>
        <v>-323653.157748703</v>
      </c>
      <c r="I39" s="1568" t="n">
        <f aca="false">I38</f>
        <v>-349553.250723054</v>
      </c>
      <c r="J39" s="1568" t="n">
        <f aca="false">J38</f>
        <v>-341024.798697406</v>
      </c>
      <c r="K39" s="1568" t="n">
        <f aca="false">K38</f>
        <v>-305392.416671757</v>
      </c>
      <c r="L39" s="1568" t="n">
        <f aca="false">L38</f>
        <v>-271549.474646109</v>
      </c>
      <c r="M39" s="1568" t="n">
        <f aca="false">M38</f>
        <v>-232332.61262046</v>
      </c>
      <c r="N39" s="1569" t="n">
        <f aca="false">N38</f>
        <v>-198489.670594812</v>
      </c>
      <c r="O39" s="1570" t="n">
        <f aca="false">O38</f>
        <v>229222.552545503</v>
      </c>
      <c r="P39" s="1571" t="n">
        <f aca="false">P38</f>
        <v>294521.091803893</v>
      </c>
      <c r="Q39" s="1571" t="n">
        <f aca="false">Q38</f>
        <v>315047.631062283</v>
      </c>
      <c r="R39" s="1571" t="n">
        <f aca="false">R38</f>
        <v>339457.630320672</v>
      </c>
      <c r="S39" s="1571" t="n">
        <f aca="false">S38</f>
        <v>363867.629579061</v>
      </c>
      <c r="T39" s="1571" t="n">
        <f aca="false">T38</f>
        <v>388277.62883745</v>
      </c>
      <c r="U39" s="1571" t="n">
        <f aca="false">U38</f>
        <v>412687.628095841</v>
      </c>
      <c r="V39" s="1571" t="n">
        <f aca="false">V38</f>
        <v>481869.627354228</v>
      </c>
      <c r="W39" s="1571" t="n">
        <f aca="false">W38</f>
        <v>599554.626612617</v>
      </c>
      <c r="X39" s="1571" t="n">
        <f aca="false">X38</f>
        <v>717239.625871004</v>
      </c>
      <c r="Y39" s="1571" t="n">
        <f aca="false">Y38</f>
        <v>834924.625129395</v>
      </c>
      <c r="Z39" s="1572" t="n">
        <f aca="false">Z38</f>
        <v>952609.624387784</v>
      </c>
      <c r="AA39" s="1573" t="n">
        <f aca="false">AA38</f>
        <v>3156530.78984438</v>
      </c>
      <c r="AB39" s="1574" t="n">
        <f aca="false">AB38</f>
        <v>3156530.78984438</v>
      </c>
      <c r="AC39" s="1574" t="n">
        <f aca="false">AC38</f>
        <v>3156530.78984438</v>
      </c>
      <c r="AD39" s="1574" t="n">
        <f aca="false">AD38</f>
        <v>3156530.78984438</v>
      </c>
      <c r="AE39" s="1574" t="n">
        <f aca="false">AE38</f>
        <v>3156530.78984438</v>
      </c>
      <c r="AF39" s="1574" t="n">
        <f aca="false">AF38</f>
        <v>3156530.78984438</v>
      </c>
      <c r="AG39" s="1574" t="n">
        <f aca="false">AG38</f>
        <v>3156530.78984438</v>
      </c>
      <c r="AH39" s="1574" t="n">
        <f aca="false">AH38</f>
        <v>3156530.78984438</v>
      </c>
      <c r="AI39" s="1574" t="n">
        <f aca="false">AI38</f>
        <v>3156530.78984438</v>
      </c>
      <c r="AJ39" s="1574" t="n">
        <f aca="false">AJ38</f>
        <v>3156530.78984438</v>
      </c>
      <c r="AK39" s="1574" t="n">
        <f aca="false">AK38</f>
        <v>3156530.78984438</v>
      </c>
      <c r="AL39" s="1575" t="n">
        <f aca="false">AL38</f>
        <v>3156530.78984438</v>
      </c>
      <c r="AM39" s="1576" t="n">
        <f aca="false">AM38</f>
        <v>3653696.28078722</v>
      </c>
      <c r="AN39" s="1577" t="n">
        <f aca="false">AN38</f>
        <v>3653696.28078722</v>
      </c>
      <c r="AO39" s="1577" t="n">
        <f aca="false">AO38</f>
        <v>3653696.28078722</v>
      </c>
      <c r="AP39" s="1577" t="n">
        <f aca="false">AP38</f>
        <v>3653696.28078722</v>
      </c>
      <c r="AQ39" s="1577" t="n">
        <f aca="false">AQ38</f>
        <v>3653696.28078722</v>
      </c>
      <c r="AR39" s="1577" t="n">
        <f aca="false">AR38</f>
        <v>3653696.28078722</v>
      </c>
      <c r="AS39" s="1577" t="n">
        <f aca="false">AS38</f>
        <v>3653696.28078722</v>
      </c>
      <c r="AT39" s="1577" t="n">
        <f aca="false">AT38</f>
        <v>3653696.28078722</v>
      </c>
      <c r="AU39" s="1577" t="n">
        <f aca="false">AU38</f>
        <v>3653696.28078722</v>
      </c>
      <c r="AV39" s="1577" t="n">
        <f aca="false">AV38</f>
        <v>3653696.28078722</v>
      </c>
      <c r="AW39" s="1577" t="n">
        <f aca="false">AW38</f>
        <v>3653696.28078722</v>
      </c>
      <c r="AX39" s="1578" t="n">
        <f aca="false">AX38</f>
        <v>3653696.28078722</v>
      </c>
      <c r="AY39" s="1579" t="n">
        <f aca="false">AY38</f>
        <v>4147535.20790073</v>
      </c>
      <c r="AZ39" s="1580" t="n">
        <f aca="false">AZ38</f>
        <v>4147535.20790073</v>
      </c>
      <c r="BA39" s="1580" t="n">
        <f aca="false">BA38</f>
        <v>4147535.20790073</v>
      </c>
      <c r="BB39" s="1580" t="n">
        <f aca="false">BB38</f>
        <v>4147535.20790073</v>
      </c>
      <c r="BC39" s="1580" t="n">
        <f aca="false">BC38</f>
        <v>4147535.20790073</v>
      </c>
      <c r="BD39" s="1580" t="n">
        <f aca="false">BD38</f>
        <v>4147535.20790073</v>
      </c>
      <c r="BE39" s="1580" t="n">
        <f aca="false">BE38</f>
        <v>4147535.20790073</v>
      </c>
      <c r="BF39" s="1580" t="n">
        <f aca="false">BF38</f>
        <v>4147535.20790073</v>
      </c>
      <c r="BG39" s="1580" t="n">
        <f aca="false">BG38</f>
        <v>4147535.20790073</v>
      </c>
      <c r="BH39" s="1580" t="n">
        <f aca="false">BH38</f>
        <v>4147535.20790073</v>
      </c>
      <c r="BI39" s="1580" t="n">
        <f aca="false">BI38</f>
        <v>4147535.20790073</v>
      </c>
      <c r="BJ39" s="1580" t="n">
        <f aca="false">BJ38</f>
        <v>4147535.20790073</v>
      </c>
      <c r="BK39" s="1581" t="n">
        <f aca="false">SUM(C39:N39)</f>
        <v>-4005444.36142054</v>
      </c>
      <c r="BL39" s="1581" t="n">
        <f aca="false">SUM(O39:Z39)</f>
        <v>5929279.92159973</v>
      </c>
      <c r="BM39" s="1581" t="n">
        <f aca="false">SUM(AA39:AL39)</f>
        <v>37878369.4781326</v>
      </c>
      <c r="BN39" s="1581" t="n">
        <f aca="false">SUM(AM39:AX39)</f>
        <v>43844355.3694466</v>
      </c>
      <c r="BO39" s="1581" t="n">
        <f aca="false">SUM(AY39:BJ39)</f>
        <v>49770422.4948087</v>
      </c>
      <c r="BP39" s="1566" t="s">
        <v>227</v>
      </c>
      <c r="BQ39" s="1534"/>
    </row>
    <row r="40" customFormat="false" ht="10.5" hidden="false" customHeight="true" outlineLevel="0" collapsed="false">
      <c r="A40" s="1550" t="s">
        <v>1914</v>
      </c>
      <c r="B40" s="1534"/>
      <c r="C40" s="1567" t="n">
        <f aca="false">C12+(C38-C10)</f>
        <v>9994578.0003863</v>
      </c>
      <c r="D40" s="1568" t="n">
        <f aca="false">D12+(D38-D10)</f>
        <v>9598538.38475069</v>
      </c>
      <c r="E40" s="1568" t="n">
        <f aca="false">E12+(E38-E10)</f>
        <v>9185528.19078798</v>
      </c>
      <c r="F40" s="1568" t="n">
        <f aca="false">F12+(F38-F10)</f>
        <v>8757190.49330006</v>
      </c>
      <c r="G40" s="1568" t="n">
        <f aca="false">G12+(G38-G10)</f>
        <v>8366076.84684086</v>
      </c>
      <c r="H40" s="1568" t="n">
        <f aca="false">H12+(H38-H10)</f>
        <v>8004947.47092794</v>
      </c>
      <c r="I40" s="1568" t="n">
        <f aca="false">I12+(I38-I10)</f>
        <v>7690965.53183554</v>
      </c>
      <c r="J40" s="1568" t="n">
        <f aca="false">J12+(J38-J10)</f>
        <v>7353930.74878511</v>
      </c>
      <c r="K40" s="1568" t="n">
        <f aca="false">K12+(K38-K10)</f>
        <v>7031691.84870335</v>
      </c>
      <c r="L40" s="1568" t="n">
        <f aca="false">L12+(L38-L10)</f>
        <v>6751959.57511833</v>
      </c>
      <c r="M40" s="1568" t="n">
        <f aca="false">M12+(M38-M10)</f>
        <v>6513342.26104482</v>
      </c>
      <c r="N40" s="1569" t="n">
        <f aca="false">M40+N39</f>
        <v>6314852.59045001</v>
      </c>
      <c r="O40" s="1570" t="n">
        <f aca="false">M40+O39</f>
        <v>6742564.81359032</v>
      </c>
      <c r="P40" s="1571" t="n">
        <f aca="false">O40+P39</f>
        <v>7037085.90539421</v>
      </c>
      <c r="Q40" s="1571" t="n">
        <f aca="false">P40+Q39</f>
        <v>7352133.5364565</v>
      </c>
      <c r="R40" s="1571" t="n">
        <f aca="false">Q40+R39</f>
        <v>7691591.16677717</v>
      </c>
      <c r="S40" s="1571" t="n">
        <f aca="false">R40+S39</f>
        <v>8055458.79635623</v>
      </c>
      <c r="T40" s="1571" t="n">
        <f aca="false">S40+T39</f>
        <v>8443736.42519368</v>
      </c>
      <c r="U40" s="1571" t="n">
        <f aca="false">T40+U39</f>
        <v>8856424.05328952</v>
      </c>
      <c r="V40" s="1571" t="n">
        <f aca="false">U40+V39</f>
        <v>9338293.68064375</v>
      </c>
      <c r="W40" s="1571" t="n">
        <f aca="false">V40+W39</f>
        <v>9937848.30725637</v>
      </c>
      <c r="X40" s="1571" t="n">
        <f aca="false">W40+X39</f>
        <v>10655087.9331274</v>
      </c>
      <c r="Y40" s="1571" t="n">
        <f aca="false">X40+Y39</f>
        <v>11490012.5582568</v>
      </c>
      <c r="Z40" s="1572" t="n">
        <f aca="false">Y40+Z39</f>
        <v>12442622.1826446</v>
      </c>
      <c r="AA40" s="1573" t="n">
        <f aca="false">Z40+AA39</f>
        <v>15599152.9724889</v>
      </c>
      <c r="AB40" s="1574" t="n">
        <f aca="false">AA40+AB39</f>
        <v>18755683.7623333</v>
      </c>
      <c r="AC40" s="1574" t="n">
        <f aca="false">AB40+AC39</f>
        <v>21912214.5521777</v>
      </c>
      <c r="AD40" s="1574" t="n">
        <f aca="false">AC40+AD39</f>
        <v>25068745.3420221</v>
      </c>
      <c r="AE40" s="1574" t="n">
        <f aca="false">AD40+AE39</f>
        <v>28225276.1318664</v>
      </c>
      <c r="AF40" s="1574" t="n">
        <f aca="false">AE40+AF39</f>
        <v>31381806.9217108</v>
      </c>
      <c r="AG40" s="1574" t="n">
        <f aca="false">AF40+AG39</f>
        <v>34538337.7115552</v>
      </c>
      <c r="AH40" s="1574" t="n">
        <f aca="false">AG40+AH39</f>
        <v>37694868.5013996</v>
      </c>
      <c r="AI40" s="1574" t="n">
        <f aca="false">AH40+AI39</f>
        <v>40851399.291244</v>
      </c>
      <c r="AJ40" s="1574" t="n">
        <f aca="false">AI40+AJ39</f>
        <v>44007930.0810883</v>
      </c>
      <c r="AK40" s="1574" t="n">
        <f aca="false">AJ40+AK39</f>
        <v>47164460.8709327</v>
      </c>
      <c r="AL40" s="1575" t="n">
        <f aca="false">AK40+AL39</f>
        <v>50320991.6607771</v>
      </c>
      <c r="AM40" s="1576" t="n">
        <f aca="false">AL40+AM39</f>
        <v>53974687.9415643</v>
      </c>
      <c r="AN40" s="1577" t="n">
        <f aca="false">AM40+AN39</f>
        <v>57628384.2223515</v>
      </c>
      <c r="AO40" s="1577" t="n">
        <f aca="false">AN40+AO39</f>
        <v>61282080.5031388</v>
      </c>
      <c r="AP40" s="1577" t="n">
        <f aca="false">AO40+AP39</f>
        <v>64935776.783926</v>
      </c>
      <c r="AQ40" s="1577" t="n">
        <f aca="false">AP40+AQ39</f>
        <v>68589473.0647132</v>
      </c>
      <c r="AR40" s="1577" t="n">
        <f aca="false">AQ40+AR39</f>
        <v>72243169.3455004</v>
      </c>
      <c r="AS40" s="1577" t="n">
        <f aca="false">AR40+AS39</f>
        <v>75896865.6262876</v>
      </c>
      <c r="AT40" s="1577" t="n">
        <f aca="false">AS40+AT39</f>
        <v>79550561.9070748</v>
      </c>
      <c r="AU40" s="1577" t="n">
        <f aca="false">AT40+AU39</f>
        <v>83204258.187862</v>
      </c>
      <c r="AV40" s="1577" t="n">
        <f aca="false">AU40+AV39</f>
        <v>86857954.4686493</v>
      </c>
      <c r="AW40" s="1577" t="n">
        <f aca="false">AV40+AW39</f>
        <v>90511650.7494365</v>
      </c>
      <c r="AX40" s="1578" t="n">
        <f aca="false">AW40+AX39</f>
        <v>94165347.0302237</v>
      </c>
      <c r="AY40" s="1579" t="n">
        <f aca="false">AX40+AY39</f>
        <v>98312882.2381244</v>
      </c>
      <c r="AZ40" s="1580" t="n">
        <f aca="false">AY40+AZ39</f>
        <v>102460417.446025</v>
      </c>
      <c r="BA40" s="1580" t="n">
        <f aca="false">AZ40+BA39</f>
        <v>106607952.653926</v>
      </c>
      <c r="BB40" s="1580" t="n">
        <f aca="false">BA40+BB39</f>
        <v>110755487.861827</v>
      </c>
      <c r="BC40" s="1580" t="n">
        <f aca="false">BB40+BC39</f>
        <v>114903023.069727</v>
      </c>
      <c r="BD40" s="1580" t="n">
        <f aca="false">BC40+BD39</f>
        <v>119050558.277628</v>
      </c>
      <c r="BE40" s="1580" t="n">
        <f aca="false">BD40+BE39</f>
        <v>123198093.485529</v>
      </c>
      <c r="BF40" s="1580" t="n">
        <f aca="false">BE40+BF39</f>
        <v>127345628.69343</v>
      </c>
      <c r="BG40" s="1580" t="n">
        <f aca="false">BF40+BG39</f>
        <v>131493163.90133</v>
      </c>
      <c r="BH40" s="1580" t="n">
        <f aca="false">BG40+BH39</f>
        <v>135640699.109231</v>
      </c>
      <c r="BI40" s="1580" t="n">
        <f aca="false">BH40+BI39</f>
        <v>139788234.317132</v>
      </c>
      <c r="BJ40" s="1580" t="n">
        <f aca="false">BI40+BJ39</f>
        <v>143935769.525032</v>
      </c>
      <c r="BK40" s="1581" t="n">
        <f aca="false">N40</f>
        <v>6314852.59045001</v>
      </c>
      <c r="BL40" s="1581" t="n">
        <f aca="false">Z40</f>
        <v>12442622.1826446</v>
      </c>
      <c r="BM40" s="1581" t="n">
        <f aca="false">AL40</f>
        <v>50320991.6607771</v>
      </c>
      <c r="BN40" s="1581" t="n">
        <f aca="false">AX40</f>
        <v>94165347.0302237</v>
      </c>
      <c r="BO40" s="1581" t="n">
        <f aca="false">BJ40</f>
        <v>143935769.525032</v>
      </c>
      <c r="BP40" s="1566" t="s">
        <v>1914</v>
      </c>
      <c r="BQ40" s="1534"/>
    </row>
    <row r="41" customFormat="false" ht="10.5" hidden="false" customHeight="true" outlineLevel="0" collapsed="false">
      <c r="A41" s="1582" t="s">
        <v>2077</v>
      </c>
      <c r="B41" s="1534"/>
      <c r="C41" s="1583" t="str">
        <f aca="false">IF(C33=0,"N/A",C38/C33)</f>
        <v>N/A</v>
      </c>
      <c r="D41" s="1584" t="str">
        <f aca="false">IF(D33=0,"N/A",D38/D33)</f>
        <v>N/A</v>
      </c>
      <c r="E41" s="1584" t="n">
        <f aca="false">IF(E33=0,"N/A",E38/E33)</f>
        <v>-540.418748124559</v>
      </c>
      <c r="F41" s="1584" t="n">
        <f aca="false">IF(F33=0,"N/A",F38/F33)</f>
        <v>-3.43328084088599</v>
      </c>
      <c r="G41" s="1584" t="n">
        <f aca="false">IF(G33=0,"N/A",G38/G33)</f>
        <v>-1.5861729206769</v>
      </c>
      <c r="H41" s="1584" t="n">
        <f aca="false">IF(H33=0,"N/A",H38/H33)</f>
        <v>-0.709345678688874</v>
      </c>
      <c r="I41" s="1584" t="n">
        <f aca="false">IF(I33=0,"N/A",I38/I33)</f>
        <v>-0.510740344379334</v>
      </c>
      <c r="J41" s="1584" t="n">
        <f aca="false">IF(J33=0,"N/A",J38/J33)</f>
        <v>-0.373709419312343</v>
      </c>
      <c r="K41" s="1584" t="n">
        <f aca="false">IF(K33=0,"N/A",K38/K33)</f>
        <v>-0.267729556636876</v>
      </c>
      <c r="L41" s="1584" t="n">
        <f aca="false">IF(L33=0,"N/A",L38/L33)</f>
        <v>-0.198383610951832</v>
      </c>
      <c r="M41" s="1584" t="n">
        <f aca="false">IF(M33=0,"N/A",M38/M33)</f>
        <v>-0.145485667370571</v>
      </c>
      <c r="N41" s="1585" t="n">
        <f aca="false">IF(N33=0,"N/A",N38/N33)</f>
        <v>-0.108756694265076</v>
      </c>
      <c r="O41" s="1586" t="n">
        <f aca="false">IFERROR(O38/O33,"N/A")</f>
        <v>0.0821393313789596</v>
      </c>
      <c r="P41" s="1587" t="n">
        <f aca="false">IFERROR(P38/P33,"N/A")</f>
        <v>0.0949844976430646</v>
      </c>
      <c r="Q41" s="1587" t="n">
        <f aca="false">IFERROR(Q38/Q33,"N/A")</f>
        <v>0.0923676430000157</v>
      </c>
      <c r="R41" s="1587" t="n">
        <f aca="false">IFERROR(R38/R33,"N/A")</f>
        <v>0.0912306265561205</v>
      </c>
      <c r="S41" s="1587" t="n">
        <f aca="false">IFERROR(S38/S33,"N/A")</f>
        <v>0.0902685357189784</v>
      </c>
      <c r="T41" s="1587" t="n">
        <f aca="false">IFERROR(T38/T33,"N/A")</f>
        <v>0.0894438864299994</v>
      </c>
      <c r="U41" s="1587" t="n">
        <f aca="false">IFERROR(U38/U33,"N/A")</f>
        <v>0.0887291903795512</v>
      </c>
      <c r="V41" s="1587" t="n">
        <f aca="false">IFERROR(V38/V33,"N/A")</f>
        <v>0.0971283249260639</v>
      </c>
      <c r="W41" s="1587" t="n">
        <f aca="false">IFERROR(W38/W33,"N/A")</f>
        <v>0.113740770441891</v>
      </c>
      <c r="X41" s="1587" t="n">
        <f aca="false">IFERROR(X38/X33,"N/A")</f>
        <v>0.128507388678181</v>
      </c>
      <c r="Y41" s="1587" t="n">
        <f aca="false">IFERROR(Y38/Y33,"N/A")</f>
        <v>0.141719626047494</v>
      </c>
      <c r="Z41" s="1588" t="n">
        <f aca="false">IFERROR(Z38/Z33,"N/A")</f>
        <v>0.153610639679875</v>
      </c>
      <c r="AA41" s="1589" t="n">
        <f aca="false">IFERROR(AA38/AA33,"N/A")</f>
        <v>0.26661817606942</v>
      </c>
      <c r="AB41" s="1590" t="n">
        <f aca="false">IFERROR(AB38/AB33,"N/A")</f>
        <v>0.26661817606942</v>
      </c>
      <c r="AC41" s="1590" t="n">
        <f aca="false">IFERROR(AC38/AC33,"N/A")</f>
        <v>0.26661817606942</v>
      </c>
      <c r="AD41" s="1590" t="n">
        <f aca="false">IFERROR(AD38/AD33,"N/A")</f>
        <v>0.26661817606942</v>
      </c>
      <c r="AE41" s="1590" t="n">
        <f aca="false">IFERROR(AE38/AE33,"N/A")</f>
        <v>0.26661817606942</v>
      </c>
      <c r="AF41" s="1590" t="n">
        <f aca="false">IFERROR(AF38/AF33,"N/A")</f>
        <v>0.26661817606942</v>
      </c>
      <c r="AG41" s="1590" t="n">
        <f aca="false">IFERROR(AG38/AG33,"N/A")</f>
        <v>0.26661817606942</v>
      </c>
      <c r="AH41" s="1590" t="n">
        <f aca="false">IFERROR(AH38/AH33,"N/A")</f>
        <v>0.26661817606942</v>
      </c>
      <c r="AI41" s="1590" t="n">
        <f aca="false">IFERROR(AI38/AI33,"N/A")</f>
        <v>0.26661817606942</v>
      </c>
      <c r="AJ41" s="1590" t="n">
        <f aca="false">IFERROR(AJ38/AJ33,"N/A")</f>
        <v>0.26661817606942</v>
      </c>
      <c r="AK41" s="1590" t="n">
        <f aca="false">IFERROR(AK38/AK33,"N/A")</f>
        <v>0.26661817606942</v>
      </c>
      <c r="AL41" s="1591" t="n">
        <f aca="false">IFERROR(AL38/AL33,"N/A")</f>
        <v>0.26661817606942</v>
      </c>
      <c r="AM41" s="1592" t="n">
        <f aca="false">IFERROR(AM38/AM33,"N/A")</f>
        <v>0.284872193747327</v>
      </c>
      <c r="AN41" s="1593" t="n">
        <f aca="false">IFERROR(AN38/AN33,"N/A")</f>
        <v>0.284872193747327</v>
      </c>
      <c r="AO41" s="1593" t="n">
        <f aca="false">IFERROR(AO38/AO33,"N/A")</f>
        <v>0.284872193747327</v>
      </c>
      <c r="AP41" s="1593" t="n">
        <f aca="false">IFERROR(AP38/AP33,"N/A")</f>
        <v>0.284872193747327</v>
      </c>
      <c r="AQ41" s="1593" t="n">
        <f aca="false">IFERROR(AQ38/AQ33,"N/A")</f>
        <v>0.284872193747327</v>
      </c>
      <c r="AR41" s="1593" t="n">
        <f aca="false">IFERROR(AR38/AR33,"N/A")</f>
        <v>0.284872193747327</v>
      </c>
      <c r="AS41" s="1593" t="n">
        <f aca="false">IFERROR(AS38/AS33,"N/A")</f>
        <v>0.284872193747327</v>
      </c>
      <c r="AT41" s="1593" t="n">
        <f aca="false">IFERROR(AT38/AT33,"N/A")</f>
        <v>0.284872193747327</v>
      </c>
      <c r="AU41" s="1593" t="n">
        <f aca="false">IFERROR(AU38/AU33,"N/A")</f>
        <v>0.284872193747327</v>
      </c>
      <c r="AV41" s="1593" t="n">
        <f aca="false">IFERROR(AV38/AV33,"N/A")</f>
        <v>0.284872193747327</v>
      </c>
      <c r="AW41" s="1593" t="n">
        <f aca="false">IFERROR(AW38/AW33,"N/A")</f>
        <v>0.284872193747327</v>
      </c>
      <c r="AX41" s="1594" t="n">
        <f aca="false">IFERROR(AX38/AX33,"N/A")</f>
        <v>0.284872193747327</v>
      </c>
      <c r="AY41" s="1595" t="n">
        <f aca="false">IFERROR(AY38/AY33,"N/A")</f>
        <v>0.300277654516504</v>
      </c>
      <c r="AZ41" s="1596" t="n">
        <f aca="false">IFERROR(AZ38/AZ33,"N/A")</f>
        <v>0.300277654516504</v>
      </c>
      <c r="BA41" s="1596" t="n">
        <f aca="false">IFERROR(BA38/BA33,"N/A")</f>
        <v>0.300277654516504</v>
      </c>
      <c r="BB41" s="1596" t="n">
        <f aca="false">IFERROR(BB38/BB33,"N/A")</f>
        <v>0.300277654516504</v>
      </c>
      <c r="BC41" s="1596" t="n">
        <f aca="false">IFERROR(BC38/BC33,"N/A")</f>
        <v>0.300277654516504</v>
      </c>
      <c r="BD41" s="1596" t="n">
        <f aca="false">IFERROR(BD38/BD33,"N/A")</f>
        <v>0.300277654516504</v>
      </c>
      <c r="BE41" s="1596" t="n">
        <f aca="false">IFERROR(BE38/BE33,"N/A")</f>
        <v>0.300277654516504</v>
      </c>
      <c r="BF41" s="1596" t="n">
        <f aca="false">IFERROR(BF38/BF33,"N/A")</f>
        <v>0.300277654516504</v>
      </c>
      <c r="BG41" s="1596" t="n">
        <f aca="false">IFERROR(BG38/BG33,"N/A")</f>
        <v>0.300277654516504</v>
      </c>
      <c r="BH41" s="1596" t="n">
        <f aca="false">IFERROR(BH38/BH33,"N/A")</f>
        <v>0.300277654516504</v>
      </c>
      <c r="BI41" s="1596" t="n">
        <f aca="false">IFERROR(BI38/BI33,"N/A")</f>
        <v>0.300277654516504</v>
      </c>
      <c r="BJ41" s="1596" t="n">
        <f aca="false">IFERROR(BJ38/BJ33,"N/A")</f>
        <v>0.300277654516504</v>
      </c>
      <c r="BK41" s="1597" t="n">
        <f aca="false">IFERROR(BK38/BK33,"N/A")</f>
        <v>-0.480978049201924</v>
      </c>
      <c r="BL41" s="1597" t="n">
        <f aca="false">IFERROR(BL38/BL33,"N/A")</f>
        <v>0.109897808974777</v>
      </c>
      <c r="BM41" s="1597" t="n">
        <f aca="false">IFERROR(BM38/BM33,"N/A")</f>
        <v>0.26661817606942</v>
      </c>
      <c r="BN41" s="1597" t="n">
        <f aca="false">IFERROR(BN38/BN33,"N/A")</f>
        <v>0.284872193747327</v>
      </c>
      <c r="BO41" s="1597" t="n">
        <f aca="false">IFERROR(BO38/BO33,"N/A")</f>
        <v>0.300277654516504</v>
      </c>
      <c r="BP41" s="1598" t="s">
        <v>2077</v>
      </c>
      <c r="BQ41" s="1534"/>
    </row>
    <row r="42" customFormat="false" ht="10.5" hidden="false" customHeight="true" outlineLevel="0" collapsed="false">
      <c r="A42" s="1599" t="s">
        <v>1916</v>
      </c>
      <c r="B42" s="1600"/>
      <c r="C42" s="1601" t="n">
        <f aca="false">C38</f>
        <v>-395805.9718</v>
      </c>
      <c r="D42" s="1602" t="n">
        <f aca="false">C42+D38</f>
        <v>-808667.9436</v>
      </c>
      <c r="E42" s="1602" t="n">
        <f aca="false">D42+E38</f>
        <v>-1229961.64665671</v>
      </c>
      <c r="F42" s="1602" t="n">
        <f aca="false">E42+F38</f>
        <v>-1621587.41494389</v>
      </c>
      <c r="G42" s="1602" t="n">
        <f aca="false">F42+G38</f>
        <v>-1983448.97971824</v>
      </c>
      <c r="H42" s="1602" t="n">
        <f aca="false">G42+H38</f>
        <v>-2307102.13746694</v>
      </c>
      <c r="I42" s="1602" t="n">
        <f aca="false">H42+I38</f>
        <v>-2656655.38819</v>
      </c>
      <c r="J42" s="1602" t="n">
        <f aca="false">I42+J38</f>
        <v>-2997680.18688741</v>
      </c>
      <c r="K42" s="1602" t="n">
        <f aca="false">J42+K38</f>
        <v>-3303072.60355916</v>
      </c>
      <c r="L42" s="1602" t="n">
        <f aca="false">K42+L38</f>
        <v>-3574622.07820527</v>
      </c>
      <c r="M42" s="1602" t="n">
        <f aca="false">L42+M38</f>
        <v>-3806954.69082573</v>
      </c>
      <c r="N42" s="1603" t="n">
        <f aca="false">M42+N38</f>
        <v>-4005444.36142054</v>
      </c>
      <c r="O42" s="1604" t="n">
        <f aca="false">M42+O38</f>
        <v>-3577732.13828023</v>
      </c>
      <c r="P42" s="1605" t="n">
        <f aca="false">O42+P38</f>
        <v>-3283211.04647634</v>
      </c>
      <c r="Q42" s="1605" t="n">
        <f aca="false">P42+Q38</f>
        <v>-2968163.41541405</v>
      </c>
      <c r="R42" s="1605" t="n">
        <f aca="false">Q42+R38</f>
        <v>-2628705.78509338</v>
      </c>
      <c r="S42" s="1605" t="n">
        <f aca="false">R42+S38</f>
        <v>-2264838.15551432</v>
      </c>
      <c r="T42" s="1605" t="n">
        <f aca="false">S42+T38</f>
        <v>-1876560.52667687</v>
      </c>
      <c r="U42" s="1605" t="n">
        <f aca="false">T42+U38</f>
        <v>-1463872.89858103</v>
      </c>
      <c r="V42" s="1605" t="n">
        <f aca="false">U42+V38</f>
        <v>-982003.2712268</v>
      </c>
      <c r="W42" s="1605" t="n">
        <f aca="false">V42+W38</f>
        <v>-382448.644614183</v>
      </c>
      <c r="X42" s="1605" t="n">
        <f aca="false">W42+X38</f>
        <v>334790.981256821</v>
      </c>
      <c r="Y42" s="1605" t="n">
        <f aca="false">X42+Y38</f>
        <v>1169715.60638622</v>
      </c>
      <c r="Z42" s="1606" t="n">
        <f aca="false">Y42+Z38</f>
        <v>2122325.230774</v>
      </c>
      <c r="AA42" s="1607" t="n">
        <f aca="false">Z42+AA38</f>
        <v>5278856.02061838</v>
      </c>
      <c r="AB42" s="1608" t="n">
        <f aca="false">AA42+AB38</f>
        <v>8435386.81046276</v>
      </c>
      <c r="AC42" s="1608" t="n">
        <f aca="false">AB42+AC38</f>
        <v>11591917.6003071</v>
      </c>
      <c r="AD42" s="1608" t="n">
        <f aca="false">AC42+AD38</f>
        <v>14748448.3901515</v>
      </c>
      <c r="AE42" s="1608" t="n">
        <f aca="false">AD42+AE38</f>
        <v>17904979.1799959</v>
      </c>
      <c r="AF42" s="1608" t="n">
        <f aca="false">AE42+AF38</f>
        <v>21061509.9698403</v>
      </c>
      <c r="AG42" s="1608" t="n">
        <f aca="false">AF42+AG38</f>
        <v>24218040.7596847</v>
      </c>
      <c r="AH42" s="1608" t="n">
        <f aca="false">AG42+AH38</f>
        <v>27374571.549529</v>
      </c>
      <c r="AI42" s="1608" t="n">
        <f aca="false">AH42+AI38</f>
        <v>30531102.3393734</v>
      </c>
      <c r="AJ42" s="1608" t="n">
        <f aca="false">AI42+AJ38</f>
        <v>33687633.1292178</v>
      </c>
      <c r="AK42" s="1608" t="n">
        <f aca="false">AJ42+AK38</f>
        <v>36844163.9190622</v>
      </c>
      <c r="AL42" s="1609" t="n">
        <f aca="false">AK42+AL38</f>
        <v>40000694.7089066</v>
      </c>
      <c r="AM42" s="1610" t="n">
        <f aca="false">AL42+AM38</f>
        <v>43654390.9896938</v>
      </c>
      <c r="AN42" s="1611" t="n">
        <f aca="false">AM42+AN38</f>
        <v>47308087.270481</v>
      </c>
      <c r="AO42" s="1611" t="n">
        <f aca="false">AN42+AO38</f>
        <v>50961783.5512682</v>
      </c>
      <c r="AP42" s="1611" t="n">
        <f aca="false">AO42+AP38</f>
        <v>54615479.8320554</v>
      </c>
      <c r="AQ42" s="1611" t="n">
        <f aca="false">AP42+AQ38</f>
        <v>58269176.1128426</v>
      </c>
      <c r="AR42" s="1611" t="n">
        <f aca="false">AQ42+AR38</f>
        <v>61922872.3936299</v>
      </c>
      <c r="AS42" s="1611" t="n">
        <f aca="false">AR42+AS38</f>
        <v>65576568.6744171</v>
      </c>
      <c r="AT42" s="1611" t="n">
        <f aca="false">AS42+AT38</f>
        <v>69230264.9552043</v>
      </c>
      <c r="AU42" s="1611" t="n">
        <f aca="false">AT42+AU38</f>
        <v>72883961.2359915</v>
      </c>
      <c r="AV42" s="1611" t="n">
        <f aca="false">AU42+AV38</f>
        <v>76537657.5167787</v>
      </c>
      <c r="AW42" s="1611" t="n">
        <f aca="false">AV42+AW38</f>
        <v>80191353.7975659</v>
      </c>
      <c r="AX42" s="1612" t="n">
        <f aca="false">AW42+AX38</f>
        <v>83845050.0783531</v>
      </c>
      <c r="AY42" s="1613" t="n">
        <f aca="false">AX42+AY38</f>
        <v>87992585.2862539</v>
      </c>
      <c r="AZ42" s="1614" t="n">
        <f aca="false">AY42+AZ38</f>
        <v>92140120.4941546</v>
      </c>
      <c r="BA42" s="1614" t="n">
        <f aca="false">AZ42+BA38</f>
        <v>96287655.7020553</v>
      </c>
      <c r="BB42" s="1614" t="n">
        <f aca="false">BA42+BB38</f>
        <v>100435190.909956</v>
      </c>
      <c r="BC42" s="1614" t="n">
        <f aca="false">BB42+BC38</f>
        <v>104582726.117857</v>
      </c>
      <c r="BD42" s="1614" t="n">
        <f aca="false">BC42+BD38</f>
        <v>108730261.325758</v>
      </c>
      <c r="BE42" s="1614" t="n">
        <f aca="false">BD42+BE38</f>
        <v>112877796.533658</v>
      </c>
      <c r="BF42" s="1614" t="n">
        <f aca="false">BE42+BF38</f>
        <v>117025331.741559</v>
      </c>
      <c r="BG42" s="1614" t="n">
        <f aca="false">BF42+BG38</f>
        <v>121172866.94946</v>
      </c>
      <c r="BH42" s="1614" t="n">
        <f aca="false">BG42+BH38</f>
        <v>125320402.15736</v>
      </c>
      <c r="BI42" s="1614" t="n">
        <f aca="false">BH42+BI38</f>
        <v>129467937.365261</v>
      </c>
      <c r="BJ42" s="1614" t="n">
        <f aca="false">BI42+BJ38</f>
        <v>133615472.573162</v>
      </c>
      <c r="BK42" s="1615" t="n">
        <f aca="false">N42</f>
        <v>-4005444.36142054</v>
      </c>
      <c r="BL42" s="1615" t="n">
        <f aca="false">Z42</f>
        <v>2122325.230774</v>
      </c>
      <c r="BM42" s="1615" t="n">
        <f aca="false">AL42</f>
        <v>40000694.7089066</v>
      </c>
      <c r="BN42" s="1615" t="n">
        <f aca="false">AX42</f>
        <v>83845050.0783531</v>
      </c>
      <c r="BO42" s="1615" t="n">
        <f aca="false">BJ42</f>
        <v>133615472.573162</v>
      </c>
      <c r="BP42" s="1616" t="s">
        <v>1916</v>
      </c>
      <c r="BQ42" s="1600"/>
    </row>
    <row r="43" customFormat="false" ht="10.5" hidden="false" customHeight="true" outlineLevel="0" collapsed="false">
      <c r="A43" s="1355"/>
      <c r="C43" s="1517"/>
      <c r="D43" s="1517"/>
      <c r="E43" s="1517"/>
      <c r="F43" s="1517"/>
      <c r="G43" s="1517"/>
      <c r="H43" s="1517"/>
      <c r="I43" s="1517"/>
      <c r="J43" s="1517"/>
      <c r="K43" s="1517"/>
      <c r="L43" s="1517"/>
      <c r="M43" s="1517"/>
      <c r="N43" s="1517"/>
      <c r="O43" s="1466"/>
      <c r="P43" s="1466"/>
      <c r="Q43" s="1466"/>
      <c r="R43" s="1466"/>
      <c r="S43" s="1466"/>
      <c r="T43" s="1466"/>
      <c r="BK43" s="1628"/>
      <c r="BL43" s="1536"/>
      <c r="BM43" s="1536"/>
      <c r="BN43" s="1536"/>
      <c r="BO43" s="1536"/>
      <c r="BP43" s="1534"/>
      <c r="BQ43" s="1534"/>
    </row>
    <row r="44" customFormat="false" ht="10.5" hidden="false" customHeight="true" outlineLevel="0" collapsed="false">
      <c r="A44" s="1355"/>
      <c r="C44" s="1517"/>
      <c r="D44" s="1517"/>
      <c r="E44" s="1517"/>
      <c r="F44" s="1517"/>
      <c r="G44" s="1517"/>
      <c r="H44" s="1517"/>
      <c r="I44" s="1517"/>
      <c r="J44" s="1517"/>
      <c r="K44" s="1517"/>
      <c r="L44" s="1517"/>
      <c r="M44" s="1517"/>
      <c r="N44" s="1517"/>
      <c r="O44" s="1466"/>
      <c r="P44" s="1466"/>
      <c r="Q44" s="1466"/>
      <c r="R44" s="1466"/>
      <c r="S44" s="1466"/>
      <c r="T44" s="1466"/>
      <c r="BK44" s="1628"/>
      <c r="BL44" s="1536"/>
      <c r="BM44" s="1536"/>
      <c r="BN44" s="1536"/>
      <c r="BO44" s="1536"/>
      <c r="BP44" s="1534"/>
      <c r="BQ44" s="1534"/>
    </row>
    <row r="45" customFormat="false" ht="10.5" hidden="false" customHeight="true" outlineLevel="0" collapsed="false">
      <c r="C45" s="1517"/>
      <c r="D45" s="1517"/>
      <c r="E45" s="1517"/>
      <c r="F45" s="1517"/>
      <c r="G45" s="1517"/>
      <c r="H45" s="1517"/>
      <c r="I45" s="1517"/>
      <c r="J45" s="1517"/>
      <c r="K45" s="1517"/>
      <c r="L45" s="1517"/>
      <c r="M45" s="1517"/>
      <c r="N45" s="1517"/>
      <c r="O45" s="1466"/>
      <c r="P45" s="1466"/>
      <c r="Q45" s="1466"/>
      <c r="R45" s="1466"/>
      <c r="S45" s="1466"/>
      <c r="T45" s="1466"/>
      <c r="BK45" s="1629" t="n">
        <f aca="false">BK5-SUM(C5:N5)</f>
        <v>0</v>
      </c>
      <c r="BL45" s="1630" t="n">
        <f aca="false">BL5-SUM(O5:Z5)</f>
        <v>0</v>
      </c>
      <c r="BM45" s="1630" t="n">
        <f aca="false">BM5-SUM(AA5:AL5)</f>
        <v>0</v>
      </c>
      <c r="BN45" s="1630" t="n">
        <f aca="false">BN5-SUM(AM5:AX5)</f>
        <v>0</v>
      </c>
      <c r="BO45" s="1630" t="n">
        <f aca="false">BO5-SUM(AY5:BJ5)</f>
        <v>0</v>
      </c>
      <c r="BP45" s="1631" t="s">
        <v>2080</v>
      </c>
      <c r="BQ45" s="1600"/>
    </row>
    <row r="46" customFormat="false" ht="12" hidden="false" customHeight="true" outlineLevel="0" collapsed="false"/>
    <row r="47" customFormat="false" ht="12" hidden="false" customHeight="true" outlineLevel="0" collapsed="false"/>
    <row r="48" customFormat="false" ht="12" hidden="false" customHeight="true" outlineLevel="0" collapsed="false"/>
    <row r="49" customFormat="false" ht="12" hidden="false" customHeight="true" outlineLevel="0" collapsed="false"/>
    <row r="50" customFormat="false" ht="12" hidden="false" customHeight="true" outlineLevel="0" collapsed="false"/>
    <row r="51" customFormat="false" ht="12" hidden="false" customHeight="true" outlineLevel="0" collapsed="false"/>
    <row r="52" customFormat="false" ht="12" hidden="false" customHeight="true" outlineLevel="0" collapsed="false"/>
    <row r="53" customFormat="false" ht="12" hidden="false" customHeight="true" outlineLevel="0" collapsed="false"/>
    <row r="54" customFormat="false" ht="12" hidden="false" customHeight="true" outlineLevel="0" collapsed="false"/>
    <row r="55" customFormat="false" ht="12" hidden="false" customHeight="true" outlineLevel="0" collapsed="false"/>
  </sheetData>
  <mergeCells count="2">
    <mergeCell ref="F17:I17"/>
    <mergeCell ref="F31:I31"/>
  </mergeCells>
  <conditionalFormatting sqref="P45:T45">
    <cfRule type="cellIs" priority="2" operator="equal" aboveAverage="0" equalAverage="0" bottom="0" percent="0" rank="0" text="" dxfId="1">
      <formula>"OK"</formula>
    </cfRule>
    <cfRule type="cellIs" priority="3" operator="equal" aboveAverage="0" equalAverage="0" bottom="0" percent="0" rank="0" text="" dxfId="2">
      <formula>"FIX"</formula>
    </cfRule>
  </conditionalFormatting>
  <conditionalFormatting sqref="BK45:BO45">
    <cfRule type="cellIs" priority="4" operator="equal" aboveAverage="0" equalAverage="0" bottom="0" percent="0" rank="0" text="" dxfId="10">
      <formula>0</formula>
    </cfRule>
    <cfRule type="cellIs" priority="5" operator="notEqual" aboveAverage="0" equalAverage="0" bottom="0" percent="0" rank="0" text="" dxfId="11">
      <formula>0</formula>
    </cfRule>
  </conditionalFormatting>
  <printOptions headings="false" gridLines="false" gridLinesSet="true" horizontalCentered="false" verticalCentered="false"/>
  <pageMargins left="0.75" right="0.75" top="1" bottom="1" header="0.511811023622047" footer="0.511811023622047"/>
  <pageSetup paperSize="1" scale="100" fitToWidth="1" fitToHeight="0" pageOrder="downThenOver" orientation="portrait" blackAndWhite="false" draft="false" cellComments="none" horizontalDpi="300" verticalDpi="300" copies="1"/>
  <headerFooter differentFirst="false" differentOddEven="false">
    <oddHeader/>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99CCFF"/>
    <pageSetUpPr fitToPage="false"/>
  </sheetPr>
  <dimension ref="A1:IF6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EO50" activeCellId="0" sqref="EO50"/>
    </sheetView>
  </sheetViews>
  <sheetFormatPr defaultColWidth="12.82421875" defaultRowHeight="15" customHeight="true" zeroHeight="false" outlineLevelRow="0" outlineLevelCol="0"/>
  <cols>
    <col collapsed="false" customWidth="true" hidden="false" outlineLevel="0" max="1" min="1" style="1126" width="4.45"/>
    <col collapsed="false" customWidth="true" hidden="false" outlineLevel="0" max="2" min="2" style="1127" width="24.45"/>
    <col collapsed="false" customWidth="true" hidden="false" outlineLevel="0" max="3" min="3" style="1128" width="8.45"/>
    <col collapsed="false" customWidth="true" hidden="false" outlineLevel="0" max="4" min="4" style="1127" width="3.45"/>
    <col collapsed="false" customWidth="true" hidden="false" outlineLevel="0" max="5" min="5" style="1126" width="4.45"/>
    <col collapsed="false" customWidth="true" hidden="false" outlineLevel="0" max="6" min="6" style="1127" width="18"/>
    <col collapsed="false" customWidth="true" hidden="false" outlineLevel="0" max="7" min="7" style="1127" width="15.54"/>
    <col collapsed="false" customWidth="true" hidden="false" outlineLevel="0" max="8" min="8" style="1127" width="3.45"/>
    <col collapsed="false" customWidth="true" hidden="true" outlineLevel="0" max="9" min="9" style="1126" width="4.45"/>
    <col collapsed="false" customWidth="true" hidden="true" outlineLevel="0" max="10" min="10" style="1127" width="18.18"/>
    <col collapsed="false" customWidth="true" hidden="true" outlineLevel="0" max="13" min="11" style="1127" width="9.82"/>
    <col collapsed="false" customWidth="true" hidden="false" outlineLevel="0" max="15" min="14" style="1127" width="9.82"/>
    <col collapsed="false" customWidth="true" hidden="true" outlineLevel="0" max="17" min="16" style="1127" width="9.82"/>
    <col collapsed="false" customWidth="true" hidden="true" outlineLevel="0" max="18" min="18" style="1127" width="3.54"/>
    <col collapsed="false" customWidth="true" hidden="true" outlineLevel="0" max="19" min="19" style="1126" width="4.45"/>
    <col collapsed="false" customWidth="true" hidden="true" outlineLevel="0" max="20" min="20" style="1127" width="16.18"/>
    <col collapsed="false" customWidth="true" hidden="true" outlineLevel="0" max="21" min="21" style="1127" width="7.54"/>
    <col collapsed="false" customWidth="true" hidden="true" outlineLevel="0" max="29" min="22" style="1127" width="7.73"/>
    <col collapsed="false" customWidth="true" hidden="true" outlineLevel="0" max="30" min="30" style="1127" width="8.18"/>
    <col collapsed="false" customWidth="true" hidden="true" outlineLevel="0" max="31" min="31" style="1127" width="7.82"/>
    <col collapsed="false" customWidth="true" hidden="true" outlineLevel="0" max="32" min="32" style="1127" width="8.18"/>
    <col collapsed="false" customWidth="true" hidden="false" outlineLevel="0" max="33" min="33" style="1127" width="3.73"/>
    <col collapsed="false" customWidth="true" hidden="false" outlineLevel="0" max="34" min="34" style="1126" width="4.45"/>
    <col collapsed="false" customWidth="true" hidden="true" outlineLevel="0" max="35" min="35" style="1129" width="18.82"/>
    <col collapsed="false" customWidth="true" hidden="true" outlineLevel="0" max="37" min="36" style="1129" width="11.82"/>
    <col collapsed="false" customWidth="true" hidden="true" outlineLevel="0" max="40" min="38" style="1129" width="13.27"/>
    <col collapsed="false" customWidth="true" hidden="false" outlineLevel="0" max="42" min="41" style="1129" width="13.27"/>
    <col collapsed="false" customWidth="true" hidden="true" outlineLevel="0" max="44" min="43" style="1129" width="11.82"/>
    <col collapsed="false" customWidth="true" hidden="true" outlineLevel="0" max="45" min="45" style="1129" width="3"/>
    <col collapsed="false" customWidth="true" hidden="true" outlineLevel="0" max="46" min="46" style="1131" width="4.45"/>
    <col collapsed="false" customWidth="true" hidden="true" outlineLevel="0" max="47" min="47" style="1129" width="22.18"/>
    <col collapsed="false" customWidth="true" hidden="true" outlineLevel="0" max="49" min="48" style="1129" width="9.45"/>
    <col collapsed="false" customWidth="true" hidden="true" outlineLevel="0" max="50" min="50" style="1129" width="9.18"/>
    <col collapsed="false" customWidth="true" hidden="true" outlineLevel="0" max="51" min="51" style="1129" width="9.73"/>
    <col collapsed="false" customWidth="true" hidden="true" outlineLevel="0" max="53" min="52" style="1129" width="9.45"/>
    <col collapsed="false" customWidth="true" hidden="true" outlineLevel="0" max="59" min="54" style="1129" width="9.73"/>
    <col collapsed="false" customWidth="true" hidden="true" outlineLevel="0" max="60" min="60" style="1127" width="4.27"/>
    <col collapsed="false" customWidth="true" hidden="false" outlineLevel="0" max="61" min="61" style="1127" width="4.27"/>
    <col collapsed="false" customWidth="true" hidden="true" outlineLevel="0" max="62" min="62" style="1127" width="4.45"/>
    <col collapsed="false" customWidth="true" hidden="true" outlineLevel="0" max="63" min="63" style="1127" width="20.82"/>
    <col collapsed="false" customWidth="true" hidden="true" outlineLevel="0" max="66" min="64" style="1127" width="8.73"/>
    <col collapsed="false" customWidth="true" hidden="false" outlineLevel="0" max="68" min="67" style="1127" width="8.73"/>
    <col collapsed="false" customWidth="true" hidden="true" outlineLevel="0" max="70" min="69" style="1127" width="8.73"/>
    <col collapsed="false" customWidth="true" hidden="true" outlineLevel="0" max="71" min="71" style="1127" width="4.27"/>
    <col collapsed="false" customWidth="true" hidden="true" outlineLevel="0" max="72" min="72" style="1127" width="4.45"/>
    <col collapsed="false" customWidth="true" hidden="true" outlineLevel="0" max="73" min="73" style="1127" width="23.18"/>
    <col collapsed="false" customWidth="true" hidden="true" outlineLevel="0" max="74" min="74" style="1127" width="7.54"/>
    <col collapsed="false" customWidth="true" hidden="true" outlineLevel="0" max="82" min="75" style="1127" width="7.73"/>
    <col collapsed="false" customWidth="true" hidden="true" outlineLevel="0" max="83" min="83" style="1127" width="8.18"/>
    <col collapsed="false" customWidth="true" hidden="true" outlineLevel="0" max="84" min="84" style="1127" width="7.82"/>
    <col collapsed="false" customWidth="true" hidden="true" outlineLevel="0" max="85" min="85" style="1127" width="8.18"/>
    <col collapsed="false" customWidth="true" hidden="false" outlineLevel="0" max="87" min="86" style="1127" width="4.27"/>
    <col collapsed="false" customWidth="true" hidden="false" outlineLevel="0" max="88" min="88" style="1126" width="4.45"/>
    <col collapsed="false" customWidth="true" hidden="false" outlineLevel="0" max="89" min="89" style="1127" width="23.73"/>
    <col collapsed="false" customWidth="true" hidden="true" outlineLevel="0" max="90" min="90" style="1127" width="13.54"/>
    <col collapsed="false" customWidth="true" hidden="true" outlineLevel="0" max="91" min="91" style="1127" width="11.82"/>
    <col collapsed="false" customWidth="true" hidden="false" outlineLevel="0" max="96" min="92" style="1127" width="15"/>
    <col collapsed="false" customWidth="true" hidden="false" outlineLevel="0" max="98" min="97" style="1127" width="12.45"/>
    <col collapsed="false" customWidth="true" hidden="false" outlineLevel="0" max="99" min="99" style="1127" width="3.27"/>
    <col collapsed="false" customWidth="true" hidden="false" outlineLevel="0" max="100" min="100" style="1126" width="4.45"/>
    <col collapsed="false" customWidth="true" hidden="false" outlineLevel="0" max="101" min="101" style="1127" width="19.54"/>
    <col collapsed="false" customWidth="true" hidden="false" outlineLevel="0" max="102" min="102" style="1127" width="9.27"/>
    <col collapsed="false" customWidth="true" hidden="false" outlineLevel="0" max="103" min="103" style="1127" width="9.54"/>
    <col collapsed="false" customWidth="true" hidden="false" outlineLevel="0" max="104" min="104" style="1127" width="9.27"/>
    <col collapsed="false" customWidth="true" hidden="false" outlineLevel="0" max="105" min="105" style="1127" width="9.54"/>
    <col collapsed="false" customWidth="true" hidden="false" outlineLevel="0" max="107" min="106" style="1127" width="9.27"/>
    <col collapsed="false" customWidth="true" hidden="false" outlineLevel="0" max="110" min="108" style="1127" width="9.54"/>
    <col collapsed="false" customWidth="true" hidden="false" outlineLevel="0" max="113" min="111" style="1127" width="9.27"/>
    <col collapsed="false" customWidth="true" hidden="false" outlineLevel="0" max="115" min="114" style="1127" width="4.45"/>
    <col collapsed="false" customWidth="true" hidden="false" outlineLevel="0" max="116" min="116" style="1127" width="27.18"/>
    <col collapsed="false" customWidth="true" hidden="false" outlineLevel="0" max="121" min="117" style="1127" width="15"/>
    <col collapsed="false" customWidth="true" hidden="false" outlineLevel="0" max="123" min="122" style="1127" width="11"/>
    <col collapsed="false" customWidth="true" hidden="false" outlineLevel="0" max="124" min="124" style="1127" width="2.27"/>
    <col collapsed="false" customWidth="true" hidden="false" outlineLevel="0" max="125" min="125" style="1126" width="4.45"/>
    <col collapsed="false" customWidth="true" hidden="false" outlineLevel="0" max="126" min="126" style="1127" width="24.27"/>
    <col collapsed="false" customWidth="true" hidden="false" outlineLevel="0" max="127" min="127" style="1127" width="10.54"/>
    <col collapsed="false" customWidth="true" hidden="false" outlineLevel="0" max="128" min="128" style="1127" width="10.27"/>
    <col collapsed="false" customWidth="true" hidden="false" outlineLevel="0" max="131" min="129" style="1127" width="10.54"/>
    <col collapsed="false" customWidth="true" hidden="false" outlineLevel="0" max="132" min="132" style="1127" width="10.82"/>
    <col collapsed="false" customWidth="true" hidden="false" outlineLevel="0" max="136" min="133" style="1127" width="10.54"/>
    <col collapsed="false" customWidth="true" hidden="false" outlineLevel="0" max="137" min="137" style="1127" width="10.27"/>
    <col collapsed="false" customWidth="true" hidden="false" outlineLevel="0" max="138" min="138" style="1127" width="12.27"/>
    <col collapsed="false" customWidth="true" hidden="false" outlineLevel="0" max="139" min="139" style="1127" width="10.27"/>
    <col collapsed="false" customWidth="true" hidden="false" outlineLevel="0" max="140" min="140" style="1126" width="4.45"/>
    <col collapsed="false" customWidth="true" hidden="false" outlineLevel="0" max="141" min="141" style="1127" width="22.45"/>
    <col collapsed="false" customWidth="true" hidden="false" outlineLevel="0" max="146" min="142" style="1135" width="15"/>
    <col collapsed="false" customWidth="true" hidden="false" outlineLevel="0" max="148" min="147" style="1135" width="11"/>
    <col collapsed="false" customWidth="true" hidden="false" outlineLevel="0" max="149" min="149" style="1127" width="2"/>
    <col collapsed="false" customWidth="true" hidden="false" outlineLevel="0" max="150" min="150" style="1126" width="4.45"/>
    <col collapsed="false" customWidth="true" hidden="false" outlineLevel="0" max="151" min="151" style="1536" width="18.45"/>
    <col collapsed="false" customWidth="true" hidden="false" outlineLevel="0" max="152" min="152" style="1133" width="9.54"/>
    <col collapsed="false" customWidth="true" hidden="false" outlineLevel="0" max="154" min="153" style="1133" width="9.27"/>
    <col collapsed="false" customWidth="true" hidden="false" outlineLevel="0" max="159" min="155" style="1133" width="9.54"/>
    <col collapsed="false" customWidth="true" hidden="false" outlineLevel="0" max="163" min="160" style="1129" width="9.54"/>
    <col collapsed="false" customWidth="true" hidden="false" outlineLevel="0" max="164" min="164" style="1135" width="9.27"/>
    <col collapsed="false" customWidth="true" hidden="false" outlineLevel="0" max="165" min="165" style="1136" width="4.45"/>
    <col collapsed="false" customWidth="true" hidden="false" outlineLevel="0" max="166" min="166" style="1632" width="26.18"/>
    <col collapsed="false" customWidth="true" hidden="true" outlineLevel="0" max="168" min="167" style="1632" width="26.18"/>
    <col collapsed="false" customWidth="true" hidden="true" outlineLevel="0" max="169" min="169" style="1632" width="13"/>
    <col collapsed="false" customWidth="true" hidden="true" outlineLevel="0" max="170" min="170" style="1632" width="14.54"/>
    <col collapsed="false" customWidth="true" hidden="false" outlineLevel="0" max="175" min="171" style="1127" width="15"/>
    <col collapsed="false" customWidth="true" hidden="false" outlineLevel="0" max="176" min="176" style="1127" width="2.73"/>
    <col collapsed="false" customWidth="true" hidden="false" outlineLevel="0" max="177" min="177" style="1127" width="4.45"/>
    <col collapsed="false" customWidth="true" hidden="false" outlineLevel="0" max="178" min="178" style="1127" width="17.18"/>
    <col collapsed="false" customWidth="false" hidden="false" outlineLevel="0" max="182" min="179" style="1127" width="12.82"/>
    <col collapsed="false" customWidth="true" hidden="false" outlineLevel="0" max="183" min="183" style="1126" width="4.45"/>
    <col collapsed="false" customWidth="true" hidden="false" outlineLevel="0" max="184" min="184" style="1127" width="24.27"/>
    <col collapsed="false" customWidth="true" hidden="true" outlineLevel="0" max="186" min="185" style="1127" width="13"/>
    <col collapsed="false" customWidth="true" hidden="false" outlineLevel="0" max="187" min="187" style="1127" width="14.27"/>
    <col collapsed="false" customWidth="true" hidden="false" outlineLevel="0" max="188" min="188" style="1127" width="7.82"/>
    <col collapsed="false" customWidth="true" hidden="false" outlineLevel="0" max="189" min="189" style="1126" width="4.45"/>
    <col collapsed="false" customWidth="true" hidden="false" outlineLevel="0" max="190" min="190" style="1127" width="21.18"/>
    <col collapsed="false" customWidth="false" hidden="false" outlineLevel="0" max="203" min="191" style="1127" width="12.82"/>
    <col collapsed="false" customWidth="true" hidden="true" outlineLevel="0" max="204" min="204" style="1127" width="4.45"/>
    <col collapsed="false" customWidth="true" hidden="true" outlineLevel="0" max="205" min="205" style="1127" width="23.18"/>
    <col collapsed="false" customWidth="true" hidden="true" outlineLevel="0" max="206" min="206" style="1127" width="11.54"/>
    <col collapsed="false" customWidth="true" hidden="true" outlineLevel="0" max="208" min="207" style="1127" width="11.27"/>
    <col collapsed="false" customWidth="true" hidden="false" outlineLevel="0" max="210" min="209" style="1127" width="11.27"/>
    <col collapsed="false" customWidth="true" hidden="true" outlineLevel="0" max="211" min="211" style="1127" width="11.27"/>
    <col collapsed="false" customWidth="true" hidden="true" outlineLevel="0" max="212" min="212" style="1127" width="11.54"/>
    <col collapsed="false" customWidth="true" hidden="true" outlineLevel="0" max="213" min="213" style="1127" width="4.73"/>
    <col collapsed="false" customWidth="true" hidden="true" outlineLevel="0" max="214" min="214" style="1127" width="4.82"/>
    <col collapsed="false" customWidth="true" hidden="true" outlineLevel="0" max="215" min="215" style="1127" width="9.45"/>
    <col collapsed="false" customWidth="true" hidden="true" outlineLevel="0" max="216" min="216" style="1127" width="15.73"/>
    <col collapsed="false" customWidth="true" hidden="true" outlineLevel="0" max="219" min="217" style="1127" width="14.18"/>
    <col collapsed="false" customWidth="true" hidden="false" outlineLevel="0" max="221" min="220" style="1127" width="14.18"/>
    <col collapsed="false" customWidth="true" hidden="true" outlineLevel="0" max="223" min="222" style="1127" width="14.18"/>
    <col collapsed="false" customWidth="false" hidden="true" outlineLevel="0" max="225" min="224" style="1127" width="12.82"/>
    <col collapsed="false" customWidth="true" hidden="true" outlineLevel="0" max="227" min="226" style="1127" width="5.73"/>
    <col collapsed="false" customWidth="true" hidden="true" outlineLevel="0" max="228" min="228" style="1127" width="16.54"/>
    <col collapsed="false" customWidth="true" hidden="true" outlineLevel="0" max="229" min="229" style="1127" width="7.45"/>
    <col collapsed="false" customWidth="true" hidden="true" outlineLevel="0" max="237" min="230" style="1127" width="7.73"/>
    <col collapsed="false" customWidth="true" hidden="true" outlineLevel="0" max="238" min="238" style="1127" width="8.18"/>
    <col collapsed="false" customWidth="true" hidden="true" outlineLevel="0" max="239" min="239" style="1127" width="7.82"/>
    <col collapsed="false" customWidth="true" hidden="true" outlineLevel="0" max="240" min="240" style="1127" width="8.18"/>
    <col collapsed="false" customWidth="true" hidden="true" outlineLevel="0" max="249" min="241" style="1127" width="11.54"/>
    <col collapsed="false" customWidth="false" hidden="false" outlineLevel="0" max="16384" min="250" style="1127" width="12.82"/>
  </cols>
  <sheetData>
    <row r="1" s="1182" customFormat="true" ht="17.25" hidden="false" customHeight="true" outlineLevel="0" collapsed="false">
      <c r="A1" s="1633" t="s">
        <v>1890</v>
      </c>
      <c r="B1" s="1140" t="str">
        <f aca="false">'Sources &amp; Uses'!A3</f>
        <v>SOURCES OF FUNDS</v>
      </c>
      <c r="C1" s="1140"/>
      <c r="D1" s="1141"/>
      <c r="E1" s="1633" t="s">
        <v>1890</v>
      </c>
      <c r="F1" s="1140" t="str">
        <f aca="false">B1</f>
        <v>SOURCES OF FUNDS</v>
      </c>
      <c r="G1" s="1140"/>
      <c r="H1" s="1141"/>
      <c r="I1" s="1157" t="s">
        <v>1891</v>
      </c>
      <c r="J1" s="1634"/>
      <c r="K1" s="1176" t="str">
        <f aca="false">'P&amp;L'!BJ27</f>
        <v>Year 1</v>
      </c>
      <c r="L1" s="1176" t="str">
        <f aca="false">'P&amp;L'!BK27</f>
        <v>Year 2</v>
      </c>
      <c r="M1" s="1177" t="str">
        <f aca="false">'P&amp;L'!BL27</f>
        <v>Year 3</v>
      </c>
      <c r="N1" s="1177" t="s">
        <v>1674</v>
      </c>
      <c r="O1" s="1177" t="s">
        <v>1675</v>
      </c>
      <c r="P1" s="1150"/>
      <c r="Q1" s="1150"/>
      <c r="R1" s="1145"/>
      <c r="S1" s="1157" t="s">
        <v>2081</v>
      </c>
      <c r="T1" s="1151"/>
      <c r="U1" s="1179" t="str">
        <f aca="false">Revenue!B56</f>
        <v>Month 1</v>
      </c>
      <c r="V1" s="1179" t="str">
        <f aca="false">Revenue!C56</f>
        <v>Month 2</v>
      </c>
      <c r="W1" s="1179" t="str">
        <f aca="false">Revenue!D56</f>
        <v>Month 3</v>
      </c>
      <c r="X1" s="1179" t="str">
        <f aca="false">Revenue!E56</f>
        <v>Month 4</v>
      </c>
      <c r="Y1" s="1179" t="str">
        <f aca="false">Revenue!F56</f>
        <v>Month 5</v>
      </c>
      <c r="Z1" s="1179" t="str">
        <f aca="false">Revenue!G56</f>
        <v>Month 6</v>
      </c>
      <c r="AA1" s="1179" t="str">
        <f aca="false">Revenue!H56</f>
        <v>Month 7</v>
      </c>
      <c r="AB1" s="1179" t="str">
        <f aca="false">Revenue!I56</f>
        <v>Month 8</v>
      </c>
      <c r="AC1" s="1179" t="str">
        <f aca="false">Revenue!J56</f>
        <v>Month 9</v>
      </c>
      <c r="AD1" s="1179" t="str">
        <f aca="false">Revenue!K56</f>
        <v>Month 10</v>
      </c>
      <c r="AE1" s="1179" t="str">
        <f aca="false">Revenue!L56</f>
        <v>Month 11</v>
      </c>
      <c r="AF1" s="1180" t="str">
        <f aca="false">Revenue!M56</f>
        <v>Month 12</v>
      </c>
      <c r="AG1" s="1141"/>
      <c r="AH1" s="1163" t="str">
        <f aca="false">IF('P&amp;L'!E14="y","FUNDING FORECAST","REVENUE FORECAST")</f>
        <v>REVENUE FORECAST</v>
      </c>
      <c r="AI1" s="1171"/>
      <c r="AJ1" s="1635" t="s">
        <v>2082</v>
      </c>
      <c r="AK1" s="1635" t="s">
        <v>2083</v>
      </c>
      <c r="AL1" s="1636" t="s">
        <v>1488</v>
      </c>
      <c r="AM1" s="1636" t="s">
        <v>1672</v>
      </c>
      <c r="AN1" s="1637" t="s">
        <v>1673</v>
      </c>
      <c r="AO1" s="1637" t="s">
        <v>1674</v>
      </c>
      <c r="AP1" s="1637" t="s">
        <v>1675</v>
      </c>
      <c r="AQ1" s="1150"/>
      <c r="AR1" s="1150"/>
      <c r="AS1" s="1150"/>
      <c r="AT1" s="1163" t="str">
        <f aca="false">IF('P&amp;L'!E14="y","FUNDING FORECAST","REVENUE FORECAST")</f>
        <v>REVENUE FORECAST</v>
      </c>
      <c r="AU1" s="1151"/>
      <c r="AV1" s="1638" t="str">
        <f aca="false">U1</f>
        <v>Month 1</v>
      </c>
      <c r="AW1" s="1638" t="str">
        <f aca="false">V1</f>
        <v>Month 2</v>
      </c>
      <c r="AX1" s="1638" t="str">
        <f aca="false">W1</f>
        <v>Month 3</v>
      </c>
      <c r="AY1" s="1638" t="str">
        <f aca="false">X1</f>
        <v>Month 4</v>
      </c>
      <c r="AZ1" s="1638" t="str">
        <f aca="false">Y1</f>
        <v>Month 5</v>
      </c>
      <c r="BA1" s="1638" t="str">
        <f aca="false">Z1</f>
        <v>Month 6</v>
      </c>
      <c r="BB1" s="1638" t="str">
        <f aca="false">AA1</f>
        <v>Month 7</v>
      </c>
      <c r="BC1" s="1638" t="str">
        <f aca="false">AB1</f>
        <v>Month 8</v>
      </c>
      <c r="BD1" s="1638" t="str">
        <f aca="false">AC1</f>
        <v>Month 9</v>
      </c>
      <c r="BE1" s="1638" t="str">
        <f aca="false">AD1</f>
        <v>Month 10</v>
      </c>
      <c r="BF1" s="1638" t="str">
        <f aca="false">AE1</f>
        <v>Month 11</v>
      </c>
      <c r="BG1" s="1639" t="str">
        <f aca="false">AF1</f>
        <v>Month 12</v>
      </c>
      <c r="BH1" s="1150"/>
      <c r="BI1" s="1150"/>
      <c r="BJ1" s="1640" t="s">
        <v>2084</v>
      </c>
      <c r="BK1" s="1171"/>
      <c r="BL1" s="1176" t="str">
        <f aca="false">'P&amp;L'!BJ27</f>
        <v>Year 1</v>
      </c>
      <c r="BM1" s="1176" t="str">
        <f aca="false">'P&amp;L'!BK27</f>
        <v>Year 2</v>
      </c>
      <c r="BN1" s="1177" t="str">
        <f aca="false">'P&amp;L'!BL27</f>
        <v>Year 3</v>
      </c>
      <c r="BO1" s="1177" t="s">
        <v>1674</v>
      </c>
      <c r="BP1" s="1177" t="s">
        <v>1675</v>
      </c>
      <c r="BQ1" s="1150"/>
      <c r="BR1" s="1150"/>
      <c r="BS1" s="1150"/>
      <c r="BT1" s="1640" t="s">
        <v>2084</v>
      </c>
      <c r="BU1" s="1151"/>
      <c r="BV1" s="1179" t="str">
        <f aca="false">Revenue!B56</f>
        <v>Month 1</v>
      </c>
      <c r="BW1" s="1179" t="str">
        <f aca="false">Revenue!C56</f>
        <v>Month 2</v>
      </c>
      <c r="BX1" s="1179" t="str">
        <f aca="false">Revenue!D56</f>
        <v>Month 3</v>
      </c>
      <c r="BY1" s="1179" t="str">
        <f aca="false">Revenue!E56</f>
        <v>Month 4</v>
      </c>
      <c r="BZ1" s="1179" t="str">
        <f aca="false">Revenue!F56</f>
        <v>Month 5</v>
      </c>
      <c r="CA1" s="1179" t="str">
        <f aca="false">Revenue!G56</f>
        <v>Month 6</v>
      </c>
      <c r="CB1" s="1179" t="str">
        <f aca="false">Revenue!H56</f>
        <v>Month 7</v>
      </c>
      <c r="CC1" s="1179" t="str">
        <f aca="false">Revenue!I56</f>
        <v>Month 8</v>
      </c>
      <c r="CD1" s="1179" t="str">
        <f aca="false">Revenue!J56</f>
        <v>Month 9</v>
      </c>
      <c r="CE1" s="1179" t="str">
        <f aca="false">Revenue!K56</f>
        <v>Month 10</v>
      </c>
      <c r="CF1" s="1179" t="str">
        <f aca="false">Revenue!L56</f>
        <v>Month 11</v>
      </c>
      <c r="CG1" s="1180" t="str">
        <f aca="false">Revenue!M56</f>
        <v>Month 12</v>
      </c>
      <c r="CH1" s="1150"/>
      <c r="CI1" s="1150"/>
      <c r="CJ1" s="1641" t="str">
        <f aca="false">IF('P&amp;L'!E14="y","PRO FORMA SURPLUS &amp; DEFICIT","PRO FORMA PROFIT &amp; LOSS")</f>
        <v>PRO FORMA PROFIT &amp; LOSS</v>
      </c>
      <c r="CK1" s="1642"/>
      <c r="CL1" s="1643" t="str">
        <f aca="false">AJ1</f>
        <v>Year 1 Known</v>
      </c>
      <c r="CM1" s="1643" t="s">
        <v>2083</v>
      </c>
      <c r="CN1" s="1644" t="s">
        <v>1488</v>
      </c>
      <c r="CO1" s="1644" t="s">
        <v>1672</v>
      </c>
      <c r="CP1" s="1644" t="s">
        <v>1673</v>
      </c>
      <c r="CQ1" s="1177" t="s">
        <v>1674</v>
      </c>
      <c r="CR1" s="1177" t="s">
        <v>1675</v>
      </c>
      <c r="CS1" s="1150"/>
      <c r="CT1" s="1150"/>
      <c r="CU1" s="1141"/>
      <c r="CV1" s="1157" t="str">
        <f aca="false">IF('P&amp;L'!E14="y","PRO FORMA SURPLUS &amp; DEFICIT","PRO FORMA PROFIT &amp; LOSS")</f>
        <v>PRO FORMA PROFIT &amp; LOSS</v>
      </c>
      <c r="CW1" s="1151"/>
      <c r="CX1" s="1179" t="str">
        <f aca="false">'P&amp;L'!B27</f>
        <v>Month 1</v>
      </c>
      <c r="CY1" s="1179" t="str">
        <f aca="false">'P&amp;L'!C27</f>
        <v>Month 2</v>
      </c>
      <c r="CZ1" s="1179" t="str">
        <f aca="false">'P&amp;L'!D27</f>
        <v>Month 3</v>
      </c>
      <c r="DA1" s="1179" t="str">
        <f aca="false">'P&amp;L'!E27</f>
        <v>Month 4</v>
      </c>
      <c r="DB1" s="1179" t="str">
        <f aca="false">'P&amp;L'!F27</f>
        <v>Month 5</v>
      </c>
      <c r="DC1" s="1179" t="str">
        <f aca="false">'P&amp;L'!G27</f>
        <v>Month 6</v>
      </c>
      <c r="DD1" s="1179" t="str">
        <f aca="false">'P&amp;L'!H27</f>
        <v>Month 7</v>
      </c>
      <c r="DE1" s="1179" t="str">
        <f aca="false">'P&amp;L'!I27</f>
        <v>Month 8</v>
      </c>
      <c r="DF1" s="1179" t="str">
        <f aca="false">'P&amp;L'!J27</f>
        <v>Month 9</v>
      </c>
      <c r="DG1" s="1179" t="str">
        <f aca="false">'P&amp;L'!K27</f>
        <v>Month 10</v>
      </c>
      <c r="DH1" s="1179" t="str">
        <f aca="false">'P&amp;L'!L27</f>
        <v>Month 11</v>
      </c>
      <c r="DI1" s="1180" t="str">
        <f aca="false">'P&amp;L'!M27</f>
        <v>Month 12</v>
      </c>
      <c r="DJ1" s="1141"/>
      <c r="DK1" s="1163" t="s">
        <v>1895</v>
      </c>
      <c r="DL1" s="1642"/>
      <c r="DM1" s="1644" t="str">
        <f aca="false">CN1</f>
        <v>Year 1</v>
      </c>
      <c r="DN1" s="1644" t="str">
        <f aca="false">CO1</f>
        <v>Year 2</v>
      </c>
      <c r="DO1" s="1644" t="str">
        <f aca="false">CP1</f>
        <v>Year 3</v>
      </c>
      <c r="DP1" s="1177" t="s">
        <v>1674</v>
      </c>
      <c r="DQ1" s="1177" t="s">
        <v>1675</v>
      </c>
      <c r="DR1" s="1150"/>
      <c r="DS1" s="1150"/>
      <c r="DT1" s="1161"/>
      <c r="DU1" s="1157" t="s">
        <v>2085</v>
      </c>
      <c r="DV1" s="1151"/>
      <c r="DW1" s="1638" t="str">
        <f aca="false">CX1</f>
        <v>Month 1</v>
      </c>
      <c r="DX1" s="1638" t="str">
        <f aca="false">CY1</f>
        <v>Month 2</v>
      </c>
      <c r="DY1" s="1638" t="str">
        <f aca="false">CZ1</f>
        <v>Month 3</v>
      </c>
      <c r="DZ1" s="1638" t="str">
        <f aca="false">DA1</f>
        <v>Month 4</v>
      </c>
      <c r="EA1" s="1638" t="str">
        <f aca="false">DB1</f>
        <v>Month 5</v>
      </c>
      <c r="EB1" s="1638" t="str">
        <f aca="false">DC1</f>
        <v>Month 6</v>
      </c>
      <c r="EC1" s="1638" t="str">
        <f aca="false">DD1</f>
        <v>Month 7</v>
      </c>
      <c r="ED1" s="1638" t="str">
        <f aca="false">DE1</f>
        <v>Month 8</v>
      </c>
      <c r="EE1" s="1638" t="str">
        <f aca="false">DF1</f>
        <v>Month 9</v>
      </c>
      <c r="EF1" s="1638" t="str">
        <f aca="false">DG1</f>
        <v>Month 10</v>
      </c>
      <c r="EG1" s="1638" t="str">
        <f aca="false">DH1</f>
        <v>Month 11</v>
      </c>
      <c r="EH1" s="1180" t="str">
        <f aca="false">DI1</f>
        <v>Month 12</v>
      </c>
      <c r="EI1" s="1161"/>
      <c r="EJ1" s="1157" t="s">
        <v>1896</v>
      </c>
      <c r="EK1" s="1171"/>
      <c r="EL1" s="1176" t="str">
        <f aca="false">DM1</f>
        <v>Year 1</v>
      </c>
      <c r="EM1" s="1176" t="str">
        <f aca="false">DN1</f>
        <v>Year 2</v>
      </c>
      <c r="EN1" s="1177" t="str">
        <f aca="false">DO1</f>
        <v>Year 3</v>
      </c>
      <c r="EO1" s="1177" t="s">
        <v>1674</v>
      </c>
      <c r="EP1" s="1177" t="s">
        <v>1675</v>
      </c>
      <c r="EQ1" s="1150"/>
      <c r="ER1" s="1150"/>
      <c r="ES1" s="1141"/>
      <c r="ET1" s="1157" t="s">
        <v>1896</v>
      </c>
      <c r="EU1" s="1151"/>
      <c r="EV1" s="1638" t="str">
        <f aca="false">DW1</f>
        <v>Month 1</v>
      </c>
      <c r="EW1" s="1638" t="str">
        <f aca="false">DX1</f>
        <v>Month 2</v>
      </c>
      <c r="EX1" s="1638" t="str">
        <f aca="false">DY1</f>
        <v>Month 3</v>
      </c>
      <c r="EY1" s="1638" t="str">
        <f aca="false">DZ1</f>
        <v>Month 4</v>
      </c>
      <c r="EZ1" s="1638" t="str">
        <f aca="false">EA1</f>
        <v>Month 5</v>
      </c>
      <c r="FA1" s="1638" t="str">
        <f aca="false">EB1</f>
        <v>Month 6</v>
      </c>
      <c r="FB1" s="1638" t="str">
        <f aca="false">EC1</f>
        <v>Month 7</v>
      </c>
      <c r="FC1" s="1638" t="str">
        <f aca="false">ED1</f>
        <v>Month 8</v>
      </c>
      <c r="FD1" s="1638" t="str">
        <f aca="false">EE1</f>
        <v>Month 9</v>
      </c>
      <c r="FE1" s="1638" t="str">
        <f aca="false">EF1</f>
        <v>Month 10</v>
      </c>
      <c r="FF1" s="1638" t="str">
        <f aca="false">EG1</f>
        <v>Month 11</v>
      </c>
      <c r="FG1" s="1639" t="str">
        <f aca="false">EH1</f>
        <v>Month 12</v>
      </c>
      <c r="FH1" s="1141"/>
      <c r="FI1" s="1163" t="s">
        <v>1897</v>
      </c>
      <c r="FJ1" s="1645"/>
      <c r="FK1" s="1645"/>
      <c r="FL1" s="1645"/>
      <c r="FM1" s="1643" t="str">
        <f aca="false">CL1</f>
        <v>Year 1 Known</v>
      </c>
      <c r="FN1" s="1643" t="str">
        <f aca="false">CM1</f>
        <v>Potential</v>
      </c>
      <c r="FO1" s="1176" t="str">
        <f aca="false">DM1</f>
        <v>Year 1</v>
      </c>
      <c r="FP1" s="1176" t="str">
        <f aca="false">DN1</f>
        <v>Year 2</v>
      </c>
      <c r="FQ1" s="1177" t="str">
        <f aca="false">DO1</f>
        <v>Year 3</v>
      </c>
      <c r="FR1" s="1177" t="s">
        <v>1674</v>
      </c>
      <c r="FS1" s="1177" t="s">
        <v>1675</v>
      </c>
      <c r="FT1" s="1141"/>
      <c r="FU1" s="1646" t="s">
        <v>1898</v>
      </c>
      <c r="FV1" s="1647" t="s">
        <v>2086</v>
      </c>
      <c r="FW1" s="1647"/>
      <c r="FX1" s="1647"/>
      <c r="FY1" s="1647"/>
      <c r="FZ1" s="1648"/>
      <c r="GA1" s="1163" t="s">
        <v>1899</v>
      </c>
      <c r="GB1" s="1649" t="s">
        <v>2087</v>
      </c>
      <c r="GC1" s="1169" t="n">
        <f aca="false">Existing!B1</f>
        <v>2028</v>
      </c>
      <c r="GD1" s="1169" t="n">
        <f aca="false">Existing!C1</f>
        <v>2027</v>
      </c>
      <c r="GE1" s="1170" t="n">
        <f aca="false">Existing!D1</f>
        <v>2026</v>
      </c>
      <c r="GF1" s="1150"/>
      <c r="GG1" s="1163" t="s">
        <v>1900</v>
      </c>
      <c r="GH1" s="1171"/>
      <c r="GI1" s="1172" t="str">
        <f aca="false">'Tables 5Y'!EU1</f>
        <v>Year 1</v>
      </c>
      <c r="GJ1" s="1172" t="str">
        <f aca="false">'Tables 5Y'!EV1</f>
        <v>Year 2</v>
      </c>
      <c r="GK1" s="1172" t="str">
        <f aca="false">'Tables 5Y'!EW1</f>
        <v>Year 3</v>
      </c>
      <c r="GL1" s="1172" t="s">
        <v>1674</v>
      </c>
      <c r="GM1" s="1172" t="s">
        <v>1675</v>
      </c>
      <c r="GN1" s="1650"/>
      <c r="GO1" s="1650"/>
      <c r="GP1" s="1141"/>
      <c r="GQ1" s="1141"/>
      <c r="GR1" s="1141"/>
      <c r="GS1" s="1141"/>
      <c r="GT1" s="1141"/>
      <c r="GU1" s="1141"/>
      <c r="GV1" s="1163" t="s">
        <v>1902</v>
      </c>
      <c r="GW1" s="1634"/>
      <c r="GX1" s="1176"/>
      <c r="GY1" s="1176"/>
      <c r="GZ1" s="1177"/>
      <c r="HA1" s="1177"/>
      <c r="HB1" s="1177"/>
      <c r="HC1" s="1150"/>
      <c r="HD1" s="1150"/>
      <c r="HE1" s="1143"/>
      <c r="HF1" s="1143"/>
      <c r="HG1" s="1651"/>
      <c r="HH1" s="1634"/>
      <c r="HI1" s="1176"/>
      <c r="HJ1" s="1176"/>
      <c r="HK1" s="1177"/>
      <c r="HL1" s="1177"/>
      <c r="HM1" s="1177"/>
      <c r="HN1" s="1167"/>
      <c r="HO1" s="1167"/>
      <c r="HP1" s="1141"/>
      <c r="HQ1" s="1141"/>
      <c r="HR1" s="1141"/>
      <c r="HS1" s="1163"/>
      <c r="HT1" s="1151"/>
      <c r="HU1" s="1179"/>
      <c r="HV1" s="1179"/>
      <c r="HW1" s="1179"/>
      <c r="HX1" s="1179"/>
      <c r="HY1" s="1179"/>
      <c r="HZ1" s="1179"/>
      <c r="IA1" s="1179"/>
      <c r="IB1" s="1179"/>
      <c r="IC1" s="1179"/>
      <c r="ID1" s="1179"/>
      <c r="IE1" s="1179"/>
      <c r="IF1" s="1180"/>
    </row>
    <row r="2" customFormat="false" ht="12.75" hidden="false" customHeight="true" outlineLevel="0" collapsed="false">
      <c r="A2" s="1633"/>
      <c r="B2" s="1183" t="str">
        <f aca="false">'Sources &amp; Uses'!A4</f>
        <v>Owner Cash Investment OPX $4M/Credit line $4M</v>
      </c>
      <c r="C2" s="1184" t="n">
        <f aca="false">'Sources &amp; Uses'!B4</f>
        <v>10000000</v>
      </c>
      <c r="D2" s="1167"/>
      <c r="E2" s="1633"/>
      <c r="F2" s="1183" t="str">
        <f aca="false">'Sources &amp; Uses'!E4</f>
        <v>Loan</v>
      </c>
      <c r="G2" s="1184" t="n">
        <f aca="false">'Sources &amp; Uses'!F4</f>
        <v>0</v>
      </c>
      <c r="H2" s="1167"/>
      <c r="I2" s="1157"/>
      <c r="J2" s="1652" t="str">
        <f aca="false">T2</f>
        <v>Personnel Count</v>
      </c>
      <c r="K2" s="1219"/>
      <c r="L2" s="1219"/>
      <c r="M2" s="1220"/>
      <c r="N2" s="1220"/>
      <c r="O2" s="1220"/>
      <c r="P2" s="1189"/>
      <c r="Q2" s="1189"/>
      <c r="R2" s="1189"/>
      <c r="S2" s="1157"/>
      <c r="T2" s="1653" t="str">
        <f aca="false">Personnel!A2</f>
        <v>Personnel Count</v>
      </c>
      <c r="U2" s="1196"/>
      <c r="V2" s="1196"/>
      <c r="W2" s="1196"/>
      <c r="X2" s="1196"/>
      <c r="Y2" s="1196"/>
      <c r="Z2" s="1196"/>
      <c r="AA2" s="1196"/>
      <c r="AB2" s="1196"/>
      <c r="AC2" s="1196"/>
      <c r="AD2" s="1196"/>
      <c r="AE2" s="1196"/>
      <c r="AF2" s="1197"/>
      <c r="AG2" s="1167"/>
      <c r="AH2" s="1163"/>
      <c r="AI2" s="1652"/>
      <c r="AJ2" s="1654"/>
      <c r="AK2" s="1654"/>
      <c r="AL2" s="1219"/>
      <c r="AM2" s="1219"/>
      <c r="AN2" s="1220"/>
      <c r="AO2" s="1220"/>
      <c r="AP2" s="1220"/>
      <c r="AQ2" s="1189"/>
      <c r="AR2" s="1189"/>
      <c r="AS2" s="1189"/>
      <c r="AT2" s="1163"/>
      <c r="AU2" s="1653"/>
      <c r="AV2" s="1655"/>
      <c r="AW2" s="1655"/>
      <c r="AX2" s="1655"/>
      <c r="AY2" s="1655"/>
      <c r="AZ2" s="1655"/>
      <c r="BA2" s="1655"/>
      <c r="BB2" s="1655"/>
      <c r="BC2" s="1655"/>
      <c r="BD2" s="1655"/>
      <c r="BE2" s="1655"/>
      <c r="BF2" s="1655"/>
      <c r="BG2" s="1656"/>
      <c r="BH2" s="1189"/>
      <c r="BI2" s="1189"/>
      <c r="BJ2" s="1189"/>
      <c r="BK2" s="1652" t="str">
        <f aca="false">Revenue!A56</f>
        <v>Average DI Throughput</v>
      </c>
      <c r="BL2" s="1219"/>
      <c r="BM2" s="1189"/>
      <c r="BN2" s="1281"/>
      <c r="BO2" s="1281"/>
      <c r="BP2" s="1281"/>
      <c r="BQ2" s="1189"/>
      <c r="BR2" s="1189"/>
      <c r="BS2" s="1198"/>
      <c r="BT2" s="1189"/>
      <c r="BU2" s="1653" t="str">
        <f aca="false">BK2</f>
        <v>Average DI Throughput</v>
      </c>
      <c r="BV2" s="1196"/>
      <c r="BW2" s="1196"/>
      <c r="BX2" s="1196"/>
      <c r="BY2" s="1196"/>
      <c r="BZ2" s="1196"/>
      <c r="CA2" s="1196"/>
      <c r="CB2" s="1196"/>
      <c r="CC2" s="1196"/>
      <c r="CD2" s="1196"/>
      <c r="CE2" s="1196"/>
      <c r="CF2" s="1196"/>
      <c r="CG2" s="1197"/>
      <c r="CH2" s="1189"/>
      <c r="CI2" s="1189"/>
      <c r="CJ2" s="1641"/>
      <c r="CK2" s="1657" t="str">
        <f aca="false">'P&amp;L'!A19</f>
        <v>Total Revenue</v>
      </c>
      <c r="CL2" s="1658"/>
      <c r="CM2" s="1658"/>
      <c r="CN2" s="1659"/>
      <c r="CO2" s="1659"/>
      <c r="CP2" s="1659"/>
      <c r="CQ2" s="1215"/>
      <c r="CR2" s="1215"/>
      <c r="CS2" s="1150"/>
      <c r="CT2" s="1150"/>
      <c r="CU2" s="1167"/>
      <c r="CV2" s="1157"/>
      <c r="CW2" s="1195" t="str">
        <f aca="false">CK2</f>
        <v>Total Revenue</v>
      </c>
      <c r="CX2" s="1196" t="n">
        <f aca="false">'P&amp;L'!B19</f>
        <v>0</v>
      </c>
      <c r="CY2" s="1196" t="n">
        <f aca="false">'P&amp;L'!C19</f>
        <v>0</v>
      </c>
      <c r="CZ2" s="1196" t="n">
        <f aca="false">'P&amp;L'!D19</f>
        <v>917.14</v>
      </c>
      <c r="DA2" s="1196" t="n">
        <f aca="false">'P&amp;L'!E19</f>
        <v>134197.060869048</v>
      </c>
      <c r="DB2" s="1196" t="n">
        <f aca="false">'P&amp;L'!F19</f>
        <v>268394.121738095</v>
      </c>
      <c r="DC2" s="1196" t="n">
        <f aca="false">'P&amp;L'!G19</f>
        <v>536788.243476191</v>
      </c>
      <c r="DD2" s="1196" t="n">
        <f aca="false">'P&amp;L'!H19</f>
        <v>805182.365214286</v>
      </c>
      <c r="DE2" s="1196" t="n">
        <f aca="false">'P&amp;L'!I19</f>
        <v>1073576.48695238</v>
      </c>
      <c r="DF2" s="1196" t="n">
        <f aca="false">'P&amp;L'!J19</f>
        <v>1341970.60869048</v>
      </c>
      <c r="DG2" s="1196" t="n">
        <f aca="false">'P&amp;L'!K19</f>
        <v>1610364.73042857</v>
      </c>
      <c r="DH2" s="1196" t="n">
        <f aca="false">'P&amp;L'!L19</f>
        <v>1878758.85216667</v>
      </c>
      <c r="DI2" s="1197" t="n">
        <f aca="false">'P&amp;L'!M19</f>
        <v>2147152.97390476</v>
      </c>
      <c r="DJ2" s="1167"/>
      <c r="DK2" s="1163"/>
      <c r="DL2" s="1419" t="str">
        <f aca="false">'Cash Flow'!A24</f>
        <v>OPERATING</v>
      </c>
      <c r="DM2" s="1660"/>
      <c r="DN2" s="1660"/>
      <c r="DO2" s="1660"/>
      <c r="DP2" s="1220"/>
      <c r="DQ2" s="1220"/>
      <c r="DR2" s="1189"/>
      <c r="DS2" s="1189"/>
      <c r="DT2" s="1167"/>
      <c r="DU2" s="1157"/>
      <c r="DV2" s="1661" t="str">
        <f aca="false">DL2</f>
        <v>OPERATING</v>
      </c>
      <c r="DW2" s="1655"/>
      <c r="DX2" s="1655"/>
      <c r="DY2" s="1655"/>
      <c r="DZ2" s="1655"/>
      <c r="EA2" s="1655"/>
      <c r="EB2" s="1655"/>
      <c r="EC2" s="1655"/>
      <c r="ED2" s="1655"/>
      <c r="EE2" s="1655"/>
      <c r="EF2" s="1655"/>
      <c r="EG2" s="1655"/>
      <c r="EH2" s="1197"/>
      <c r="EI2" s="1167"/>
      <c r="EJ2" s="1157"/>
      <c r="EK2" s="1662" t="s">
        <v>199</v>
      </c>
      <c r="EL2" s="1219"/>
      <c r="EM2" s="1219"/>
      <c r="EN2" s="1220"/>
      <c r="EO2" s="1220"/>
      <c r="EP2" s="1220"/>
      <c r="EQ2" s="1189"/>
      <c r="ER2" s="1189"/>
      <c r="ES2" s="1167"/>
      <c r="ET2" s="1157"/>
      <c r="EU2" s="1653" t="str">
        <f aca="false">EK2</f>
        <v>Assets</v>
      </c>
      <c r="EV2" s="1283"/>
      <c r="EW2" s="1283"/>
      <c r="EX2" s="1283"/>
      <c r="EY2" s="1283"/>
      <c r="EZ2" s="1283"/>
      <c r="FA2" s="1283"/>
      <c r="FB2" s="1283"/>
      <c r="FC2" s="1283"/>
      <c r="FD2" s="1283"/>
      <c r="FE2" s="1283"/>
      <c r="FF2" s="1283"/>
      <c r="FG2" s="1284"/>
      <c r="FH2" s="1167"/>
      <c r="FI2" s="1163"/>
      <c r="FJ2" s="1652" t="str">
        <f aca="false">'P&amp;L'!A19</f>
        <v>Total Revenue</v>
      </c>
      <c r="FK2" s="1652"/>
      <c r="FL2" s="1652"/>
      <c r="FM2" s="1654"/>
      <c r="FN2" s="1654"/>
      <c r="FO2" s="1219"/>
      <c r="FP2" s="1219"/>
      <c r="FQ2" s="1220"/>
      <c r="FR2" s="1220"/>
      <c r="FS2" s="1220"/>
      <c r="FT2" s="1167"/>
      <c r="FU2" s="1646"/>
      <c r="FV2" s="1663"/>
      <c r="FW2" s="1214" t="str">
        <f aca="false">K1</f>
        <v>Year 1</v>
      </c>
      <c r="FX2" s="1214" t="str">
        <f aca="false">L1</f>
        <v>Year 2</v>
      </c>
      <c r="FY2" s="1215" t="str">
        <f aca="false">M1</f>
        <v>Year 3</v>
      </c>
      <c r="FZ2" s="1150"/>
      <c r="GA2" s="1163"/>
      <c r="GB2" s="1664" t="str">
        <f aca="false">Existing!A2</f>
        <v>Revenue</v>
      </c>
      <c r="GC2" s="1217" t="n">
        <f aca="false">Existing!B2</f>
        <v>167140846.428</v>
      </c>
      <c r="GD2" s="1217" t="n">
        <f aca="false">Existing!C2</f>
        <v>63473726.2030143</v>
      </c>
      <c r="GE2" s="1218" t="n">
        <f aca="false">Existing!D2</f>
        <v>9797302.58344048</v>
      </c>
      <c r="GF2" s="1189"/>
      <c r="GG2" s="1163"/>
      <c r="GH2" s="1662" t="s">
        <v>1903</v>
      </c>
      <c r="GI2" s="1219"/>
      <c r="GJ2" s="1219"/>
      <c r="GK2" s="1220"/>
      <c r="GL2" s="1220"/>
      <c r="GM2" s="1220"/>
      <c r="GN2" s="1189"/>
      <c r="GO2" s="1189"/>
      <c r="GP2" s="1167"/>
      <c r="GQ2" s="1167"/>
      <c r="GR2" s="1167"/>
      <c r="GS2" s="1167"/>
      <c r="GT2" s="1167"/>
      <c r="GU2" s="1167"/>
      <c r="GV2" s="1163"/>
      <c r="GW2" s="1664"/>
      <c r="GX2" s="1217"/>
      <c r="GY2" s="1217"/>
      <c r="GZ2" s="1218"/>
      <c r="HA2" s="1218"/>
      <c r="HB2" s="1218"/>
      <c r="HC2" s="1189"/>
      <c r="HD2" s="1189"/>
      <c r="HE2" s="1189"/>
      <c r="HF2" s="1189"/>
      <c r="HG2" s="1651"/>
      <c r="HH2" s="1664"/>
      <c r="HI2" s="1217"/>
      <c r="HJ2" s="1217"/>
      <c r="HK2" s="1218"/>
      <c r="HL2" s="1218"/>
      <c r="HM2" s="1218"/>
      <c r="HN2" s="1167"/>
      <c r="HO2" s="1167"/>
      <c r="HP2" s="1167"/>
      <c r="HQ2" s="1167"/>
      <c r="HR2" s="1167"/>
      <c r="HS2" s="1163"/>
      <c r="HT2" s="1665"/>
      <c r="HU2" s="1221"/>
      <c r="HV2" s="1221"/>
      <c r="HW2" s="1221"/>
      <c r="HX2" s="1221"/>
      <c r="HY2" s="1221"/>
      <c r="HZ2" s="1221"/>
      <c r="IA2" s="1221"/>
      <c r="IB2" s="1221"/>
      <c r="IC2" s="1221"/>
      <c r="ID2" s="1221"/>
      <c r="IE2" s="1221"/>
      <c r="IF2" s="1222"/>
    </row>
    <row r="3" customFormat="false" ht="12.75" hidden="false" customHeight="true" outlineLevel="0" collapsed="false">
      <c r="A3" s="1633"/>
      <c r="B3" s="1224" t="n">
        <f aca="false">'Sources &amp; Uses'!A7</f>
        <v>0</v>
      </c>
      <c r="C3" s="1225" t="n">
        <f aca="false">'Sources &amp; Uses'!B7</f>
        <v>0</v>
      </c>
      <c r="D3" s="1167"/>
      <c r="E3" s="1633"/>
      <c r="F3" s="1224" t="str">
        <f aca="false">'Sources &amp; Uses'!E5</f>
        <v>Owner Investment</v>
      </c>
      <c r="G3" s="1225" t="n">
        <f aca="false">'Sources &amp; Uses'!F5</f>
        <v>0</v>
      </c>
      <c r="H3" s="1167"/>
      <c r="I3" s="1157"/>
      <c r="J3" s="1224" t="str">
        <f aca="false">Personnel!A3</f>
        <v>Trades</v>
      </c>
      <c r="K3" s="1217" t="n">
        <f aca="false">Personnel!BL3</f>
        <v>30</v>
      </c>
      <c r="L3" s="1217" t="n">
        <f aca="false">Personnel!BM3</f>
        <v>80</v>
      </c>
      <c r="M3" s="1218" t="n">
        <f aca="false">Personnel!BN3</f>
        <v>80</v>
      </c>
      <c r="N3" s="1218" t="n">
        <f aca="false">Personnel!BO3</f>
        <v>80</v>
      </c>
      <c r="O3" s="1218" t="n">
        <f aca="false">Personnel!BP3</f>
        <v>80</v>
      </c>
      <c r="P3" s="1189"/>
      <c r="Q3" s="1189"/>
      <c r="R3" s="1230"/>
      <c r="S3" s="1157"/>
      <c r="T3" s="1666" t="str">
        <f aca="false">Personnel!A3</f>
        <v>Trades</v>
      </c>
      <c r="U3" s="1221" t="n">
        <f aca="false">Personnel!D3</f>
        <v>4</v>
      </c>
      <c r="V3" s="1221" t="n">
        <f aca="false">Personnel!E3</f>
        <v>8</v>
      </c>
      <c r="W3" s="1221" t="n">
        <f aca="false">Personnel!F3</f>
        <v>10</v>
      </c>
      <c r="X3" s="1221" t="n">
        <f aca="false">Personnel!G3</f>
        <v>10</v>
      </c>
      <c r="Y3" s="1221" t="n">
        <f aca="false">Personnel!H3</f>
        <v>10</v>
      </c>
      <c r="Z3" s="1221" t="n">
        <f aca="false">Personnel!I3</f>
        <v>15</v>
      </c>
      <c r="AA3" s="1221" t="n">
        <f aca="false">Personnel!J3</f>
        <v>25</v>
      </c>
      <c r="AB3" s="1221" t="n">
        <f aca="false">Personnel!K3</f>
        <v>30</v>
      </c>
      <c r="AC3" s="1221" t="n">
        <f aca="false">Personnel!L3</f>
        <v>30</v>
      </c>
      <c r="AD3" s="1221" t="n">
        <f aca="false">Personnel!M3</f>
        <v>30</v>
      </c>
      <c r="AE3" s="1221" t="n">
        <f aca="false">Personnel!N3</f>
        <v>30</v>
      </c>
      <c r="AF3" s="1222" t="n">
        <f aca="false">Personnel!O3</f>
        <v>30</v>
      </c>
      <c r="AG3" s="1167"/>
      <c r="AH3" s="1163"/>
      <c r="AI3" s="1224"/>
      <c r="AJ3" s="1667"/>
      <c r="AK3" s="1667"/>
      <c r="AL3" s="1217"/>
      <c r="AM3" s="1217"/>
      <c r="AN3" s="1218"/>
      <c r="AO3" s="1218"/>
      <c r="AP3" s="1218"/>
      <c r="AQ3" s="1189"/>
      <c r="AR3" s="1189"/>
      <c r="AS3" s="1189"/>
      <c r="AT3" s="1163"/>
      <c r="AU3" s="1666"/>
      <c r="AV3" s="1246"/>
      <c r="AW3" s="1246"/>
      <c r="AX3" s="1246"/>
      <c r="AY3" s="1246"/>
      <c r="AZ3" s="1246"/>
      <c r="BA3" s="1246"/>
      <c r="BB3" s="1246"/>
      <c r="BC3" s="1246"/>
      <c r="BD3" s="1246"/>
      <c r="BE3" s="1246"/>
      <c r="BF3" s="1246"/>
      <c r="BG3" s="1247"/>
      <c r="BH3" s="1189"/>
      <c r="BI3" s="1189"/>
      <c r="BJ3" s="1189"/>
      <c r="BK3" s="1224" t="str">
        <f aca="false">Revenue!A70</f>
        <v>CS-36</v>
      </c>
      <c r="BL3" s="1217" t="n">
        <f aca="false">Revenue!BJ70</f>
        <v>16294.6428571429</v>
      </c>
      <c r="BM3" s="1217" t="n">
        <f aca="false">Revenue!BK70</f>
        <v>77678.5714285715</v>
      </c>
      <c r="BN3" s="1218" t="n">
        <f aca="false">Revenue!BL70</f>
        <v>187500</v>
      </c>
      <c r="BO3" s="1218" t="n">
        <f aca="false">Revenue!BM70</f>
        <v>187500</v>
      </c>
      <c r="BP3" s="1218" t="n">
        <f aca="false">Revenue!BN70</f>
        <v>187500</v>
      </c>
      <c r="BQ3" s="1189"/>
      <c r="BR3" s="1189"/>
      <c r="BS3" s="1198"/>
      <c r="BT3" s="1189"/>
      <c r="BU3" s="1666" t="str">
        <f aca="false">Revenue!A70</f>
        <v>CS-36</v>
      </c>
      <c r="BV3" s="1221" t="n">
        <f aca="false">Revenue!G70</f>
        <v>892.857142857143</v>
      </c>
      <c r="BW3" s="1221" t="n">
        <f aca="false">Revenue!H70</f>
        <v>1339.28571428571</v>
      </c>
      <c r="BX3" s="1221" t="n">
        <f aca="false">Revenue!I70</f>
        <v>1785.71428571429</v>
      </c>
      <c r="BY3" s="1221" t="n">
        <f aca="false">Revenue!J70</f>
        <v>2232.14285714286</v>
      </c>
      <c r="BZ3" s="1221" t="n">
        <f aca="false">Revenue!K70</f>
        <v>2678.57142857143</v>
      </c>
      <c r="CA3" s="1221" t="n">
        <f aca="false">Revenue!L70</f>
        <v>3125</v>
      </c>
      <c r="CB3" s="1221" t="n">
        <f aca="false">Revenue!M70</f>
        <v>3571.42857142857</v>
      </c>
      <c r="CC3" s="1221" t="n">
        <f aca="false">Revenue!N70</f>
        <v>4017.85714285714</v>
      </c>
      <c r="CD3" s="1221" t="n">
        <f aca="false">Revenue!O70</f>
        <v>4464.28571428572</v>
      </c>
      <c r="CE3" s="1221"/>
      <c r="CF3" s="1221"/>
      <c r="CG3" s="1222"/>
      <c r="CH3" s="1189"/>
      <c r="CI3" s="1189"/>
      <c r="CJ3" s="1641"/>
      <c r="CK3" s="1668"/>
      <c r="CL3" s="1667"/>
      <c r="CM3" s="1667"/>
      <c r="CN3" s="1669"/>
      <c r="CO3" s="1669"/>
      <c r="CP3" s="1669"/>
      <c r="CQ3" s="1218"/>
      <c r="CR3" s="1218"/>
      <c r="CS3" s="1189"/>
      <c r="CT3" s="1189"/>
      <c r="CU3" s="1167"/>
      <c r="CV3" s="1157"/>
      <c r="CW3" s="1653"/>
      <c r="CX3" s="1221"/>
      <c r="CY3" s="1221"/>
      <c r="CZ3" s="1221"/>
      <c r="DA3" s="1221"/>
      <c r="DB3" s="1221"/>
      <c r="DC3" s="1221"/>
      <c r="DD3" s="1221"/>
      <c r="DE3" s="1221"/>
      <c r="DF3" s="1221"/>
      <c r="DG3" s="1221"/>
      <c r="DH3" s="1221"/>
      <c r="DI3" s="1222"/>
      <c r="DJ3" s="1167"/>
      <c r="DK3" s="1163"/>
      <c r="DL3" s="1248" t="str">
        <f aca="false">'Cash Flow'!A25</f>
        <v>Net Profit</v>
      </c>
      <c r="DM3" s="1669" t="n">
        <f aca="false">'Cash Flow'!BH25</f>
        <v>4574829.56217466</v>
      </c>
      <c r="DN3" s="1669" t="n">
        <f aca="false">'Cash Flow'!BI25</f>
        <v>4575607.4182793</v>
      </c>
      <c r="DO3" s="1669" t="n">
        <f aca="false">'Cash Flow'!BJ25</f>
        <v>-3831207.37527624</v>
      </c>
      <c r="DP3" s="1218" t="n">
        <f aca="false">'Cash Flow'!BK25</f>
        <v>8408716.91682543</v>
      </c>
      <c r="DQ3" s="1218" t="n">
        <f aca="false">'Cash Flow'!BL25</f>
        <v>42095422.6414667</v>
      </c>
      <c r="DR3" s="1189"/>
      <c r="DS3" s="1189"/>
      <c r="DT3" s="1167"/>
      <c r="DU3" s="1157"/>
      <c r="DV3" s="1670" t="str">
        <f aca="false">DL3</f>
        <v>Net Profit</v>
      </c>
      <c r="DW3" s="1246" t="n">
        <f aca="false">'Cash Flow'!B25</f>
        <v>-395805.9718</v>
      </c>
      <c r="DX3" s="1246" t="n">
        <f aca="false">'Cash Flow'!C25</f>
        <v>-412861.9718</v>
      </c>
      <c r="DY3" s="1246" t="n">
        <f aca="false">'Cash Flow'!D25</f>
        <v>-421260.529631429</v>
      </c>
      <c r="DZ3" s="1246" t="n">
        <f aca="false">'Cash Flow'!E25</f>
        <v>-384005.078357812</v>
      </c>
      <c r="EA3" s="1246" t="n">
        <f aca="false">'Cash Flow'!F25</f>
        <v>-346620.184915624</v>
      </c>
      <c r="EB3" s="1246" t="n">
        <f aca="false">'Cash Flow'!G25</f>
        <v>-293170.398031247</v>
      </c>
      <c r="EC3" s="1246" t="n">
        <f aca="false">'Cash Flow'!H25</f>
        <v>-329502.211146871</v>
      </c>
      <c r="ED3" s="1246" t="n">
        <f aca="false">'Cash Flow'!I25</f>
        <v>-323383.693717655</v>
      </c>
      <c r="EE3" s="1246" t="n">
        <f aca="false">'Cash Flow'!J25</f>
        <v>-286581.439850612</v>
      </c>
      <c r="EF3" s="1246" t="n">
        <f aca="false">'Cash Flow'!K25</f>
        <v>-252553.470602261</v>
      </c>
      <c r="EG3" s="1246" t="n">
        <f aca="false">'Cash Flow'!L25</f>
        <v>-209831.414324076</v>
      </c>
      <c r="EH3" s="1222" t="n">
        <f aca="false">'Cash Flow'!M25</f>
        <v>-175631.011098656</v>
      </c>
      <c r="EI3" s="1167"/>
      <c r="EJ3" s="1157"/>
      <c r="EK3" s="1224" t="s">
        <v>1492</v>
      </c>
      <c r="EL3" s="1217"/>
      <c r="EM3" s="1217"/>
      <c r="EN3" s="1218"/>
      <c r="EO3" s="1218"/>
      <c r="EP3" s="1218"/>
      <c r="EQ3" s="1189"/>
      <c r="ER3" s="1189"/>
      <c r="ES3" s="1167"/>
      <c r="ET3" s="1157"/>
      <c r="EU3" s="1671" t="str">
        <f aca="false">'Balance Sheet'!A2</f>
        <v>Current Assets</v>
      </c>
      <c r="EV3" s="1655"/>
      <c r="EW3" s="1655"/>
      <c r="EX3" s="1655"/>
      <c r="EY3" s="1655"/>
      <c r="EZ3" s="1655"/>
      <c r="FA3" s="1655"/>
      <c r="FB3" s="1655"/>
      <c r="FC3" s="1655"/>
      <c r="FD3" s="1655"/>
      <c r="FE3" s="1655"/>
      <c r="FF3" s="1655"/>
      <c r="FG3" s="1656"/>
      <c r="FH3" s="1167"/>
      <c r="FI3" s="1163"/>
      <c r="FJ3" s="1672" t="s">
        <v>1490</v>
      </c>
      <c r="FK3" s="1672"/>
      <c r="FL3" s="1672"/>
      <c r="FM3" s="1667"/>
      <c r="FN3" s="1667"/>
      <c r="FO3" s="1217" t="n">
        <f aca="false">'P&amp;L'!BJ41</f>
        <v>7158057.74494405</v>
      </c>
      <c r="FP3" s="1217" t="n">
        <f aca="false">'P&amp;L'!BK41</f>
        <v>20895282.5696614</v>
      </c>
      <c r="FQ3" s="1218" t="n">
        <f aca="false">'P&amp;L'!BL41</f>
        <v>35027776.063542</v>
      </c>
      <c r="FR3" s="1218" t="n">
        <f aca="false">'P&amp;L'!BM41</f>
        <v>37218991.7694791</v>
      </c>
      <c r="FS3" s="1218" t="n">
        <f aca="false">'P&amp;L'!BN41</f>
        <v>39450126.2413681</v>
      </c>
      <c r="FT3" s="1167"/>
      <c r="FU3" s="1646"/>
      <c r="FV3" s="1663"/>
      <c r="FW3" s="1214"/>
      <c r="FX3" s="1214"/>
      <c r="FY3" s="1215"/>
      <c r="FZ3" s="1150"/>
      <c r="GA3" s="1163"/>
      <c r="GB3" s="1664" t="s">
        <v>1718</v>
      </c>
      <c r="GC3" s="1217" t="n">
        <f aca="false">Existing!B3</f>
        <v>85771935.9313818</v>
      </c>
      <c r="GD3" s="1217" t="n">
        <f aca="false">Existing!C3</f>
        <v>31558308.8132484</v>
      </c>
      <c r="GE3" s="1218" t="n">
        <f aca="false">GE2-GE4</f>
        <v>13628509.9587167</v>
      </c>
      <c r="GF3" s="1189"/>
      <c r="GG3" s="1163"/>
      <c r="GH3" s="1664" t="s">
        <v>1904</v>
      </c>
      <c r="GI3" s="1217"/>
      <c r="GJ3" s="1217" t="n">
        <f aca="false">'P&amp;L'!BK19/'P&amp;L'!BJ19-1</f>
        <v>5.47930061240245</v>
      </c>
      <c r="GK3" s="1218" t="n">
        <f aca="false">'P&amp;L'!BL19/'P&amp;L'!BK19-1</f>
        <v>1.63322884012539</v>
      </c>
      <c r="GL3" s="1218" t="n">
        <f aca="false">'P&amp;L'!BM19/'P&amp;L'!BL19-1</f>
        <v>0.0833333333333335</v>
      </c>
      <c r="GM3" s="1218" t="n">
        <f aca="false">'P&amp;L'!BN19/'P&amp;L'!BM19-1</f>
        <v>0.0769230769230769</v>
      </c>
      <c r="GN3" s="1189"/>
      <c r="GO3" s="1189"/>
      <c r="GP3" s="1167"/>
      <c r="GQ3" s="1167"/>
      <c r="GR3" s="1167"/>
      <c r="GS3" s="1167"/>
      <c r="GT3" s="1167"/>
      <c r="GU3" s="1167"/>
      <c r="GV3" s="1163"/>
      <c r="GW3" s="1224"/>
      <c r="GX3" s="1217"/>
      <c r="GY3" s="1217"/>
      <c r="GZ3" s="1218"/>
      <c r="HA3" s="1218"/>
      <c r="HB3" s="1218"/>
      <c r="HC3" s="1189"/>
      <c r="HD3" s="1189"/>
      <c r="HE3" s="1189"/>
      <c r="HF3" s="1189"/>
      <c r="HG3" s="1651"/>
      <c r="HH3" s="1664"/>
      <c r="HI3" s="1217"/>
      <c r="HJ3" s="1217"/>
      <c r="HK3" s="1218"/>
      <c r="HL3" s="1218"/>
      <c r="HM3" s="1218"/>
      <c r="HN3" s="1167"/>
      <c r="HO3" s="1167"/>
      <c r="HP3" s="1167"/>
      <c r="HQ3" s="1167"/>
      <c r="HR3" s="1167"/>
      <c r="HS3" s="1163"/>
      <c r="HT3" s="1665"/>
      <c r="HU3" s="1221"/>
      <c r="HV3" s="1221"/>
      <c r="HW3" s="1221"/>
      <c r="HX3" s="1221"/>
      <c r="HY3" s="1221"/>
      <c r="HZ3" s="1221"/>
      <c r="IA3" s="1221"/>
      <c r="IB3" s="1221"/>
      <c r="IC3" s="1221"/>
      <c r="ID3" s="1221"/>
      <c r="IE3" s="1221"/>
      <c r="IF3" s="1222"/>
    </row>
    <row r="4" customFormat="false" ht="12.75" hidden="false" customHeight="true" outlineLevel="0" collapsed="false">
      <c r="A4" s="1633"/>
      <c r="B4" s="1224" t="n">
        <f aca="false">'Sources &amp; Uses'!A8</f>
        <v>0</v>
      </c>
      <c r="C4" s="1225" t="str">
        <f aca="false">'Sources &amp; Uses'!B8</f>
        <v>.</v>
      </c>
      <c r="D4" s="1167"/>
      <c r="E4" s="1633"/>
      <c r="F4" s="1224" t="str">
        <f aca="false">'Sources &amp; Uses'!E6</f>
        <v>Investor</v>
      </c>
      <c r="G4" s="1225" t="n">
        <f aca="false">'Sources &amp; Uses'!F6</f>
        <v>0</v>
      </c>
      <c r="H4" s="1167"/>
      <c r="I4" s="1157"/>
      <c r="J4" s="1673" t="str">
        <f aca="false">T4</f>
        <v>Total Personnel</v>
      </c>
      <c r="K4" s="1373" t="n">
        <f aca="false">Personnel!BL14</f>
        <v>31</v>
      </c>
      <c r="L4" s="1373" t="n">
        <f aca="false">Personnel!BM14</f>
        <v>162</v>
      </c>
      <c r="M4" s="1374" t="n">
        <f aca="false">Personnel!BN14</f>
        <v>164</v>
      </c>
      <c r="N4" s="1374" t="n">
        <f aca="false">Personnel!BO14</f>
        <v>164</v>
      </c>
      <c r="O4" s="1374" t="n">
        <f aca="false">Personnel!BP14</f>
        <v>164</v>
      </c>
      <c r="P4" s="1189"/>
      <c r="Q4" s="1189"/>
      <c r="R4" s="1230"/>
      <c r="S4" s="1157"/>
      <c r="T4" s="1674" t="str">
        <f aca="false">Personnel!A14</f>
        <v>Total Personnel</v>
      </c>
      <c r="U4" s="1221" t="n">
        <f aca="false">Personnel!D14</f>
        <v>5</v>
      </c>
      <c r="V4" s="1221" t="n">
        <f aca="false">Personnel!E14</f>
        <v>9</v>
      </c>
      <c r="W4" s="1221" t="n">
        <f aca="false">Personnel!F14</f>
        <v>11</v>
      </c>
      <c r="X4" s="1221" t="n">
        <f aca="false">Personnel!G14</f>
        <v>11</v>
      </c>
      <c r="Y4" s="1221" t="n">
        <f aca="false">Personnel!H14</f>
        <v>11</v>
      </c>
      <c r="Z4" s="1221" t="n">
        <f aca="false">Personnel!I14</f>
        <v>16</v>
      </c>
      <c r="AA4" s="1221" t="n">
        <f aca="false">Personnel!J14</f>
        <v>26</v>
      </c>
      <c r="AB4" s="1221" t="n">
        <f aca="false">Personnel!K14</f>
        <v>31</v>
      </c>
      <c r="AC4" s="1221" t="n">
        <f aca="false">Personnel!L14</f>
        <v>31</v>
      </c>
      <c r="AD4" s="1221" t="n">
        <f aca="false">Personnel!M14</f>
        <v>31</v>
      </c>
      <c r="AE4" s="1221" t="n">
        <f aca="false">Personnel!N14</f>
        <v>31</v>
      </c>
      <c r="AF4" s="1222" t="n">
        <f aca="false">Personnel!O14</f>
        <v>31</v>
      </c>
      <c r="AG4" s="1167"/>
      <c r="AH4" s="1163"/>
      <c r="AI4" s="1224"/>
      <c r="AJ4" s="1667"/>
      <c r="AK4" s="1667"/>
      <c r="AL4" s="1217"/>
      <c r="AM4" s="1217"/>
      <c r="AN4" s="1218"/>
      <c r="AO4" s="1218"/>
      <c r="AP4" s="1218"/>
      <c r="AQ4" s="1189"/>
      <c r="AR4" s="1189"/>
      <c r="AS4" s="1189"/>
      <c r="AT4" s="1163"/>
      <c r="AU4" s="1666"/>
      <c r="AV4" s="1246"/>
      <c r="AW4" s="1246"/>
      <c r="AX4" s="1246"/>
      <c r="AY4" s="1246"/>
      <c r="AZ4" s="1246"/>
      <c r="BA4" s="1246"/>
      <c r="BB4" s="1246"/>
      <c r="BC4" s="1246"/>
      <c r="BD4" s="1246"/>
      <c r="BE4" s="1246"/>
      <c r="BF4" s="1246"/>
      <c r="BG4" s="1247"/>
      <c r="BH4" s="1189"/>
      <c r="BI4" s="1189"/>
      <c r="BJ4" s="1189"/>
      <c r="BK4" s="1224" t="str">
        <f aca="false">Revenue!A71</f>
        <v>CS-42</v>
      </c>
      <c r="BL4" s="1217" t="n">
        <f aca="false">Revenue!BJ71</f>
        <v>5431.54761904762</v>
      </c>
      <c r="BM4" s="1217" t="n">
        <f aca="false">Revenue!BK71</f>
        <v>25892.8571428572</v>
      </c>
      <c r="BN4" s="1218" t="n">
        <f aca="false">Revenue!BL71</f>
        <v>62500</v>
      </c>
      <c r="BO4" s="1218" t="n">
        <f aca="false">Revenue!BM71</f>
        <v>62500</v>
      </c>
      <c r="BP4" s="1218" t="n">
        <f aca="false">Revenue!BN71</f>
        <v>62500</v>
      </c>
      <c r="BQ4" s="1189"/>
      <c r="BR4" s="1189"/>
      <c r="BS4" s="1198"/>
      <c r="BT4" s="1189"/>
      <c r="BU4" s="1666" t="str">
        <f aca="false">Revenue!A71</f>
        <v>CS-42</v>
      </c>
      <c r="BV4" s="1221" t="n">
        <f aca="false">Revenue!G71</f>
        <v>297.619047619048</v>
      </c>
      <c r="BW4" s="1221" t="n">
        <f aca="false">Revenue!H71</f>
        <v>446.428571428571</v>
      </c>
      <c r="BX4" s="1221" t="n">
        <f aca="false">Revenue!I71</f>
        <v>595.238095238095</v>
      </c>
      <c r="BY4" s="1221" t="n">
        <f aca="false">Revenue!J71</f>
        <v>744.047619047619</v>
      </c>
      <c r="BZ4" s="1221" t="n">
        <f aca="false">Revenue!K71</f>
        <v>892.857142857143</v>
      </c>
      <c r="CA4" s="1221" t="n">
        <f aca="false">Revenue!L71</f>
        <v>1041.66666666667</v>
      </c>
      <c r="CB4" s="1221" t="n">
        <f aca="false">Revenue!M71</f>
        <v>1190.47619047619</v>
      </c>
      <c r="CC4" s="1221" t="n">
        <f aca="false">Revenue!N71</f>
        <v>1339.28571428571</v>
      </c>
      <c r="CD4" s="1221" t="n">
        <f aca="false">Revenue!O71</f>
        <v>1488.09523809524</v>
      </c>
      <c r="CE4" s="1221"/>
      <c r="CF4" s="1221"/>
      <c r="CG4" s="1222"/>
      <c r="CH4" s="1189"/>
      <c r="CI4" s="1189"/>
      <c r="CJ4" s="1641"/>
      <c r="CK4" s="1668" t="str">
        <f aca="false">'P&amp;L'!A27</f>
        <v>Expenses</v>
      </c>
      <c r="CL4" s="1667"/>
      <c r="CM4" s="1667"/>
      <c r="CN4" s="1669"/>
      <c r="CO4" s="1669"/>
      <c r="CP4" s="1669"/>
      <c r="CQ4" s="1218"/>
      <c r="CR4" s="1218"/>
      <c r="CS4" s="1189"/>
      <c r="CT4" s="1189"/>
      <c r="CU4" s="1167"/>
      <c r="CV4" s="1157"/>
      <c r="CW4" s="1653" t="str">
        <f aca="false">CK4</f>
        <v>Expenses</v>
      </c>
      <c r="CX4" s="1221"/>
      <c r="CY4" s="1221"/>
      <c r="CZ4" s="1221"/>
      <c r="DA4" s="1221"/>
      <c r="DB4" s="1221"/>
      <c r="DC4" s="1221"/>
      <c r="DD4" s="1221"/>
      <c r="DE4" s="1221"/>
      <c r="DF4" s="1221"/>
      <c r="DG4" s="1221"/>
      <c r="DH4" s="1221"/>
      <c r="DI4" s="1222"/>
      <c r="DJ4" s="1167"/>
      <c r="DK4" s="1163"/>
      <c r="DL4" s="1259" t="str">
        <f aca="false">'Cash Flow'!A26</f>
        <v>Adjustments to Net Profit</v>
      </c>
      <c r="DM4" s="1669"/>
      <c r="DN4" s="1669"/>
      <c r="DO4" s="1669"/>
      <c r="DP4" s="1218"/>
      <c r="DQ4" s="1218"/>
      <c r="DR4" s="1189"/>
      <c r="DS4" s="1189"/>
      <c r="DT4" s="1167"/>
      <c r="DU4" s="1157"/>
      <c r="DV4" s="1675" t="str">
        <f aca="false">DL4</f>
        <v>Adjustments to Net Profit</v>
      </c>
      <c r="DW4" s="1246"/>
      <c r="DX4" s="1246"/>
      <c r="DY4" s="1246"/>
      <c r="DZ4" s="1246"/>
      <c r="EA4" s="1246"/>
      <c r="EB4" s="1246"/>
      <c r="EC4" s="1246"/>
      <c r="ED4" s="1246"/>
      <c r="EE4" s="1246"/>
      <c r="EF4" s="1246"/>
      <c r="EG4" s="1246"/>
      <c r="EH4" s="1222"/>
      <c r="EI4" s="1167"/>
      <c r="EJ4" s="1157"/>
      <c r="EK4" s="1224" t="str">
        <f aca="false">'Balance Sheet'!A3</f>
        <v>Cash</v>
      </c>
      <c r="EL4" s="1217" t="n">
        <f aca="false">'Balance Sheet'!BJ3</f>
        <v>6344386.38122366</v>
      </c>
      <c r="EM4" s="1217" t="n">
        <f aca="false">'Balance Sheet'!BK3</f>
        <v>13935660.5086761</v>
      </c>
      <c r="EN4" s="1218" t="n">
        <f aca="false">'Balance Sheet'!BL3</f>
        <v>54173400.9296542</v>
      </c>
      <c r="EO4" s="1218" t="n">
        <f aca="false">'Balance Sheet'!BM3</f>
        <v>102460676.595165</v>
      </c>
      <c r="EP4" s="1218" t="n">
        <f aca="false">'Balance Sheet'!BN3</f>
        <v>156992240.958111</v>
      </c>
      <c r="EQ4" s="1189"/>
      <c r="ER4" s="1189"/>
      <c r="ES4" s="1167"/>
      <c r="ET4" s="1157"/>
      <c r="EU4" s="1666" t="str">
        <f aca="false">'Balance Sheet'!A3</f>
        <v>Cash</v>
      </c>
      <c r="EV4" s="1246" t="n">
        <f aca="false">'Balance Sheet'!B3</f>
        <v>9994578.0003863</v>
      </c>
      <c r="EW4" s="1246" t="n">
        <f aca="false">'Balance Sheet'!C3</f>
        <v>9598538.38475069</v>
      </c>
      <c r="EX4" s="1246" t="n">
        <f aca="false">'Balance Sheet'!D3</f>
        <v>9185561.36421327</v>
      </c>
      <c r="EY4" s="1246" t="n">
        <f aca="false">'Balance Sheet'!E3</f>
        <v>8764811.18322942</v>
      </c>
      <c r="EZ4" s="1246" t="n">
        <f aca="false">'Balance Sheet'!F3</f>
        <v>8381318.22669959</v>
      </c>
      <c r="FA4" s="1246" t="n">
        <f aca="false">'Balance Sheet'!G3</f>
        <v>8035430.23064539</v>
      </c>
      <c r="FB4" s="1246" t="n">
        <f aca="false">'Balance Sheet'!H3</f>
        <v>7711016.57141172</v>
      </c>
      <c r="FC4" s="1246" t="n">
        <f aca="false">'Balance Sheet'!I3</f>
        <v>7371571.85376486</v>
      </c>
      <c r="FD4" s="1246" t="n">
        <f aca="false">'Balance Sheet'!J3</f>
        <v>7050502.8255245</v>
      </c>
      <c r="FE4" s="1246" t="n">
        <f aca="false">'Balance Sheet'!K3</f>
        <v>6770955.57916217</v>
      </c>
      <c r="FF4" s="1246" t="n">
        <f aca="false">'Balance Sheet'!L3</f>
        <v>6535843.4593412</v>
      </c>
      <c r="FG4" s="1247" t="n">
        <f aca="false">'Balance Sheet'!M3</f>
        <v>6344386.38122366</v>
      </c>
      <c r="FH4" s="1167"/>
      <c r="FI4" s="1163"/>
      <c r="FJ4" s="1672" t="s">
        <v>1907</v>
      </c>
      <c r="FK4" s="1672"/>
      <c r="FL4" s="1672"/>
      <c r="FM4" s="1667"/>
      <c r="FN4" s="1667"/>
      <c r="FO4" s="1217"/>
      <c r="FP4" s="1217"/>
      <c r="FQ4" s="1218"/>
      <c r="FR4" s="1218"/>
      <c r="FS4" s="1218"/>
      <c r="FT4" s="1167"/>
      <c r="FU4" s="1646"/>
      <c r="FV4" s="1664" t="s">
        <v>228</v>
      </c>
      <c r="FW4" s="1217" t="n">
        <f aca="false">'Sensitivity Analysis'!BK19</f>
        <v>11266897.9709565</v>
      </c>
      <c r="FX4" s="1217" t="n">
        <f aca="false">'Sensitivity Analysis'!BL19</f>
        <v>72994785.1334664</v>
      </c>
      <c r="FY4" s="1218" t="n">
        <f aca="false">'Sensitivity Analysis'!BM19</f>
        <v>192211973.3922</v>
      </c>
      <c r="FZ4" s="1189"/>
      <c r="GA4" s="1163"/>
      <c r="GB4" s="1664" t="str">
        <f aca="false">Existing!A5</f>
        <v>Net Profit</v>
      </c>
      <c r="GC4" s="1217" t="n">
        <f aca="false">Existing!B5</f>
        <v>50744159.8678398</v>
      </c>
      <c r="GD4" s="1217" t="n">
        <f aca="false">Existing!C5</f>
        <v>8408716.91682543</v>
      </c>
      <c r="GE4" s="1218" t="n">
        <f aca="false">Existing!D5</f>
        <v>-3831207.37527624</v>
      </c>
      <c r="GF4" s="1189"/>
      <c r="GG4" s="1163"/>
      <c r="GH4" s="1664" t="s">
        <v>1906</v>
      </c>
      <c r="GI4" s="1217"/>
      <c r="GJ4" s="1217" t="n">
        <f aca="false">'P&amp;L'!BK41/'P&amp;L'!BJ41-1</f>
        <v>1.91912741056335</v>
      </c>
      <c r="GK4" s="1218" t="n">
        <f aca="false">'P&amp;L'!BL41/'P&amp;L'!BK41-1</f>
        <v>0.676348522532067</v>
      </c>
      <c r="GL4" s="1218" t="n">
        <f aca="false">'P&amp;L'!BM41/'P&amp;L'!BL41-1</f>
        <v>0.062556518060471</v>
      </c>
      <c r="GM4" s="1218" t="n">
        <f aca="false">'P&amp;L'!BN41/'P&amp;L'!BM41-1</f>
        <v>0.0599461287320138</v>
      </c>
      <c r="GN4" s="1189"/>
      <c r="GO4" s="1189"/>
      <c r="GP4" s="1167"/>
      <c r="GQ4" s="1167"/>
      <c r="GR4" s="1167"/>
      <c r="GS4" s="1167"/>
      <c r="GT4" s="1167"/>
      <c r="GU4" s="1167"/>
      <c r="GV4" s="1163"/>
      <c r="GW4" s="1224"/>
      <c r="GX4" s="1217"/>
      <c r="GY4" s="1217"/>
      <c r="GZ4" s="1218"/>
      <c r="HA4" s="1218"/>
      <c r="HB4" s="1218"/>
      <c r="HC4" s="1189"/>
      <c r="HD4" s="1189"/>
      <c r="HE4" s="1189"/>
      <c r="HF4" s="1189"/>
      <c r="HG4" s="1651"/>
      <c r="HH4" s="1224"/>
      <c r="HI4" s="1217"/>
      <c r="HJ4" s="1217"/>
      <c r="HK4" s="1218"/>
      <c r="HL4" s="1218"/>
      <c r="HM4" s="1218"/>
      <c r="HN4" s="1167"/>
      <c r="HO4" s="1167"/>
      <c r="HP4" s="1167"/>
      <c r="HQ4" s="1167"/>
      <c r="HR4" s="1167"/>
      <c r="HS4" s="1163"/>
      <c r="HT4" s="1670"/>
      <c r="HU4" s="1221"/>
      <c r="HV4" s="1221"/>
      <c r="HW4" s="1221"/>
      <c r="HX4" s="1221"/>
      <c r="HY4" s="1221"/>
      <c r="HZ4" s="1221"/>
      <c r="IA4" s="1221"/>
      <c r="IB4" s="1221"/>
      <c r="IC4" s="1221"/>
      <c r="ID4" s="1221"/>
      <c r="IE4" s="1221"/>
      <c r="IF4" s="1222"/>
    </row>
    <row r="5" customFormat="false" ht="12.75" hidden="false" customHeight="true" outlineLevel="0" collapsed="false">
      <c r="A5" s="1633"/>
      <c r="B5" s="1265" t="s">
        <v>1521</v>
      </c>
      <c r="C5" s="1266" t="n">
        <f aca="false">'Sources &amp; Uses'!B10</f>
        <v>33461850.4</v>
      </c>
      <c r="D5" s="1167"/>
      <c r="E5" s="1633"/>
      <c r="F5" s="1265" t="s">
        <v>1521</v>
      </c>
      <c r="G5" s="1266" t="n">
        <f aca="false">'Sources &amp; Uses'!F7</f>
        <v>0</v>
      </c>
      <c r="H5" s="1167"/>
      <c r="I5" s="1157"/>
      <c r="J5" s="1673"/>
      <c r="K5" s="1373"/>
      <c r="L5" s="1373"/>
      <c r="M5" s="1374"/>
      <c r="N5" s="1374"/>
      <c r="O5" s="1374"/>
      <c r="P5" s="1189"/>
      <c r="Q5" s="1189"/>
      <c r="R5" s="1230"/>
      <c r="S5" s="1157"/>
      <c r="T5" s="1674"/>
      <c r="U5" s="1221"/>
      <c r="V5" s="1221"/>
      <c r="W5" s="1221"/>
      <c r="X5" s="1221"/>
      <c r="Y5" s="1221"/>
      <c r="Z5" s="1221"/>
      <c r="AA5" s="1221"/>
      <c r="AB5" s="1221"/>
      <c r="AC5" s="1221"/>
      <c r="AD5" s="1221"/>
      <c r="AE5" s="1221"/>
      <c r="AF5" s="1222"/>
      <c r="AG5" s="1167"/>
      <c r="AH5" s="1163"/>
      <c r="AI5" s="1224"/>
      <c r="AJ5" s="1667"/>
      <c r="AK5" s="1667"/>
      <c r="AL5" s="1217"/>
      <c r="AM5" s="1217"/>
      <c r="AN5" s="1218"/>
      <c r="AO5" s="1218"/>
      <c r="AP5" s="1218"/>
      <c r="AQ5" s="1189"/>
      <c r="AR5" s="1189"/>
      <c r="AS5" s="1189"/>
      <c r="AT5" s="1163"/>
      <c r="AU5" s="1666"/>
      <c r="AV5" s="1246"/>
      <c r="AW5" s="1246"/>
      <c r="AX5" s="1246"/>
      <c r="AY5" s="1246"/>
      <c r="AZ5" s="1246"/>
      <c r="BA5" s="1246"/>
      <c r="BB5" s="1246"/>
      <c r="BC5" s="1246"/>
      <c r="BD5" s="1246"/>
      <c r="BE5" s="1246"/>
      <c r="BF5" s="1246"/>
      <c r="BG5" s="1247"/>
      <c r="BH5" s="1189"/>
      <c r="BI5" s="1189"/>
      <c r="BJ5" s="1189"/>
      <c r="BK5" s="1224" t="str">
        <f aca="false">Revenue!A72</f>
        <v>CS-48</v>
      </c>
      <c r="BL5" s="1217" t="n">
        <f aca="false">Revenue!BJ72</f>
        <v>5431.54761904762</v>
      </c>
      <c r="BM5" s="1217" t="n">
        <f aca="false">Revenue!BK72</f>
        <v>25892.8571428572</v>
      </c>
      <c r="BN5" s="1218" t="n">
        <f aca="false">Revenue!BL72</f>
        <v>62500</v>
      </c>
      <c r="BO5" s="1218" t="n">
        <f aca="false">Revenue!BM72</f>
        <v>62500</v>
      </c>
      <c r="BP5" s="1218" t="n">
        <f aca="false">Revenue!BN72</f>
        <v>62500</v>
      </c>
      <c r="BQ5" s="1189"/>
      <c r="BR5" s="1189"/>
      <c r="BS5" s="1198"/>
      <c r="BT5" s="1189"/>
      <c r="BU5" s="1666" t="str">
        <f aca="false">Revenue!A72</f>
        <v>CS-48</v>
      </c>
      <c r="BV5" s="1221" t="n">
        <f aca="false">Revenue!G72</f>
        <v>297.619047619048</v>
      </c>
      <c r="BW5" s="1221" t="n">
        <f aca="false">Revenue!H72</f>
        <v>446.428571428571</v>
      </c>
      <c r="BX5" s="1221" t="n">
        <f aca="false">Revenue!I72</f>
        <v>595.238095238095</v>
      </c>
      <c r="BY5" s="1221" t="n">
        <f aca="false">Revenue!J72</f>
        <v>744.047619047619</v>
      </c>
      <c r="BZ5" s="1221" t="n">
        <f aca="false">Revenue!K72</f>
        <v>892.857142857143</v>
      </c>
      <c r="CA5" s="1221" t="n">
        <f aca="false">Revenue!L72</f>
        <v>1041.66666666667</v>
      </c>
      <c r="CB5" s="1221" t="n">
        <f aca="false">Revenue!M72</f>
        <v>1190.47619047619</v>
      </c>
      <c r="CC5" s="1221" t="n">
        <f aca="false">Revenue!N72</f>
        <v>1339.28571428571</v>
      </c>
      <c r="CD5" s="1221" t="n">
        <f aca="false">Revenue!O72</f>
        <v>1488.09523809524</v>
      </c>
      <c r="CE5" s="1221"/>
      <c r="CF5" s="1221"/>
      <c r="CG5" s="1222"/>
      <c r="CH5" s="1189"/>
      <c r="CI5" s="1189"/>
      <c r="CJ5" s="1641"/>
      <c r="CK5" s="1676" t="str">
        <f aca="false">'P&amp;L'!A28</f>
        <v>Business Expense </v>
      </c>
      <c r="CL5" s="1667"/>
      <c r="CM5" s="1667"/>
      <c r="CN5" s="1669" t="n">
        <f aca="false">'P&amp;L'!BJ28</f>
        <v>240000</v>
      </c>
      <c r="CO5" s="1669" t="n">
        <f aca="false">'P&amp;L'!BK28</f>
        <v>252000</v>
      </c>
      <c r="CP5" s="1669" t="n">
        <f aca="false">'P&amp;L'!BL28</f>
        <v>264600</v>
      </c>
      <c r="CQ5" s="1218" t="n">
        <f aca="false">'P&amp;L'!BM28</f>
        <v>277830</v>
      </c>
      <c r="CR5" s="1218" t="n">
        <f aca="false">'P&amp;L'!BN28</f>
        <v>291721.5</v>
      </c>
      <c r="CS5" s="1189"/>
      <c r="CT5" s="1189"/>
      <c r="CU5" s="1167"/>
      <c r="CV5" s="1157"/>
      <c r="CW5" s="1671" t="str">
        <f aca="false">CK5</f>
        <v>Business Expense </v>
      </c>
      <c r="CX5" s="1221" t="n">
        <f aca="false">'P&amp;L'!B28</f>
        <v>20000</v>
      </c>
      <c r="CY5" s="1221" t="n">
        <f aca="false">'P&amp;L'!C28</f>
        <v>20000</v>
      </c>
      <c r="CZ5" s="1221" t="n">
        <f aca="false">'P&amp;L'!D28</f>
        <v>20000</v>
      </c>
      <c r="DA5" s="1221" t="n">
        <f aca="false">'P&amp;L'!E28</f>
        <v>20000</v>
      </c>
      <c r="DB5" s="1221" t="n">
        <f aca="false">'P&amp;L'!F28</f>
        <v>20000</v>
      </c>
      <c r="DC5" s="1221" t="n">
        <f aca="false">'P&amp;L'!G28</f>
        <v>20000</v>
      </c>
      <c r="DD5" s="1221" t="n">
        <f aca="false">'P&amp;L'!H28</f>
        <v>20000</v>
      </c>
      <c r="DE5" s="1221" t="n">
        <f aca="false">'P&amp;L'!I28</f>
        <v>20000</v>
      </c>
      <c r="DF5" s="1221" t="n">
        <f aca="false">'P&amp;L'!J28</f>
        <v>20000</v>
      </c>
      <c r="DG5" s="1221" t="n">
        <f aca="false">'P&amp;L'!K28</f>
        <v>20000</v>
      </c>
      <c r="DH5" s="1221" t="n">
        <f aca="false">'P&amp;L'!L28</f>
        <v>20000</v>
      </c>
      <c r="DI5" s="1222" t="n">
        <f aca="false">'P&amp;L'!M28</f>
        <v>20000</v>
      </c>
      <c r="DJ5" s="1167"/>
      <c r="DK5" s="1163"/>
      <c r="DL5" s="1226" t="str">
        <f aca="false">'Cash Flow'!A27</f>
        <v>Depreciation &amp; Amortization</v>
      </c>
      <c r="DM5" s="1669" t="n">
        <f aca="false">'Cash Flow'!BH27</f>
        <v>195515.42</v>
      </c>
      <c r="DN5" s="1669" t="n">
        <f aca="false">'Cash Flow'!BI27</f>
        <v>195515.42</v>
      </c>
      <c r="DO5" s="1669" t="n">
        <f aca="false">'Cash Flow'!BJ27</f>
        <v>644079.825</v>
      </c>
      <c r="DP5" s="1218" t="n">
        <f aca="false">'Cash Flow'!BK27</f>
        <v>2334534.66</v>
      </c>
      <c r="DQ5" s="1218" t="n">
        <f aca="false">'Cash Flow'!BL27</f>
        <v>2346185.04</v>
      </c>
      <c r="DR5" s="1189"/>
      <c r="DS5" s="1189"/>
      <c r="DT5" s="1274"/>
      <c r="DU5" s="1157"/>
      <c r="DV5" s="1666" t="str">
        <f aca="false">DL5</f>
        <v>Depreciation &amp; Amortization</v>
      </c>
      <c r="DW5" s="1246" t="n">
        <f aca="false">'Cash Flow'!B27</f>
        <v>0</v>
      </c>
      <c r="DX5" s="1246" t="n">
        <f aca="false">'Cash Flow'!C27</f>
        <v>0</v>
      </c>
      <c r="DY5" s="1246" t="n">
        <f aca="false">'Cash Flow'!D27</f>
        <v>0</v>
      </c>
      <c r="DZ5" s="1246" t="n">
        <f aca="false">'Cash Flow'!E27</f>
        <v>0</v>
      </c>
      <c r="EA5" s="1246" t="n">
        <f aca="false">'Cash Flow'!F27</f>
        <v>0</v>
      </c>
      <c r="EB5" s="1246" t="n">
        <f aca="false">'Cash Flow'!G27</f>
        <v>0</v>
      </c>
      <c r="EC5" s="1246" t="n">
        <f aca="false">'Cash Flow'!H27</f>
        <v>42788.5</v>
      </c>
      <c r="ED5" s="1246" t="n">
        <f aca="false">'Cash Flow'!I27</f>
        <v>72468.455</v>
      </c>
      <c r="EE5" s="1246" t="n">
        <f aca="false">'Cash Flow'!J27</f>
        <v>96364.48</v>
      </c>
      <c r="EF5" s="1246" t="n">
        <f aca="false">'Cash Flow'!K27</f>
        <v>122049.945</v>
      </c>
      <c r="EG5" s="1246" t="n">
        <f aca="false">'Cash Flow'!L27</f>
        <v>142361.49</v>
      </c>
      <c r="EH5" s="1222" t="n">
        <f aca="false">'Cash Flow'!M27</f>
        <v>168046.955</v>
      </c>
      <c r="EI5" s="1274"/>
      <c r="EJ5" s="1157"/>
      <c r="EK5" s="1224" t="str">
        <f aca="false">'Balance Sheet'!A4</f>
        <v>Accounts Receivable</v>
      </c>
      <c r="EL5" s="1217" t="n">
        <f aca="false">'Balance Sheet'!BJ4</f>
        <v>2117739.91946771</v>
      </c>
      <c r="EM5" s="1217" t="n">
        <f aca="false">'Balance Sheet'!BK4</f>
        <v>7195887.71314286</v>
      </c>
      <c r="EN5" s="1218" t="n">
        <f aca="false">'Balance Sheet'!BL4</f>
        <v>13737603.816</v>
      </c>
      <c r="EO5" s="1218" t="n">
        <f aca="false">'Balance Sheet'!BM4</f>
        <v>14882404.134</v>
      </c>
      <c r="EP5" s="1218" t="n">
        <f aca="false">'Balance Sheet'!BN4</f>
        <v>16027204.452</v>
      </c>
      <c r="EQ5" s="1189"/>
      <c r="ER5" s="1189"/>
      <c r="ES5" s="1167"/>
      <c r="ET5" s="1157"/>
      <c r="EU5" s="1666" t="str">
        <f aca="false">EK5</f>
        <v>Accounts Receivable</v>
      </c>
      <c r="EV5" s="1246" t="n">
        <f aca="false">'Balance Sheet'!B4</f>
        <v>0</v>
      </c>
      <c r="EW5" s="1246" t="n">
        <f aca="false">'Balance Sheet'!C4</f>
        <v>0</v>
      </c>
      <c r="EX5" s="1246" t="n">
        <f aca="false">'Balance Sheet'!D4</f>
        <v>904.576438356164</v>
      </c>
      <c r="EY5" s="1246" t="n">
        <f aca="false">'Balance Sheet'!E4</f>
        <v>132358.744966732</v>
      </c>
      <c r="EZ5" s="1246" t="n">
        <f aca="false">'Balance Sheet'!F4</f>
        <v>264717.489933464</v>
      </c>
      <c r="FA5" s="1246" t="n">
        <f aca="false">'Balance Sheet'!G4</f>
        <v>529434.979866928</v>
      </c>
      <c r="FB5" s="1246" t="n">
        <f aca="false">'Balance Sheet'!H4</f>
        <v>794152.469800392</v>
      </c>
      <c r="FC5" s="1246" t="n">
        <f aca="false">'Balance Sheet'!I4</f>
        <v>1058869.95973386</v>
      </c>
      <c r="FD5" s="1246" t="n">
        <f aca="false">'Balance Sheet'!J4</f>
        <v>1323587.44966732</v>
      </c>
      <c r="FE5" s="1246" t="n">
        <f aca="false">'Balance Sheet'!K4</f>
        <v>1588304.93960078</v>
      </c>
      <c r="FF5" s="1246" t="n">
        <f aca="false">'Balance Sheet'!L4</f>
        <v>1853022.42953425</v>
      </c>
      <c r="FG5" s="1247" t="n">
        <f aca="false">'Balance Sheet'!M4</f>
        <v>2117739.91946771</v>
      </c>
      <c r="FH5" s="1167"/>
      <c r="FI5" s="1163"/>
      <c r="FJ5" s="1672" t="str">
        <f aca="false">CW19</f>
        <v>Net Profit</v>
      </c>
      <c r="FK5" s="1672"/>
      <c r="FL5" s="1672"/>
      <c r="FM5" s="1667"/>
      <c r="FN5" s="1667"/>
      <c r="FO5" s="1217"/>
      <c r="FP5" s="1217"/>
      <c r="FQ5" s="1218"/>
      <c r="FR5" s="1218"/>
      <c r="FS5" s="1218"/>
      <c r="FT5" s="1167"/>
      <c r="FU5" s="1646"/>
      <c r="FV5" s="1664" t="s">
        <v>1909</v>
      </c>
      <c r="FW5" s="1217" t="n">
        <f aca="false">'Sensitivity Analysis'!BK21</f>
        <v>4265300.46006121</v>
      </c>
      <c r="FX5" s="1217" t="n">
        <f aca="false">'Sensitivity Analysis'!BL21</f>
        <v>36292055.1352357</v>
      </c>
      <c r="FY5" s="1218" t="n">
        <f aca="false">'Sensitivity Analysis'!BM21</f>
        <v>98637726.3210891</v>
      </c>
      <c r="FZ5" s="1189"/>
      <c r="GA5" s="1163"/>
      <c r="GB5" s="1664"/>
      <c r="GC5" s="1217"/>
      <c r="GD5" s="1217"/>
      <c r="GE5" s="1218"/>
      <c r="GF5" s="1189"/>
      <c r="GG5" s="1163"/>
      <c r="GH5" s="1664"/>
      <c r="GI5" s="1217"/>
      <c r="GJ5" s="1217"/>
      <c r="GK5" s="1218"/>
      <c r="GL5" s="1218"/>
      <c r="GM5" s="1218"/>
      <c r="GN5" s="1189"/>
      <c r="GO5" s="1189"/>
      <c r="GP5" s="1167"/>
      <c r="GQ5" s="1167"/>
      <c r="GR5" s="1167"/>
      <c r="GS5" s="1167"/>
      <c r="GT5" s="1167"/>
      <c r="GU5" s="1167"/>
      <c r="GV5" s="1163"/>
      <c r="GW5" s="1224"/>
      <c r="GX5" s="1217"/>
      <c r="GY5" s="1217"/>
      <c r="GZ5" s="1218"/>
      <c r="HA5" s="1218"/>
      <c r="HB5" s="1218"/>
      <c r="HC5" s="1189"/>
      <c r="HD5" s="1189"/>
      <c r="HE5" s="1189"/>
      <c r="HF5" s="1189"/>
      <c r="HG5" s="1651"/>
      <c r="HH5" s="1664"/>
      <c r="HI5" s="1217"/>
      <c r="HJ5" s="1217"/>
      <c r="HK5" s="1218"/>
      <c r="HL5" s="1218"/>
      <c r="HM5" s="1218"/>
      <c r="HN5" s="1167"/>
      <c r="HO5" s="1167"/>
      <c r="HP5" s="1167"/>
      <c r="HQ5" s="1167"/>
      <c r="HR5" s="1167"/>
      <c r="HS5" s="1163"/>
      <c r="HT5" s="1670"/>
      <c r="HU5" s="1221"/>
      <c r="HV5" s="1221"/>
      <c r="HW5" s="1221"/>
      <c r="HX5" s="1221"/>
      <c r="HY5" s="1221"/>
      <c r="HZ5" s="1221"/>
      <c r="IA5" s="1221"/>
      <c r="IB5" s="1221"/>
      <c r="IC5" s="1221"/>
      <c r="ID5" s="1221"/>
      <c r="IE5" s="1221"/>
      <c r="IF5" s="1222"/>
    </row>
    <row r="6" customFormat="false" ht="12.75" hidden="false" customHeight="true" outlineLevel="0" collapsed="false">
      <c r="A6" s="1633"/>
      <c r="B6" s="1279" t="str">
        <f aca="false">'Sources &amp; Uses'!A12</f>
        <v>USES OF FUNDS</v>
      </c>
      <c r="C6" s="1279"/>
      <c r="D6" s="1167"/>
      <c r="E6" s="1633"/>
      <c r="F6" s="1279" t="str">
        <f aca="false">B6</f>
        <v>USES OF FUNDS</v>
      </c>
      <c r="G6" s="1279"/>
      <c r="H6" s="1167"/>
      <c r="I6" s="1157"/>
      <c r="J6" s="1672"/>
      <c r="K6" s="1217"/>
      <c r="L6" s="1217"/>
      <c r="M6" s="1218"/>
      <c r="N6" s="1218"/>
      <c r="O6" s="1218"/>
      <c r="P6" s="1189"/>
      <c r="Q6" s="1189"/>
      <c r="R6" s="1230"/>
      <c r="S6" s="1157"/>
      <c r="T6" s="1674"/>
      <c r="U6" s="1221"/>
      <c r="V6" s="1221"/>
      <c r="W6" s="1221"/>
      <c r="X6" s="1221"/>
      <c r="Y6" s="1221"/>
      <c r="Z6" s="1221"/>
      <c r="AA6" s="1221"/>
      <c r="AB6" s="1221"/>
      <c r="AC6" s="1221"/>
      <c r="AD6" s="1221"/>
      <c r="AE6" s="1221"/>
      <c r="AF6" s="1222"/>
      <c r="AG6" s="1167"/>
      <c r="AH6" s="1163"/>
      <c r="AI6" s="1224"/>
      <c r="AJ6" s="1667"/>
      <c r="AK6" s="1667"/>
      <c r="AL6" s="1217"/>
      <c r="AM6" s="1217"/>
      <c r="AN6" s="1218"/>
      <c r="AO6" s="1218"/>
      <c r="AP6" s="1218"/>
      <c r="AQ6" s="1189"/>
      <c r="AR6" s="1189"/>
      <c r="AS6" s="1189"/>
      <c r="AT6" s="1163"/>
      <c r="AU6" s="1666"/>
      <c r="AV6" s="1246"/>
      <c r="AW6" s="1246"/>
      <c r="AX6" s="1246"/>
      <c r="AY6" s="1246"/>
      <c r="AZ6" s="1246"/>
      <c r="BA6" s="1246"/>
      <c r="BB6" s="1246"/>
      <c r="BC6" s="1246"/>
      <c r="BD6" s="1246"/>
      <c r="BE6" s="1246"/>
      <c r="BF6" s="1246"/>
      <c r="BG6" s="1247"/>
      <c r="BH6" s="1189"/>
      <c r="BI6" s="1189"/>
      <c r="BJ6" s="1189"/>
      <c r="BK6" s="1224" t="str">
        <f aca="false">Revenue!A77</f>
        <v>SS-3</v>
      </c>
      <c r="BL6" s="1217" t="n">
        <f aca="false">Revenue!BJ76</f>
        <v>5779.16666666667</v>
      </c>
      <c r="BM6" s="1217" t="n">
        <f aca="false">Revenue!BK76</f>
        <v>27550</v>
      </c>
      <c r="BN6" s="1218" t="n">
        <f aca="false">Revenue!BL76</f>
        <v>66500</v>
      </c>
      <c r="BO6" s="1218" t="n">
        <f aca="false">Revenue!BM76</f>
        <v>66500</v>
      </c>
      <c r="BP6" s="1218" t="n">
        <f aca="false">Revenue!BN76</f>
        <v>66500</v>
      </c>
      <c r="BQ6" s="1189"/>
      <c r="BR6" s="1189"/>
      <c r="BS6" s="1198"/>
      <c r="BT6" s="1189"/>
      <c r="BU6" s="1666" t="str">
        <f aca="false">Revenue!A77</f>
        <v>SS-3</v>
      </c>
      <c r="BV6" s="1221" t="n">
        <f aca="false">Revenue!G76</f>
        <v>316.666666666667</v>
      </c>
      <c r="BW6" s="1221" t="n">
        <f aca="false">Revenue!H76</f>
        <v>475</v>
      </c>
      <c r="BX6" s="1221" t="n">
        <f aca="false">Revenue!I76</f>
        <v>633.333333333333</v>
      </c>
      <c r="BY6" s="1221" t="n">
        <f aca="false">Revenue!J76</f>
        <v>791.666666666667</v>
      </c>
      <c r="BZ6" s="1221" t="n">
        <f aca="false">Revenue!K76</f>
        <v>950</v>
      </c>
      <c r="CA6" s="1221" t="n">
        <f aca="false">Revenue!L76</f>
        <v>1108.33333333333</v>
      </c>
      <c r="CB6" s="1221" t="n">
        <f aca="false">Revenue!M76</f>
        <v>1266.66666666667</v>
      </c>
      <c r="CC6" s="1221" t="n">
        <f aca="false">Revenue!N76</f>
        <v>1425</v>
      </c>
      <c r="CD6" s="1221" t="n">
        <f aca="false">Revenue!O76</f>
        <v>1583.33333333333</v>
      </c>
      <c r="CE6" s="1221"/>
      <c r="CF6" s="1221"/>
      <c r="CG6" s="1222"/>
      <c r="CH6" s="1189"/>
      <c r="CI6" s="1189"/>
      <c r="CJ6" s="1641"/>
      <c r="CK6" s="1676" t="str">
        <f aca="false">'P&amp;L'!A29</f>
        <v>Facility Lease</v>
      </c>
      <c r="CL6" s="1667"/>
      <c r="CM6" s="1667"/>
      <c r="CN6" s="1669" t="n">
        <f aca="false">'P&amp;L'!BJ29</f>
        <v>3600000</v>
      </c>
      <c r="CO6" s="1669" t="n">
        <f aca="false">'P&amp;L'!BK29</f>
        <v>3780000</v>
      </c>
      <c r="CP6" s="1669" t="n">
        <f aca="false">'P&amp;L'!BL29</f>
        <v>3969000</v>
      </c>
      <c r="CQ6" s="1218" t="n">
        <f aca="false">'P&amp;L'!BM29</f>
        <v>4167450</v>
      </c>
      <c r="CR6" s="1218" t="n">
        <f aca="false">'P&amp;L'!BN29</f>
        <v>4375822.5</v>
      </c>
      <c r="CS6" s="1189"/>
      <c r="CT6" s="1189"/>
      <c r="CU6" s="1167"/>
      <c r="CV6" s="1157"/>
      <c r="CW6" s="1671" t="str">
        <f aca="false">CK6</f>
        <v>Facility Lease</v>
      </c>
      <c r="CX6" s="1221" t="n">
        <f aca="false">'P&amp;L'!B29</f>
        <v>300000</v>
      </c>
      <c r="CY6" s="1221" t="n">
        <f aca="false">'P&amp;L'!C29</f>
        <v>300000</v>
      </c>
      <c r="CZ6" s="1221" t="n">
        <f aca="false">'P&amp;L'!D29</f>
        <v>300000</v>
      </c>
      <c r="DA6" s="1221" t="n">
        <f aca="false">'P&amp;L'!E29</f>
        <v>300000</v>
      </c>
      <c r="DB6" s="1221" t="n">
        <f aca="false">'P&amp;L'!F29</f>
        <v>300000</v>
      </c>
      <c r="DC6" s="1221" t="n">
        <f aca="false">'P&amp;L'!G29</f>
        <v>300000</v>
      </c>
      <c r="DD6" s="1221" t="n">
        <f aca="false">'P&amp;L'!H29</f>
        <v>300000</v>
      </c>
      <c r="DE6" s="1221" t="n">
        <f aca="false">'P&amp;L'!I29</f>
        <v>300000</v>
      </c>
      <c r="DF6" s="1221" t="n">
        <f aca="false">'P&amp;L'!J29</f>
        <v>300000</v>
      </c>
      <c r="DG6" s="1221" t="n">
        <f aca="false">'P&amp;L'!K29</f>
        <v>300000</v>
      </c>
      <c r="DH6" s="1221" t="n">
        <f aca="false">'P&amp;L'!L29</f>
        <v>300000</v>
      </c>
      <c r="DI6" s="1222" t="n">
        <f aca="false">'P&amp;L'!M29</f>
        <v>300000</v>
      </c>
      <c r="DJ6" s="1167"/>
      <c r="DK6" s="1163"/>
      <c r="DL6" s="1226" t="str">
        <f aca="false">'Cash Flow'!A28</f>
        <v>Accounts Receivable</v>
      </c>
      <c r="DM6" s="1669" t="n">
        <f aca="false">'Cash Flow'!BH28</f>
        <v>-0</v>
      </c>
      <c r="DN6" s="1669" t="n">
        <f aca="false">'Cash Flow'!BI28</f>
        <v>-0</v>
      </c>
      <c r="DO6" s="1669" t="n">
        <f aca="false">'Cash Flow'!BJ28</f>
        <v>-2117739.91946771</v>
      </c>
      <c r="DP6" s="1218" t="n">
        <f aca="false">'Cash Flow'!BK28</f>
        <v>-5078147.79367515</v>
      </c>
      <c r="DQ6" s="1218" t="n">
        <f aca="false">'Cash Flow'!BL28</f>
        <v>-6541716.10285714</v>
      </c>
      <c r="DR6" s="1189"/>
      <c r="DS6" s="1189"/>
      <c r="DT6" s="1274"/>
      <c r="DU6" s="1157"/>
      <c r="DV6" s="1666" t="str">
        <f aca="false">DL6</f>
        <v>Accounts Receivable</v>
      </c>
      <c r="DW6" s="1246" t="n">
        <f aca="false">'Cash Flow'!B28</f>
        <v>0</v>
      </c>
      <c r="DX6" s="1246" t="n">
        <f aca="false">'Cash Flow'!C28</f>
        <v>-0</v>
      </c>
      <c r="DY6" s="1246" t="n">
        <f aca="false">'Cash Flow'!D28</f>
        <v>-904.576438356164</v>
      </c>
      <c r="DZ6" s="1246" t="n">
        <f aca="false">'Cash Flow'!E28</f>
        <v>-131454.168528376</v>
      </c>
      <c r="EA6" s="1246" t="n">
        <f aca="false">'Cash Flow'!F28</f>
        <v>-132358.744966732</v>
      </c>
      <c r="EB6" s="1246" t="n">
        <f aca="false">'Cash Flow'!G28</f>
        <v>-264717.489933464</v>
      </c>
      <c r="EC6" s="1246" t="n">
        <f aca="false">'Cash Flow'!H28</f>
        <v>-264717.489933464</v>
      </c>
      <c r="ED6" s="1246" t="n">
        <f aca="false">'Cash Flow'!I28</f>
        <v>-264717.489933463</v>
      </c>
      <c r="EE6" s="1246" t="n">
        <f aca="false">'Cash Flow'!J28</f>
        <v>-264717.489933465</v>
      </c>
      <c r="EF6" s="1246" t="n">
        <f aca="false">'Cash Flow'!K28</f>
        <v>-264717.489933463</v>
      </c>
      <c r="EG6" s="1246" t="n">
        <f aca="false">'Cash Flow'!L28</f>
        <v>-264717.489933464</v>
      </c>
      <c r="EH6" s="1222" t="n">
        <f aca="false">'Cash Flow'!M28</f>
        <v>-264717.489933463</v>
      </c>
      <c r="EI6" s="1274"/>
      <c r="EJ6" s="1157"/>
      <c r="EK6" s="1224" t="str">
        <f aca="false">'Balance Sheet'!A5</f>
        <v>Inventory</v>
      </c>
      <c r="EL6" s="1217" t="n">
        <f aca="false">'Balance Sheet'!BJ5</f>
        <v>0</v>
      </c>
      <c r="EM6" s="1217" t="n">
        <f aca="false">'Balance Sheet'!BK5</f>
        <v>0</v>
      </c>
      <c r="EN6" s="1218" t="n">
        <f aca="false">'Balance Sheet'!BL5</f>
        <v>0</v>
      </c>
      <c r="EO6" s="1218" t="n">
        <f aca="false">'Balance Sheet'!BM5</f>
        <v>0</v>
      </c>
      <c r="EP6" s="1218" t="n">
        <f aca="false">'Balance Sheet'!BN5</f>
        <v>0</v>
      </c>
      <c r="EQ6" s="1189"/>
      <c r="ER6" s="1189"/>
      <c r="ES6" s="1167"/>
      <c r="ET6" s="1157"/>
      <c r="EU6" s="1666" t="str">
        <f aca="false">EK6</f>
        <v>Inventory</v>
      </c>
      <c r="EV6" s="1246" t="n">
        <f aca="false">'Balance Sheet'!B5</f>
        <v>0</v>
      </c>
      <c r="EW6" s="1246" t="n">
        <f aca="false">'Balance Sheet'!C5</f>
        <v>0</v>
      </c>
      <c r="EX6" s="1246" t="n">
        <f aca="false">'Balance Sheet'!D5</f>
        <v>0</v>
      </c>
      <c r="EY6" s="1246" t="n">
        <f aca="false">'Balance Sheet'!E5</f>
        <v>0</v>
      </c>
      <c r="EZ6" s="1246" t="n">
        <f aca="false">'Balance Sheet'!F5</f>
        <v>0</v>
      </c>
      <c r="FA6" s="1246" t="n">
        <f aca="false">'Balance Sheet'!G5</f>
        <v>0</v>
      </c>
      <c r="FB6" s="1246" t="n">
        <f aca="false">'Balance Sheet'!H5</f>
        <v>0</v>
      </c>
      <c r="FC6" s="1246" t="n">
        <f aca="false">'Balance Sheet'!I5</f>
        <v>0</v>
      </c>
      <c r="FD6" s="1246" t="n">
        <f aca="false">'Balance Sheet'!J5</f>
        <v>0</v>
      </c>
      <c r="FE6" s="1246" t="n">
        <f aca="false">'Balance Sheet'!K5</f>
        <v>0</v>
      </c>
      <c r="FF6" s="1246" t="n">
        <f aca="false">'Balance Sheet'!L5</f>
        <v>0</v>
      </c>
      <c r="FG6" s="1247" t="n">
        <f aca="false">'Balance Sheet'!M5</f>
        <v>0</v>
      </c>
      <c r="FH6" s="1167"/>
      <c r="FI6" s="1163"/>
      <c r="FJ6" s="1677" t="s">
        <v>1911</v>
      </c>
      <c r="FK6" s="1678"/>
      <c r="FL6" s="1678"/>
      <c r="FM6" s="1667"/>
      <c r="FN6" s="1667"/>
      <c r="FO6" s="1217"/>
      <c r="FP6" s="1217"/>
      <c r="FQ6" s="1218"/>
      <c r="FR6" s="1218"/>
      <c r="FS6" s="1218"/>
      <c r="FT6" s="1167"/>
      <c r="FU6" s="1646"/>
      <c r="FV6" s="1664" t="s">
        <v>111</v>
      </c>
      <c r="FW6" s="1217" t="n">
        <f aca="false">'Sensitivity Analysis'!BK24</f>
        <v>-2892757.28488284</v>
      </c>
      <c r="FX6" s="1217" t="n">
        <f aca="false">'Sensitivity Analysis'!BL24</f>
        <v>15396772.5655743</v>
      </c>
      <c r="FY6" s="1218" t="n">
        <f aca="false">'Sensitivity Analysis'!BM24</f>
        <v>63609950.2575471</v>
      </c>
      <c r="FZ6" s="1189"/>
      <c r="GA6" s="1163"/>
      <c r="GB6" s="1679" t="s">
        <v>1896</v>
      </c>
      <c r="GC6" s="1306" t="n">
        <f aca="false">Existing!B1</f>
        <v>2028</v>
      </c>
      <c r="GD6" s="1306" t="n">
        <f aca="false">Existing!C1</f>
        <v>2027</v>
      </c>
      <c r="GE6" s="1307" t="n">
        <f aca="false">GE1</f>
        <v>2026</v>
      </c>
      <c r="GF6" s="1189"/>
      <c r="GG6" s="1163"/>
      <c r="GH6" s="1664" t="s">
        <v>1910</v>
      </c>
      <c r="GI6" s="1217"/>
      <c r="GJ6" s="1217"/>
      <c r="GK6" s="1218"/>
      <c r="GL6" s="1218"/>
      <c r="GM6" s="1218"/>
      <c r="GN6" s="1189"/>
      <c r="GO6" s="1189"/>
      <c r="GP6" s="1167"/>
      <c r="GQ6" s="1167"/>
      <c r="GR6" s="1167"/>
      <c r="GS6" s="1167"/>
      <c r="GT6" s="1167"/>
      <c r="GU6" s="1167"/>
      <c r="GV6" s="1163"/>
      <c r="GW6" s="1224"/>
      <c r="GX6" s="1217"/>
      <c r="GY6" s="1217"/>
      <c r="GZ6" s="1218"/>
      <c r="HA6" s="1218"/>
      <c r="HB6" s="1218"/>
      <c r="HC6" s="1189"/>
      <c r="HD6" s="1189"/>
      <c r="HE6" s="1189"/>
      <c r="HF6" s="1189"/>
      <c r="HG6" s="1651"/>
      <c r="HH6" s="1664"/>
      <c r="HI6" s="1217"/>
      <c r="HJ6" s="1217"/>
      <c r="HK6" s="1218"/>
      <c r="HL6" s="1218"/>
      <c r="HM6" s="1218"/>
      <c r="HN6" s="1167"/>
      <c r="HO6" s="1167"/>
      <c r="HP6" s="1167"/>
      <c r="HQ6" s="1167"/>
      <c r="HR6" s="1167"/>
      <c r="HS6" s="1163"/>
      <c r="HT6" s="1670"/>
      <c r="HU6" s="1221"/>
      <c r="HV6" s="1221"/>
      <c r="HW6" s="1221"/>
      <c r="HX6" s="1221"/>
      <c r="HY6" s="1221"/>
      <c r="HZ6" s="1221"/>
      <c r="IA6" s="1221"/>
      <c r="IB6" s="1221"/>
      <c r="IC6" s="1221"/>
      <c r="ID6" s="1221"/>
      <c r="IE6" s="1221"/>
      <c r="IF6" s="1222"/>
    </row>
    <row r="7" customFormat="false" ht="12.75" hidden="false" customHeight="true" outlineLevel="0" collapsed="false">
      <c r="A7" s="1633"/>
      <c r="B7" s="1289" t="str">
        <f aca="false">'Sources &amp; Uses'!A13</f>
        <v>Start-up Expenses</v>
      </c>
      <c r="C7" s="1184"/>
      <c r="D7" s="1167"/>
      <c r="E7" s="1633"/>
      <c r="F7" s="1183" t="n">
        <f aca="false">'Sources &amp; Uses'!E10</f>
        <v>0</v>
      </c>
      <c r="G7" s="1184" t="n">
        <f aca="false">'Sources &amp; Uses'!F10</f>
        <v>0</v>
      </c>
      <c r="H7" s="1167"/>
      <c r="I7" s="1157"/>
      <c r="J7" s="1672" t="str">
        <f aca="false">T7</f>
        <v>Personnel Wage</v>
      </c>
      <c r="K7" s="1217"/>
      <c r="L7" s="1217"/>
      <c r="M7" s="1218"/>
      <c r="N7" s="1218"/>
      <c r="O7" s="1218"/>
      <c r="P7" s="1189"/>
      <c r="Q7" s="1189"/>
      <c r="R7" s="1230"/>
      <c r="S7" s="1157"/>
      <c r="T7" s="1674" t="str">
        <f aca="false">Personnel!A16</f>
        <v>Personnel Wage</v>
      </c>
      <c r="U7" s="1221"/>
      <c r="V7" s="1221"/>
      <c r="W7" s="1221"/>
      <c r="X7" s="1221"/>
      <c r="Y7" s="1221"/>
      <c r="Z7" s="1221"/>
      <c r="AA7" s="1221"/>
      <c r="AB7" s="1221"/>
      <c r="AC7" s="1221"/>
      <c r="AD7" s="1221"/>
      <c r="AE7" s="1221"/>
      <c r="AF7" s="1222"/>
      <c r="AG7" s="1167"/>
      <c r="AH7" s="1163"/>
      <c r="AI7" s="1224"/>
      <c r="AJ7" s="1667" t="n">
        <v>0</v>
      </c>
      <c r="AK7" s="1667"/>
      <c r="AL7" s="1217"/>
      <c r="AM7" s="1217"/>
      <c r="AN7" s="1218"/>
      <c r="AO7" s="1218"/>
      <c r="AP7" s="1218"/>
      <c r="AQ7" s="1189"/>
      <c r="AR7" s="1189"/>
      <c r="AS7" s="1189"/>
      <c r="AT7" s="1163"/>
      <c r="AU7" s="1666"/>
      <c r="AV7" s="1246"/>
      <c r="AW7" s="1246"/>
      <c r="AX7" s="1246"/>
      <c r="AY7" s="1246"/>
      <c r="AZ7" s="1246"/>
      <c r="BA7" s="1246"/>
      <c r="BB7" s="1246"/>
      <c r="BC7" s="1246"/>
      <c r="BD7" s="1246"/>
      <c r="BE7" s="1246"/>
      <c r="BF7" s="1246"/>
      <c r="BG7" s="1247"/>
      <c r="BH7" s="1189"/>
      <c r="BI7" s="1189"/>
      <c r="BJ7" s="1189"/>
      <c r="BK7" s="1224" t="str">
        <f aca="false">Revenue!A78</f>
        <v>SS-4</v>
      </c>
      <c r="BL7" s="1217" t="n">
        <f aca="false">Revenue!BJ77</f>
        <v>7430.35714285714</v>
      </c>
      <c r="BM7" s="1217" t="n">
        <f aca="false">Revenue!BK77</f>
        <v>35421.4285714286</v>
      </c>
      <c r="BN7" s="1218" t="n">
        <f aca="false">Revenue!BL77</f>
        <v>85500</v>
      </c>
      <c r="BO7" s="1218" t="n">
        <f aca="false">Revenue!BM77</f>
        <v>85500</v>
      </c>
      <c r="BP7" s="1218" t="n">
        <f aca="false">Revenue!BN77</f>
        <v>85500</v>
      </c>
      <c r="BQ7" s="1189"/>
      <c r="BR7" s="1189"/>
      <c r="BS7" s="1198"/>
      <c r="BT7" s="1189"/>
      <c r="BU7" s="1666" t="str">
        <f aca="false">Revenue!A78</f>
        <v>SS-4</v>
      </c>
      <c r="BV7" s="1221" t="n">
        <f aca="false">Revenue!G77</f>
        <v>407.142857142857</v>
      </c>
      <c r="BW7" s="1221" t="n">
        <f aca="false">Revenue!H77</f>
        <v>610.714285714286</v>
      </c>
      <c r="BX7" s="1221" t="n">
        <f aca="false">Revenue!I77</f>
        <v>814.285714285714</v>
      </c>
      <c r="BY7" s="1221" t="n">
        <f aca="false">Revenue!J77</f>
        <v>1017.85714285714</v>
      </c>
      <c r="BZ7" s="1221" t="n">
        <f aca="false">Revenue!K77</f>
        <v>1221.42857142857</v>
      </c>
      <c r="CA7" s="1221" t="n">
        <f aca="false">Revenue!L77</f>
        <v>1425</v>
      </c>
      <c r="CB7" s="1221" t="n">
        <f aca="false">Revenue!M77</f>
        <v>1628.57142857143</v>
      </c>
      <c r="CC7" s="1221" t="n">
        <f aca="false">Revenue!N77</f>
        <v>1832.14285714286</v>
      </c>
      <c r="CD7" s="1221" t="n">
        <f aca="false">Revenue!O77</f>
        <v>2035.71428571429</v>
      </c>
      <c r="CE7" s="1221"/>
      <c r="CF7" s="1221"/>
      <c r="CG7" s="1222"/>
      <c r="CH7" s="1189"/>
      <c r="CI7" s="1189"/>
      <c r="CJ7" s="1641"/>
      <c r="CK7" s="1676" t="str">
        <f aca="false">'P&amp;L'!A30</f>
        <v>OH % Cost</v>
      </c>
      <c r="CL7" s="1667"/>
      <c r="CM7" s="1667"/>
      <c r="CN7" s="1669" t="n">
        <f aca="false">'P&amp;L'!BJ30</f>
        <v>979730.258344048</v>
      </c>
      <c r="CO7" s="1669" t="n">
        <f aca="false">'P&amp;L'!BK30</f>
        <v>6347372.62030143</v>
      </c>
      <c r="CP7" s="1669" t="n">
        <f aca="false">'P&amp;L'!BL30</f>
        <v>16714084.6428</v>
      </c>
      <c r="CQ7" s="1218" t="n">
        <f aca="false">'P&amp;L'!BM30</f>
        <v>18106925.0297</v>
      </c>
      <c r="CR7" s="1218" t="n">
        <f aca="false">'P&amp;L'!BN30</f>
        <v>19499765.4166</v>
      </c>
      <c r="CS7" s="1189"/>
      <c r="CT7" s="1189"/>
      <c r="CU7" s="1167"/>
      <c r="CV7" s="1157"/>
      <c r="CW7" s="1671" t="str">
        <f aca="false">CK7</f>
        <v>OH % Cost</v>
      </c>
      <c r="CX7" s="1221" t="n">
        <f aca="false">'P&amp;L'!B30</f>
        <v>0</v>
      </c>
      <c r="CY7" s="1221" t="n">
        <f aca="false">'P&amp;L'!C30</f>
        <v>0</v>
      </c>
      <c r="CZ7" s="1221" t="n">
        <f aca="false">'P&amp;L'!D30</f>
        <v>91.714</v>
      </c>
      <c r="DA7" s="1221" t="n">
        <f aca="false">'P&amp;L'!E30</f>
        <v>13419.7060869048</v>
      </c>
      <c r="DB7" s="1221" t="n">
        <f aca="false">'P&amp;L'!F30</f>
        <v>26839.4121738095</v>
      </c>
      <c r="DC7" s="1221" t="n">
        <f aca="false">'P&amp;L'!G30</f>
        <v>53678.8243476191</v>
      </c>
      <c r="DD7" s="1221" t="n">
        <f aca="false">'P&amp;L'!H30</f>
        <v>80518.2365214286</v>
      </c>
      <c r="DE7" s="1221" t="n">
        <f aca="false">'P&amp;L'!I30</f>
        <v>107357.648695238</v>
      </c>
      <c r="DF7" s="1221" t="n">
        <f aca="false">'P&amp;L'!J30</f>
        <v>134197.060869048</v>
      </c>
      <c r="DG7" s="1221" t="n">
        <f aca="false">'P&amp;L'!K30</f>
        <v>161036.473042857</v>
      </c>
      <c r="DH7" s="1221" t="n">
        <f aca="false">'P&amp;L'!L30</f>
        <v>187875.885216667</v>
      </c>
      <c r="DI7" s="1222" t="n">
        <f aca="false">'P&amp;L'!M30</f>
        <v>214715.297390476</v>
      </c>
      <c r="DJ7" s="1167"/>
      <c r="DK7" s="1163"/>
      <c r="DL7" s="1226" t="str">
        <f aca="false">'Cash Flow'!A29</f>
        <v>Inventory </v>
      </c>
      <c r="DM7" s="1669" t="n">
        <f aca="false">'Cash Flow'!BH29</f>
        <v>-0</v>
      </c>
      <c r="DN7" s="1669" t="n">
        <f aca="false">'Cash Flow'!BI29</f>
        <v>-0</v>
      </c>
      <c r="DO7" s="1669" t="n">
        <f aca="false">'Cash Flow'!BJ29</f>
        <v>0</v>
      </c>
      <c r="DP7" s="1218" t="n">
        <f aca="false">'Cash Flow'!BK29</f>
        <v>0</v>
      </c>
      <c r="DQ7" s="1218" t="n">
        <f aca="false">'Cash Flow'!BL29</f>
        <v>0</v>
      </c>
      <c r="DR7" s="1189"/>
      <c r="DS7" s="1189"/>
      <c r="DT7" s="1167"/>
      <c r="DU7" s="1157"/>
      <c r="DV7" s="1666" t="str">
        <f aca="false">DL7</f>
        <v>Inventory </v>
      </c>
      <c r="DW7" s="1246" t="n">
        <f aca="false">'Cash Flow'!B29</f>
        <v>-0</v>
      </c>
      <c r="DX7" s="1246" t="n">
        <f aca="false">'Cash Flow'!C29</f>
        <v>-0</v>
      </c>
      <c r="DY7" s="1246" t="n">
        <f aca="false">'Cash Flow'!D29</f>
        <v>-0</v>
      </c>
      <c r="DZ7" s="1246" t="n">
        <f aca="false">'Cash Flow'!E29</f>
        <v>-0</v>
      </c>
      <c r="EA7" s="1246" t="n">
        <f aca="false">'Cash Flow'!F29</f>
        <v>-0</v>
      </c>
      <c r="EB7" s="1246" t="n">
        <f aca="false">'Cash Flow'!G29</f>
        <v>-0</v>
      </c>
      <c r="EC7" s="1246" t="n">
        <f aca="false">'Cash Flow'!H29</f>
        <v>-0</v>
      </c>
      <c r="ED7" s="1246" t="n">
        <f aca="false">'Cash Flow'!I29</f>
        <v>-0</v>
      </c>
      <c r="EE7" s="1246" t="n">
        <f aca="false">'Cash Flow'!J29</f>
        <v>-0</v>
      </c>
      <c r="EF7" s="1246" t="n">
        <f aca="false">'Cash Flow'!K29</f>
        <v>-0</v>
      </c>
      <c r="EG7" s="1246" t="n">
        <f aca="false">'Cash Flow'!L29</f>
        <v>-0</v>
      </c>
      <c r="EH7" s="1222" t="n">
        <f aca="false">'Cash Flow'!M29</f>
        <v>-0</v>
      </c>
      <c r="EI7" s="1167"/>
      <c r="EJ7" s="1157"/>
      <c r="EK7" s="1224" t="str">
        <f aca="false">'Balance Sheet'!A6</f>
        <v>Other Current Assets</v>
      </c>
      <c r="EL7" s="1217" t="n">
        <f aca="false">'Balance Sheet'!BJ6</f>
        <v>0</v>
      </c>
      <c r="EM7" s="1217" t="n">
        <f aca="false">'Balance Sheet'!BK6</f>
        <v>0</v>
      </c>
      <c r="EN7" s="1218" t="n">
        <f aca="false">'Balance Sheet'!BL6</f>
        <v>0</v>
      </c>
      <c r="EO7" s="1218" t="n">
        <f aca="false">'Balance Sheet'!BM6</f>
        <v>0</v>
      </c>
      <c r="EP7" s="1218" t="n">
        <f aca="false">'Balance Sheet'!BN6</f>
        <v>0</v>
      </c>
      <c r="EQ7" s="1189"/>
      <c r="ER7" s="1189"/>
      <c r="ES7" s="1167"/>
      <c r="ET7" s="1157"/>
      <c r="EU7" s="1666" t="str">
        <f aca="false">EK7</f>
        <v>Other Current Assets</v>
      </c>
      <c r="EV7" s="1246" t="n">
        <f aca="false">'Balance Sheet'!B6</f>
        <v>0</v>
      </c>
      <c r="EW7" s="1246" t="n">
        <f aca="false">'Balance Sheet'!C6</f>
        <v>0</v>
      </c>
      <c r="EX7" s="1246" t="n">
        <f aca="false">'Balance Sheet'!D6</f>
        <v>0</v>
      </c>
      <c r="EY7" s="1246" t="n">
        <f aca="false">'Balance Sheet'!E6</f>
        <v>0</v>
      </c>
      <c r="EZ7" s="1246" t="n">
        <f aca="false">'Balance Sheet'!F6</f>
        <v>0</v>
      </c>
      <c r="FA7" s="1246" t="n">
        <f aca="false">'Balance Sheet'!G6</f>
        <v>0</v>
      </c>
      <c r="FB7" s="1246" t="n">
        <f aca="false">'Balance Sheet'!H6</f>
        <v>0</v>
      </c>
      <c r="FC7" s="1246" t="n">
        <f aca="false">'Balance Sheet'!I6</f>
        <v>0</v>
      </c>
      <c r="FD7" s="1246" t="n">
        <f aca="false">'Balance Sheet'!J6</f>
        <v>0</v>
      </c>
      <c r="FE7" s="1246" t="n">
        <f aca="false">'Balance Sheet'!K6</f>
        <v>0</v>
      </c>
      <c r="FF7" s="1246" t="n">
        <f aca="false">'Balance Sheet'!L6</f>
        <v>0</v>
      </c>
      <c r="FG7" s="1247" t="n">
        <f aca="false">'Balance Sheet'!M6</f>
        <v>0</v>
      </c>
      <c r="FH7" s="1167"/>
      <c r="FI7" s="1163"/>
      <c r="FJ7" s="1677"/>
      <c r="FK7" s="1680"/>
      <c r="FL7" s="1680"/>
      <c r="FM7" s="1667"/>
      <c r="FN7" s="1667"/>
      <c r="FO7" s="1217"/>
      <c r="FP7" s="1217"/>
      <c r="FQ7" s="1218"/>
      <c r="FR7" s="1218"/>
      <c r="FS7" s="1218"/>
      <c r="FT7" s="1167"/>
      <c r="FU7" s="1646"/>
      <c r="FV7" s="1664" t="s">
        <v>2077</v>
      </c>
      <c r="FW7" s="1217" t="n">
        <f aca="false">IFERROR(FW6/FW4,"N/A")</f>
        <v>-0.256748334132402</v>
      </c>
      <c r="FX7" s="1217" t="n">
        <f aca="false">IFERROR(FX6/FX4,"N/A")</f>
        <v>0.21092976076883</v>
      </c>
      <c r="FY7" s="1218" t="n">
        <f aca="false">IFERROR(FY6/FY4,"N/A")</f>
        <v>0.330936461110848</v>
      </c>
      <c r="FZ7" s="1189"/>
      <c r="GA7" s="1163"/>
      <c r="GB7" s="1664" t="s">
        <v>1492</v>
      </c>
      <c r="GC7" s="1217"/>
      <c r="GD7" s="1217"/>
      <c r="GE7" s="1218"/>
      <c r="GF7" s="1189"/>
      <c r="GG7" s="1163"/>
      <c r="GH7" s="1664" t="s">
        <v>1912</v>
      </c>
      <c r="GI7" s="1217"/>
      <c r="GJ7" s="1217" t="n">
        <f aca="false">Personnel!BR28</f>
        <v>0</v>
      </c>
      <c r="GK7" s="1218" t="n">
        <f aca="false">Personnel!BS28</f>
        <v>0</v>
      </c>
      <c r="GL7" s="1218" t="n">
        <f aca="false">Personnel!BT28</f>
        <v>0</v>
      </c>
      <c r="GM7" s="1218" t="n">
        <f aca="false">Personnel!BU28</f>
        <v>0</v>
      </c>
      <c r="GN7" s="1189"/>
      <c r="GO7" s="1189"/>
      <c r="GP7" s="1167"/>
      <c r="GQ7" s="1167"/>
      <c r="GR7" s="1167"/>
      <c r="GS7" s="1167"/>
      <c r="GT7" s="1167"/>
      <c r="GU7" s="1167"/>
      <c r="GV7" s="1163"/>
      <c r="GW7" s="1224"/>
      <c r="GX7" s="1217"/>
      <c r="GY7" s="1217"/>
      <c r="GZ7" s="1218"/>
      <c r="HA7" s="1218"/>
      <c r="HB7" s="1218"/>
      <c r="HC7" s="1189"/>
      <c r="HD7" s="1189"/>
      <c r="HE7" s="1189"/>
      <c r="HF7" s="1189"/>
      <c r="HG7" s="1651"/>
      <c r="HH7" s="1224"/>
      <c r="HI7" s="1217"/>
      <c r="HJ7" s="1217"/>
      <c r="HK7" s="1218"/>
      <c r="HL7" s="1218"/>
      <c r="HM7" s="1218"/>
      <c r="HN7" s="1167"/>
      <c r="HO7" s="1167"/>
      <c r="HP7" s="1167"/>
      <c r="HQ7" s="1167"/>
      <c r="HR7" s="1167"/>
      <c r="HS7" s="1163"/>
      <c r="HT7" s="1670"/>
      <c r="HU7" s="1221"/>
      <c r="HV7" s="1221"/>
      <c r="HW7" s="1221"/>
      <c r="HX7" s="1221"/>
      <c r="HY7" s="1221"/>
      <c r="HZ7" s="1221"/>
      <c r="IA7" s="1221"/>
      <c r="IB7" s="1221"/>
      <c r="IC7" s="1221"/>
      <c r="ID7" s="1221"/>
      <c r="IE7" s="1221"/>
      <c r="IF7" s="1222"/>
    </row>
    <row r="8" customFormat="false" ht="12.75" hidden="false" customHeight="true" outlineLevel="0" collapsed="false">
      <c r="A8" s="1633"/>
      <c r="B8" s="1300" t="n">
        <f aca="false">'Sources &amp; Uses'!A14</f>
        <v>0</v>
      </c>
      <c r="C8" s="1184" t="n">
        <f aca="false">'Sources &amp; Uses'!B14</f>
        <v>0</v>
      </c>
      <c r="D8" s="1167"/>
      <c r="E8" s="1633"/>
      <c r="F8" s="1183" t="n">
        <f aca="false">'Sources &amp; Uses'!E11</f>
        <v>0</v>
      </c>
      <c r="G8" s="1184" t="n">
        <f aca="false">'Sources &amp; Uses'!F11</f>
        <v>0</v>
      </c>
      <c r="H8" s="1167"/>
      <c r="I8" s="1157"/>
      <c r="J8" s="1224" t="str">
        <f aca="false">Personnel!A17</f>
        <v>Trades</v>
      </c>
      <c r="K8" s="1217" t="n">
        <f aca="false">Personnel!BL17</f>
        <v>2412800</v>
      </c>
      <c r="L8" s="1217" t="n">
        <f aca="false">Personnel!BM17</f>
        <v>2533440</v>
      </c>
      <c r="M8" s="1218" t="n">
        <f aca="false">Personnel!BN17</f>
        <v>2660112</v>
      </c>
      <c r="N8" s="1218" t="n">
        <f aca="false">Personnel!BO17</f>
        <v>2793117.6</v>
      </c>
      <c r="O8" s="1218" t="n">
        <f aca="false">Personnel!BP17</f>
        <v>2932773.48</v>
      </c>
      <c r="P8" s="1189"/>
      <c r="Q8" s="1189"/>
      <c r="R8" s="1230"/>
      <c r="S8" s="1157"/>
      <c r="T8" s="1666" t="str">
        <f aca="false">Personnel!A17</f>
        <v>Trades</v>
      </c>
      <c r="U8" s="1221" t="n">
        <f aca="false">Personnel!D17</f>
        <v>41600</v>
      </c>
      <c r="V8" s="1221" t="n">
        <f aca="false">Personnel!E17</f>
        <v>83200</v>
      </c>
      <c r="W8" s="1221" t="n">
        <f aca="false">Personnel!F17</f>
        <v>104000</v>
      </c>
      <c r="X8" s="1221" t="n">
        <f aca="false">Personnel!G17</f>
        <v>104000</v>
      </c>
      <c r="Y8" s="1221" t="n">
        <f aca="false">Personnel!H17</f>
        <v>104000</v>
      </c>
      <c r="Z8" s="1221" t="n">
        <f aca="false">Personnel!I17</f>
        <v>156000</v>
      </c>
      <c r="AA8" s="1221" t="n">
        <f aca="false">Personnel!J17</f>
        <v>260000</v>
      </c>
      <c r="AB8" s="1221" t="n">
        <f aca="false">Personnel!K17</f>
        <v>312000</v>
      </c>
      <c r="AC8" s="1221" t="n">
        <f aca="false">Personnel!L17</f>
        <v>312000</v>
      </c>
      <c r="AD8" s="1221" t="n">
        <f aca="false">Personnel!M17</f>
        <v>312000</v>
      </c>
      <c r="AE8" s="1221" t="n">
        <f aca="false">Personnel!N17</f>
        <v>312000</v>
      </c>
      <c r="AF8" s="1222" t="n">
        <f aca="false">Personnel!O17</f>
        <v>312000</v>
      </c>
      <c r="AG8" s="1167"/>
      <c r="AH8" s="1163"/>
      <c r="AI8" s="1224"/>
      <c r="AJ8" s="1667"/>
      <c r="AK8" s="1667"/>
      <c r="AL8" s="1217"/>
      <c r="AM8" s="1217"/>
      <c r="AN8" s="1218"/>
      <c r="AO8" s="1218"/>
      <c r="AP8" s="1218"/>
      <c r="AQ8" s="1189"/>
      <c r="AR8" s="1189"/>
      <c r="AS8" s="1189"/>
      <c r="AT8" s="1163"/>
      <c r="AU8" s="1666"/>
      <c r="AV8" s="1246"/>
      <c r="AW8" s="1246"/>
      <c r="AX8" s="1246"/>
      <c r="AY8" s="1246"/>
      <c r="AZ8" s="1246"/>
      <c r="BA8" s="1246"/>
      <c r="BB8" s="1246"/>
      <c r="BC8" s="1246"/>
      <c r="BD8" s="1246"/>
      <c r="BE8" s="1246"/>
      <c r="BF8" s="1246"/>
      <c r="BG8" s="1247"/>
      <c r="BH8" s="1189"/>
      <c r="BI8" s="1189"/>
      <c r="BJ8" s="1189"/>
      <c r="BK8" s="1224" t="str">
        <f aca="false">Revenue!A79</f>
        <v>SS-6</v>
      </c>
      <c r="BL8" s="1217" t="n">
        <f aca="false">Revenue!BJ78</f>
        <v>7430.35714285714</v>
      </c>
      <c r="BM8" s="1217" t="n">
        <f aca="false">Revenue!BK78</f>
        <v>35421.4285714286</v>
      </c>
      <c r="BN8" s="1218" t="n">
        <f aca="false">Revenue!BL78</f>
        <v>85500</v>
      </c>
      <c r="BO8" s="1218" t="n">
        <f aca="false">Revenue!BM78</f>
        <v>85500</v>
      </c>
      <c r="BP8" s="1218" t="n">
        <f aca="false">Revenue!BN78</f>
        <v>85500</v>
      </c>
      <c r="BQ8" s="1189"/>
      <c r="BR8" s="1189"/>
      <c r="BS8" s="1198"/>
      <c r="BT8" s="1189"/>
      <c r="BU8" s="1666" t="str">
        <f aca="false">Revenue!A79</f>
        <v>SS-6</v>
      </c>
      <c r="BV8" s="1221" t="n">
        <f aca="false">Revenue!G78</f>
        <v>407.142857142857</v>
      </c>
      <c r="BW8" s="1221" t="n">
        <f aca="false">Revenue!H78</f>
        <v>610.714285714286</v>
      </c>
      <c r="BX8" s="1221" t="n">
        <f aca="false">Revenue!I78</f>
        <v>814.285714285714</v>
      </c>
      <c r="BY8" s="1221" t="n">
        <f aca="false">Revenue!J78</f>
        <v>1017.85714285714</v>
      </c>
      <c r="BZ8" s="1221" t="n">
        <f aca="false">Revenue!K78</f>
        <v>1221.42857142857</v>
      </c>
      <c r="CA8" s="1221" t="n">
        <f aca="false">Revenue!L78</f>
        <v>1425</v>
      </c>
      <c r="CB8" s="1221" t="n">
        <f aca="false">Revenue!M78</f>
        <v>1628.57142857143</v>
      </c>
      <c r="CC8" s="1221" t="n">
        <f aca="false">Revenue!N78</f>
        <v>1832.14285714286</v>
      </c>
      <c r="CD8" s="1221" t="n">
        <f aca="false">Revenue!O78</f>
        <v>2035.71428571429</v>
      </c>
      <c r="CE8" s="1221"/>
      <c r="CF8" s="1221"/>
      <c r="CG8" s="1222"/>
      <c r="CH8" s="1189"/>
      <c r="CI8" s="1189"/>
      <c r="CJ8" s="1641"/>
      <c r="CK8" s="1676" t="str">
        <f aca="false">'P&amp;L'!A31</f>
        <v/>
      </c>
      <c r="CL8" s="1667"/>
      <c r="CM8" s="1667"/>
      <c r="CN8" s="1669" t="n">
        <f aca="false">'P&amp;L'!BJ31</f>
        <v>0</v>
      </c>
      <c r="CO8" s="1669" t="n">
        <f aca="false">'P&amp;L'!BK31</f>
        <v>0</v>
      </c>
      <c r="CP8" s="1669" t="n">
        <f aca="false">'P&amp;L'!BL31</f>
        <v>0</v>
      </c>
      <c r="CQ8" s="1218" t="n">
        <f aca="false">'P&amp;L'!BM31</f>
        <v>0</v>
      </c>
      <c r="CR8" s="1218" t="n">
        <f aca="false">'P&amp;L'!BN31</f>
        <v>0</v>
      </c>
      <c r="CS8" s="1189"/>
      <c r="CT8" s="1189"/>
      <c r="CU8" s="1167"/>
      <c r="CV8" s="1157"/>
      <c r="CW8" s="1671" t="str">
        <f aca="false">CK8</f>
        <v/>
      </c>
      <c r="CX8" s="1221" t="n">
        <f aca="false">'P&amp;L'!B31</f>
        <v>0</v>
      </c>
      <c r="CY8" s="1221" t="n">
        <f aca="false">'P&amp;L'!C31</f>
        <v>0</v>
      </c>
      <c r="CZ8" s="1221" t="n">
        <f aca="false">'P&amp;L'!D31</f>
        <v>0</v>
      </c>
      <c r="DA8" s="1221" t="n">
        <f aca="false">'P&amp;L'!E31</f>
        <v>0</v>
      </c>
      <c r="DB8" s="1221" t="n">
        <f aca="false">'P&amp;L'!F31</f>
        <v>0</v>
      </c>
      <c r="DC8" s="1221" t="n">
        <f aca="false">'P&amp;L'!G31</f>
        <v>0</v>
      </c>
      <c r="DD8" s="1221" t="n">
        <f aca="false">'P&amp;L'!H31</f>
        <v>0</v>
      </c>
      <c r="DE8" s="1221" t="n">
        <f aca="false">'P&amp;L'!I31</f>
        <v>0</v>
      </c>
      <c r="DF8" s="1221" t="n">
        <f aca="false">'P&amp;L'!J31</f>
        <v>0</v>
      </c>
      <c r="DG8" s="1221" t="n">
        <f aca="false">'P&amp;L'!K31</f>
        <v>0</v>
      </c>
      <c r="DH8" s="1221" t="n">
        <f aca="false">'P&amp;L'!L31</f>
        <v>0</v>
      </c>
      <c r="DI8" s="1222" t="n">
        <f aca="false">'P&amp;L'!M31</f>
        <v>0</v>
      </c>
      <c r="DJ8" s="1167"/>
      <c r="DK8" s="1163"/>
      <c r="DL8" s="1226" t="str">
        <f aca="false">'Cash Flow'!A30</f>
        <v>Accounts Payable</v>
      </c>
      <c r="DM8" s="1669" t="n">
        <f aca="false">'Cash Flow'!BH30</f>
        <v>-763.383623441681</v>
      </c>
      <c r="DN8" s="1669" t="n">
        <f aca="false">'Cash Flow'!BI30</f>
        <v>-767.200541557744</v>
      </c>
      <c r="DO8" s="1669" t="n">
        <f aca="false">'Cash Flow'!BJ30</f>
        <v>2125220.08438693</v>
      </c>
      <c r="DP8" s="1218" t="n">
        <f aca="false">'Cash Flow'!BK30</f>
        <v>3712555.37436933</v>
      </c>
      <c r="DQ8" s="1218" t="n">
        <f aca="false">'Cash Flow'!BL30</f>
        <v>4243411.30101387</v>
      </c>
      <c r="DR8" s="1189"/>
      <c r="DS8" s="1189"/>
      <c r="DT8" s="1167"/>
      <c r="DU8" s="1157"/>
      <c r="DV8" s="1666" t="str">
        <f aca="false">DL8</f>
        <v>Accounts Payable</v>
      </c>
      <c r="DW8" s="1246" t="n">
        <f aca="false">'Cash Flow'!B30</f>
        <v>390383.972186301</v>
      </c>
      <c r="DX8" s="1246" t="n">
        <f aca="false">'Cash Flow'!C30</f>
        <v>16822.3561643835</v>
      </c>
      <c r="DY8" s="1246" t="n">
        <f aca="false">'Cash Flow'!D30</f>
        <v>9188.08553236793</v>
      </c>
      <c r="DZ8" s="1246" t="n">
        <f aca="false">'Cash Flow'!E30</f>
        <v>94709.0659023427</v>
      </c>
      <c r="EA8" s="1246" t="n">
        <f aca="false">'Cash Flow'!F30</f>
        <v>95485.973352519</v>
      </c>
      <c r="EB8" s="1246" t="n">
        <f aca="false">'Cash Flow'!G30</f>
        <v>211999.891910517</v>
      </c>
      <c r="EC8" s="1246" t="n">
        <f aca="false">'Cash Flow'!H30</f>
        <v>258349.250814627</v>
      </c>
      <c r="ED8" s="1246" t="n">
        <f aca="false">'Cash Flow'!I30</f>
        <v>229409.407537524</v>
      </c>
      <c r="EE8" s="1246" t="n">
        <f aca="false">'Cash Flow'!J30</f>
        <v>204850.694338573</v>
      </c>
      <c r="EF8" s="1246" t="n">
        <f aca="false">'Cash Flow'!K30</f>
        <v>205822.04793509</v>
      </c>
      <c r="EG8" s="1246" t="n">
        <f aca="false">'Cash Flow'!L30</f>
        <v>202547.362645392</v>
      </c>
      <c r="EH8" s="1222" t="n">
        <f aca="false">'Cash Flow'!M30</f>
        <v>205651.976067296</v>
      </c>
      <c r="EI8" s="1167"/>
      <c r="EJ8" s="1157"/>
      <c r="EK8" s="1672" t="s">
        <v>1799</v>
      </c>
      <c r="EL8" s="1217" t="n">
        <f aca="false">'Balance Sheet'!BJ7</f>
        <v>8462126.30069137</v>
      </c>
      <c r="EM8" s="1217" t="n">
        <f aca="false">'Balance Sheet'!BK7</f>
        <v>21131548.2218189</v>
      </c>
      <c r="EN8" s="1218" t="n">
        <f aca="false">'Balance Sheet'!BL7</f>
        <v>67911004.7456542</v>
      </c>
      <c r="EO8" s="1218" t="n">
        <f aca="false">'Balance Sheet'!BM7</f>
        <v>117343080.729165</v>
      </c>
      <c r="EP8" s="1218" t="n">
        <f aca="false">'Balance Sheet'!BN7</f>
        <v>173019445.410111</v>
      </c>
      <c r="EQ8" s="1189"/>
      <c r="ER8" s="1189"/>
      <c r="ES8" s="1167"/>
      <c r="ET8" s="1157"/>
      <c r="EU8" s="1674" t="str">
        <f aca="false">'Balance Sheet'!A7</f>
        <v>Total Current Assets</v>
      </c>
      <c r="EV8" s="1246" t="n">
        <f aca="false">'Balance Sheet'!B7</f>
        <v>9994578.0003863</v>
      </c>
      <c r="EW8" s="1246" t="n">
        <f aca="false">'Balance Sheet'!C7</f>
        <v>9598538.38475069</v>
      </c>
      <c r="EX8" s="1246" t="n">
        <f aca="false">'Balance Sheet'!D7</f>
        <v>9186465.94065162</v>
      </c>
      <c r="EY8" s="1246" t="n">
        <f aca="false">'Balance Sheet'!E7</f>
        <v>8897169.92819616</v>
      </c>
      <c r="EZ8" s="1246" t="n">
        <f aca="false">'Balance Sheet'!F7</f>
        <v>8646035.71663305</v>
      </c>
      <c r="FA8" s="1246" t="n">
        <f aca="false">'Balance Sheet'!G7</f>
        <v>8564865.21051232</v>
      </c>
      <c r="FB8" s="1246" t="n">
        <f aca="false">'Balance Sheet'!H7</f>
        <v>8505169.04121211</v>
      </c>
      <c r="FC8" s="1246" t="n">
        <f aca="false">'Balance Sheet'!I7</f>
        <v>8430441.81349871</v>
      </c>
      <c r="FD8" s="1246" t="n">
        <f aca="false">'Balance Sheet'!J7</f>
        <v>8374090.27519182</v>
      </c>
      <c r="FE8" s="1246" t="n">
        <f aca="false">'Balance Sheet'!K7</f>
        <v>8359260.51876296</v>
      </c>
      <c r="FF8" s="1246" t="n">
        <f aca="false">'Balance Sheet'!L7</f>
        <v>8388865.88887545</v>
      </c>
      <c r="FG8" s="1247" t="n">
        <f aca="false">'Balance Sheet'!M7</f>
        <v>8462126.30069137</v>
      </c>
      <c r="FH8" s="1167"/>
      <c r="FI8" s="1163"/>
      <c r="FJ8" s="1672"/>
      <c r="FK8" s="1672"/>
      <c r="FL8" s="1672"/>
      <c r="FM8" s="1667"/>
      <c r="FN8" s="1667"/>
      <c r="FO8" s="1217"/>
      <c r="FP8" s="1217"/>
      <c r="FQ8" s="1218"/>
      <c r="FR8" s="1218"/>
      <c r="FS8" s="1218"/>
      <c r="FT8" s="1167"/>
      <c r="FU8" s="1646"/>
      <c r="FV8" s="1664"/>
      <c r="FW8" s="1217"/>
      <c r="FX8" s="1217"/>
      <c r="FY8" s="1218"/>
      <c r="FZ8" s="1189"/>
      <c r="GA8" s="1163"/>
      <c r="GB8" s="1224" t="str">
        <f aca="false">Existing!A8</f>
        <v>Cash</v>
      </c>
      <c r="GC8" s="1217" t="n">
        <f aca="false">Existing!B8</f>
        <v>0</v>
      </c>
      <c r="GD8" s="1217" t="n">
        <f aca="false">Existing!C8</f>
        <v>0</v>
      </c>
      <c r="GE8" s="1218" t="n">
        <f aca="false">Existing!D8</f>
        <v>0</v>
      </c>
      <c r="GF8" s="1189"/>
      <c r="GG8" s="1163"/>
      <c r="GH8" s="1664" t="s">
        <v>1913</v>
      </c>
      <c r="GI8" s="1217"/>
      <c r="GJ8" s="1217" t="n">
        <f aca="false">'P&amp;L'!BK40/'P&amp;L'!BJ40-1</f>
        <v>1.1</v>
      </c>
      <c r="GK8" s="1218" t="n">
        <f aca="false">'P&amp;L'!BL40/'P&amp;L'!BK40-1</f>
        <v>0.575</v>
      </c>
      <c r="GL8" s="1218" t="n">
        <f aca="false">'P&amp;L'!BM40/'P&amp;L'!BL40-1</f>
        <v>0.05</v>
      </c>
      <c r="GM8" s="1218" t="n">
        <f aca="false">'P&amp;L'!BN40/'P&amp;L'!BM40-1</f>
        <v>0.0500000000000003</v>
      </c>
      <c r="GN8" s="1189"/>
      <c r="GO8" s="1189"/>
      <c r="GP8" s="1167"/>
      <c r="GQ8" s="1167"/>
      <c r="GR8" s="1167"/>
      <c r="GS8" s="1167"/>
      <c r="GT8" s="1167"/>
      <c r="GU8" s="1167"/>
      <c r="GV8" s="1163"/>
      <c r="GW8" s="1224"/>
      <c r="GX8" s="1217"/>
      <c r="GY8" s="1217"/>
      <c r="GZ8" s="1218"/>
      <c r="HA8" s="1218"/>
      <c r="HB8" s="1218"/>
      <c r="HC8" s="1189"/>
      <c r="HD8" s="1189"/>
      <c r="HE8" s="1189"/>
      <c r="HF8" s="1189"/>
      <c r="HG8" s="1651"/>
      <c r="HH8" s="1664"/>
      <c r="HI8" s="1217"/>
      <c r="HJ8" s="1217"/>
      <c r="HK8" s="1218"/>
      <c r="HL8" s="1218"/>
      <c r="HM8" s="1218"/>
      <c r="HN8" s="1167"/>
      <c r="HO8" s="1167"/>
      <c r="HP8" s="1167"/>
      <c r="HQ8" s="1167"/>
      <c r="HR8" s="1167"/>
      <c r="HS8" s="1163"/>
      <c r="HT8" s="1670"/>
      <c r="HU8" s="1221"/>
      <c r="HV8" s="1221"/>
      <c r="HW8" s="1221"/>
      <c r="HX8" s="1221"/>
      <c r="HY8" s="1221"/>
      <c r="HZ8" s="1221"/>
      <c r="IA8" s="1221"/>
      <c r="IB8" s="1221"/>
      <c r="IC8" s="1221"/>
      <c r="ID8" s="1221"/>
      <c r="IE8" s="1221"/>
      <c r="IF8" s="1222"/>
    </row>
    <row r="9" customFormat="false" ht="12.75" hidden="false" customHeight="true" outlineLevel="0" collapsed="false">
      <c r="A9" s="1633"/>
      <c r="B9" s="1300" t="n">
        <f aca="false">'Sources &amp; Uses'!A15</f>
        <v>0</v>
      </c>
      <c r="C9" s="1184" t="n">
        <f aca="false">'Sources &amp; Uses'!B15</f>
        <v>0</v>
      </c>
      <c r="D9" s="1167"/>
      <c r="E9" s="1633"/>
      <c r="F9" s="1183" t="n">
        <f aca="false">'Sources &amp; Uses'!E12</f>
        <v>0</v>
      </c>
      <c r="G9" s="1184" t="n">
        <f aca="false">'Sources &amp; Uses'!F12</f>
        <v>0</v>
      </c>
      <c r="H9" s="1167"/>
      <c r="I9" s="1157"/>
      <c r="J9" s="1224"/>
      <c r="K9" s="1217"/>
      <c r="L9" s="1217"/>
      <c r="M9" s="1218"/>
      <c r="N9" s="1218"/>
      <c r="O9" s="1218"/>
      <c r="P9" s="1189"/>
      <c r="Q9" s="1189"/>
      <c r="R9" s="1230"/>
      <c r="S9" s="1157"/>
      <c r="T9" s="1666"/>
      <c r="U9" s="1221"/>
      <c r="V9" s="1221"/>
      <c r="W9" s="1221"/>
      <c r="X9" s="1221"/>
      <c r="Y9" s="1221"/>
      <c r="Z9" s="1221"/>
      <c r="AA9" s="1221"/>
      <c r="AB9" s="1221"/>
      <c r="AC9" s="1221"/>
      <c r="AD9" s="1221"/>
      <c r="AE9" s="1221"/>
      <c r="AF9" s="1222"/>
      <c r="AG9" s="1167"/>
      <c r="AH9" s="1163"/>
      <c r="AI9" s="1224"/>
      <c r="AJ9" s="1667"/>
      <c r="AK9" s="1667"/>
      <c r="AL9" s="1217"/>
      <c r="AM9" s="1217"/>
      <c r="AN9" s="1218"/>
      <c r="AO9" s="1218"/>
      <c r="AP9" s="1218"/>
      <c r="AQ9" s="1189"/>
      <c r="AR9" s="1189"/>
      <c r="AS9" s="1189"/>
      <c r="AT9" s="1163"/>
      <c r="AU9" s="1666"/>
      <c r="AV9" s="1246"/>
      <c r="AW9" s="1246"/>
      <c r="AX9" s="1246"/>
      <c r="AY9" s="1246"/>
      <c r="AZ9" s="1246"/>
      <c r="BA9" s="1246"/>
      <c r="BB9" s="1246"/>
      <c r="BC9" s="1246"/>
      <c r="BD9" s="1246"/>
      <c r="BE9" s="1246"/>
      <c r="BF9" s="1246"/>
      <c r="BG9" s="1247"/>
      <c r="BH9" s="1189"/>
      <c r="BI9" s="1189"/>
      <c r="BJ9" s="1189"/>
      <c r="BK9" s="1224" t="str">
        <f aca="false">Revenue!A80</f>
        <v>SS-8</v>
      </c>
      <c r="BL9" s="1217" t="n">
        <f aca="false">Revenue!BJ79</f>
        <v>6604.76190476192</v>
      </c>
      <c r="BM9" s="1217" t="n">
        <f aca="false">Revenue!BK79</f>
        <v>31485.7142857143</v>
      </c>
      <c r="BN9" s="1218" t="n">
        <f aca="false">Revenue!BL79</f>
        <v>76000</v>
      </c>
      <c r="BO9" s="1218" t="n">
        <f aca="false">Revenue!BM79</f>
        <v>76000</v>
      </c>
      <c r="BP9" s="1218" t="n">
        <f aca="false">Revenue!BN79</f>
        <v>76000</v>
      </c>
      <c r="BQ9" s="1189"/>
      <c r="BR9" s="1189"/>
      <c r="BS9" s="1198"/>
      <c r="BT9" s="1189"/>
      <c r="BU9" s="1666" t="str">
        <f aca="false">Revenue!A80</f>
        <v>SS-8</v>
      </c>
      <c r="BV9" s="1221" t="n">
        <f aca="false">Revenue!G79</f>
        <v>361.904761904762</v>
      </c>
      <c r="BW9" s="1221" t="n">
        <f aca="false">Revenue!H79</f>
        <v>542.857142857143</v>
      </c>
      <c r="BX9" s="1221" t="n">
        <f aca="false">Revenue!I79</f>
        <v>723.809523809524</v>
      </c>
      <c r="BY9" s="1221" t="n">
        <f aca="false">Revenue!J79</f>
        <v>904.761904761905</v>
      </c>
      <c r="BZ9" s="1221" t="n">
        <f aca="false">Revenue!K79</f>
        <v>1085.71428571429</v>
      </c>
      <c r="CA9" s="1221" t="n">
        <f aca="false">Revenue!L79</f>
        <v>1266.66666666667</v>
      </c>
      <c r="CB9" s="1221" t="n">
        <f aca="false">Revenue!M79</f>
        <v>1447.61904761905</v>
      </c>
      <c r="CC9" s="1221" t="n">
        <f aca="false">Revenue!N79</f>
        <v>1628.57142857143</v>
      </c>
      <c r="CD9" s="1221" t="n">
        <f aca="false">Revenue!O79</f>
        <v>1809.52380952381</v>
      </c>
      <c r="CE9" s="1221"/>
      <c r="CF9" s="1221"/>
      <c r="CG9" s="1222"/>
      <c r="CH9" s="1189"/>
      <c r="CI9" s="1189"/>
      <c r="CJ9" s="1641"/>
      <c r="CK9" s="1676" t="str">
        <f aca="false">'P&amp;L'!A32</f>
        <v/>
      </c>
      <c r="CL9" s="1667"/>
      <c r="CM9" s="1667"/>
      <c r="CN9" s="1669" t="n">
        <f aca="false">'P&amp;L'!BJ32</f>
        <v>0</v>
      </c>
      <c r="CO9" s="1669" t="n">
        <f aca="false">'P&amp;L'!BK32</f>
        <v>0</v>
      </c>
      <c r="CP9" s="1669" t="n">
        <f aca="false">'P&amp;L'!BL32</f>
        <v>0</v>
      </c>
      <c r="CQ9" s="1218" t="n">
        <f aca="false">'P&amp;L'!BM32</f>
        <v>0</v>
      </c>
      <c r="CR9" s="1218" t="n">
        <f aca="false">'P&amp;L'!BN32</f>
        <v>0</v>
      </c>
      <c r="CS9" s="1189"/>
      <c r="CT9" s="1189"/>
      <c r="CU9" s="1167"/>
      <c r="CV9" s="1157"/>
      <c r="CW9" s="1671" t="str">
        <f aca="false">CK9</f>
        <v/>
      </c>
      <c r="CX9" s="1221" t="n">
        <f aca="false">'P&amp;L'!B32</f>
        <v>0</v>
      </c>
      <c r="CY9" s="1221" t="n">
        <f aca="false">'P&amp;L'!C32</f>
        <v>0</v>
      </c>
      <c r="CZ9" s="1221" t="n">
        <f aca="false">'P&amp;L'!D32</f>
        <v>0</v>
      </c>
      <c r="DA9" s="1221" t="n">
        <f aca="false">'P&amp;L'!E32</f>
        <v>0</v>
      </c>
      <c r="DB9" s="1221" t="n">
        <f aca="false">'P&amp;L'!F32</f>
        <v>0</v>
      </c>
      <c r="DC9" s="1221" t="n">
        <f aca="false">'P&amp;L'!G32</f>
        <v>0</v>
      </c>
      <c r="DD9" s="1221" t="n">
        <f aca="false">'P&amp;L'!H32</f>
        <v>0</v>
      </c>
      <c r="DE9" s="1221" t="n">
        <f aca="false">'P&amp;L'!I32</f>
        <v>0</v>
      </c>
      <c r="DF9" s="1221" t="n">
        <f aca="false">'P&amp;L'!J32</f>
        <v>0</v>
      </c>
      <c r="DG9" s="1221" t="n">
        <f aca="false">'P&amp;L'!K32</f>
        <v>0</v>
      </c>
      <c r="DH9" s="1221" t="n">
        <f aca="false">'P&amp;L'!L32</f>
        <v>0</v>
      </c>
      <c r="DI9" s="1222" t="n">
        <f aca="false">'P&amp;L'!M32</f>
        <v>0</v>
      </c>
      <c r="DJ9" s="1167"/>
      <c r="DK9" s="1163"/>
      <c r="DL9" s="1248" t="str">
        <f aca="false">'Cash Flow'!A31</f>
        <v>Net Cash From Operating Activities</v>
      </c>
      <c r="DM9" s="1669" t="n">
        <f aca="false">'Cash Flow'!BH31</f>
        <v>4769581.59855122</v>
      </c>
      <c r="DN9" s="1669" t="n">
        <f aca="false">'Cash Flow'!BI31</f>
        <v>4770355.63773774</v>
      </c>
      <c r="DO9" s="1669" t="n">
        <f aca="false">'Cash Flow'!BJ31</f>
        <v>-3179647.38535702</v>
      </c>
      <c r="DP9" s="1218" t="n">
        <f aca="false">'Cash Flow'!BK31</f>
        <v>9377659.15751961</v>
      </c>
      <c r="DQ9" s="1218" t="n">
        <f aca="false">'Cash Flow'!BL31</f>
        <v>42143302.8796235</v>
      </c>
      <c r="DR9" s="1189"/>
      <c r="DS9" s="1189"/>
      <c r="DT9" s="1274"/>
      <c r="DU9" s="1157"/>
      <c r="DV9" s="1670" t="str">
        <f aca="false">DL9</f>
        <v>Net Cash From Operating Activities</v>
      </c>
      <c r="DW9" s="1246" t="n">
        <f aca="false">'Cash Flow'!B31</f>
        <v>-5421.99961369863</v>
      </c>
      <c r="DX9" s="1246" t="n">
        <f aca="false">'Cash Flow'!C31</f>
        <v>-396039.615635617</v>
      </c>
      <c r="DY9" s="1246" t="n">
        <f aca="false">'Cash Flow'!D31</f>
        <v>-412977.020537417</v>
      </c>
      <c r="DZ9" s="1246" t="n">
        <f aca="false">'Cash Flow'!E31</f>
        <v>-420750.180983845</v>
      </c>
      <c r="EA9" s="1246" t="n">
        <f aca="false">'Cash Flow'!F31</f>
        <v>-383492.956529836</v>
      </c>
      <c r="EB9" s="1246" t="n">
        <f aca="false">'Cash Flow'!G31</f>
        <v>-345887.996054194</v>
      </c>
      <c r="EC9" s="1246" t="n">
        <f aca="false">'Cash Flow'!H31</f>
        <v>-293081.950265708</v>
      </c>
      <c r="ED9" s="1246" t="n">
        <f aca="false">'Cash Flow'!I31</f>
        <v>-286223.321113594</v>
      </c>
      <c r="EE9" s="1246" t="n">
        <f aca="false">'Cash Flow'!J31</f>
        <v>-250083.755445504</v>
      </c>
      <c r="EF9" s="1246" t="n">
        <f aca="false">'Cash Flow'!K31</f>
        <v>-189398.967600634</v>
      </c>
      <c r="EG9" s="1246" t="n">
        <f aca="false">'Cash Flow'!L31</f>
        <v>-129640.051612149</v>
      </c>
      <c r="EH9" s="1222" t="n">
        <f aca="false">'Cash Flow'!M31</f>
        <v>-66649.5699648238</v>
      </c>
      <c r="EI9" s="1274"/>
      <c r="EJ9" s="1157"/>
      <c r="EK9" s="1224"/>
      <c r="EL9" s="1217"/>
      <c r="EM9" s="1217"/>
      <c r="EN9" s="1218"/>
      <c r="EO9" s="1218"/>
      <c r="EP9" s="1218"/>
      <c r="EQ9" s="1189"/>
      <c r="ER9" s="1189"/>
      <c r="ES9" s="1167"/>
      <c r="ET9" s="1157"/>
      <c r="EU9" s="1674"/>
      <c r="EV9" s="1246"/>
      <c r="EW9" s="1246"/>
      <c r="EX9" s="1246"/>
      <c r="EY9" s="1246"/>
      <c r="EZ9" s="1246"/>
      <c r="FA9" s="1246"/>
      <c r="FB9" s="1246"/>
      <c r="FC9" s="1246"/>
      <c r="FD9" s="1246"/>
      <c r="FE9" s="1246"/>
      <c r="FF9" s="1246"/>
      <c r="FG9" s="1247"/>
      <c r="FH9" s="1167"/>
      <c r="FI9" s="1163"/>
      <c r="FJ9" s="1681" t="s">
        <v>1915</v>
      </c>
      <c r="FK9" s="1681"/>
      <c r="FL9" s="1681"/>
      <c r="FM9" s="1667"/>
      <c r="FN9" s="1667"/>
      <c r="FO9" s="1217"/>
      <c r="FP9" s="1217"/>
      <c r="FQ9" s="1218"/>
      <c r="FR9" s="1218"/>
      <c r="FS9" s="1218"/>
      <c r="FT9" s="1167"/>
      <c r="FU9" s="1646"/>
      <c r="FV9" s="1664"/>
      <c r="FW9" s="1217"/>
      <c r="FX9" s="1217"/>
      <c r="FY9" s="1218"/>
      <c r="FZ9" s="1189"/>
      <c r="GA9" s="1163"/>
      <c r="GB9" s="1224" t="str">
        <f aca="false">Existing!A9</f>
        <v>Accounts Receivable</v>
      </c>
      <c r="GC9" s="1217" t="n">
        <f aca="false">Existing!B9</f>
        <v>0</v>
      </c>
      <c r="GD9" s="1217" t="n">
        <f aca="false">Existing!C9</f>
        <v>0</v>
      </c>
      <c r="GE9" s="1218" t="n">
        <f aca="false">Existing!D9</f>
        <v>0</v>
      </c>
      <c r="GF9" s="1189"/>
      <c r="GG9" s="1163"/>
      <c r="GH9" s="1664"/>
      <c r="GI9" s="1217"/>
      <c r="GJ9" s="1217"/>
      <c r="GK9" s="1218"/>
      <c r="GL9" s="1218"/>
      <c r="GM9" s="1218"/>
      <c r="GN9" s="1189"/>
      <c r="GO9" s="1189"/>
      <c r="GP9" s="1167"/>
      <c r="GQ9" s="1167"/>
      <c r="GR9" s="1167"/>
      <c r="GS9" s="1167"/>
      <c r="GT9" s="1167"/>
      <c r="GU9" s="1167"/>
      <c r="GV9" s="1163"/>
      <c r="GW9" s="1224"/>
      <c r="GX9" s="1217"/>
      <c r="GY9" s="1217"/>
      <c r="GZ9" s="1218"/>
      <c r="HA9" s="1218"/>
      <c r="HB9" s="1218"/>
      <c r="HC9" s="1189"/>
      <c r="HD9" s="1189"/>
      <c r="HE9" s="1189"/>
      <c r="HF9" s="1189"/>
      <c r="HG9" s="1651"/>
      <c r="HH9" s="1224"/>
      <c r="HI9" s="1217"/>
      <c r="HJ9" s="1217"/>
      <c r="HK9" s="1218"/>
      <c r="HL9" s="1218"/>
      <c r="HM9" s="1218"/>
      <c r="HN9" s="1167"/>
      <c r="HO9" s="1167"/>
      <c r="HP9" s="1167"/>
      <c r="HQ9" s="1167"/>
      <c r="HR9" s="1167"/>
      <c r="HS9" s="1163"/>
      <c r="HT9" s="1670"/>
      <c r="HU9" s="1221"/>
      <c r="HV9" s="1221"/>
      <c r="HW9" s="1221"/>
      <c r="HX9" s="1221"/>
      <c r="HY9" s="1221"/>
      <c r="HZ9" s="1221"/>
      <c r="IA9" s="1221"/>
      <c r="IB9" s="1221"/>
      <c r="IC9" s="1221"/>
      <c r="ID9" s="1221"/>
      <c r="IE9" s="1221"/>
      <c r="IF9" s="1222"/>
    </row>
    <row r="10" customFormat="false" ht="12.75" hidden="false" customHeight="true" outlineLevel="0" collapsed="false">
      <c r="A10" s="1633"/>
      <c r="B10" s="1300" t="n">
        <f aca="false">'Sources &amp; Uses'!A16</f>
        <v>0</v>
      </c>
      <c r="C10" s="1184" t="n">
        <f aca="false">'Sources &amp; Uses'!B16</f>
        <v>0</v>
      </c>
      <c r="D10" s="1167"/>
      <c r="E10" s="1633"/>
      <c r="F10" s="1183" t="n">
        <f aca="false">'Sources &amp; Uses'!E13</f>
        <v>0</v>
      </c>
      <c r="G10" s="1184" t="n">
        <f aca="false">'Sources &amp; Uses'!F13</f>
        <v>0</v>
      </c>
      <c r="H10" s="1167"/>
      <c r="I10" s="1157"/>
      <c r="J10" s="1672"/>
      <c r="K10" s="1217"/>
      <c r="L10" s="1217"/>
      <c r="M10" s="1218"/>
      <c r="N10" s="1218"/>
      <c r="O10" s="1218"/>
      <c r="P10" s="1189"/>
      <c r="Q10" s="1189"/>
      <c r="R10" s="1230"/>
      <c r="S10" s="1157"/>
      <c r="T10" s="1674"/>
      <c r="U10" s="1221"/>
      <c r="V10" s="1221"/>
      <c r="W10" s="1221"/>
      <c r="X10" s="1221"/>
      <c r="Y10" s="1221"/>
      <c r="Z10" s="1221"/>
      <c r="AA10" s="1221"/>
      <c r="AB10" s="1221"/>
      <c r="AC10" s="1221"/>
      <c r="AD10" s="1221"/>
      <c r="AE10" s="1221"/>
      <c r="AF10" s="1222"/>
      <c r="AG10" s="1167"/>
      <c r="AH10" s="1163"/>
      <c r="AI10" s="1265"/>
      <c r="AJ10" s="1682"/>
      <c r="AK10" s="1682"/>
      <c r="AL10" s="1373"/>
      <c r="AM10" s="1373"/>
      <c r="AN10" s="1374"/>
      <c r="AO10" s="1374"/>
      <c r="AP10" s="1374"/>
      <c r="AQ10" s="1150"/>
      <c r="AR10" s="1150"/>
      <c r="AS10" s="1150"/>
      <c r="AT10" s="1163"/>
      <c r="AU10" s="1670"/>
      <c r="AV10" s="1246"/>
      <c r="AW10" s="1246"/>
      <c r="AX10" s="1246"/>
      <c r="AY10" s="1246"/>
      <c r="AZ10" s="1246"/>
      <c r="BA10" s="1246"/>
      <c r="BB10" s="1246"/>
      <c r="BC10" s="1246"/>
      <c r="BD10" s="1246"/>
      <c r="BE10" s="1246"/>
      <c r="BF10" s="1246"/>
      <c r="BG10" s="1247"/>
      <c r="BH10" s="1189"/>
      <c r="BI10" s="1189"/>
      <c r="BJ10" s="1189"/>
      <c r="BK10" s="1224" t="str">
        <f aca="false">Revenue!A81</f>
        <v>SS-10</v>
      </c>
      <c r="BL10" s="1217" t="n">
        <f aca="false">Revenue!BJ80</f>
        <v>4127.97619047619</v>
      </c>
      <c r="BM10" s="1217" t="n">
        <f aca="false">Revenue!BK80</f>
        <v>19678.5714285714</v>
      </c>
      <c r="BN10" s="1218" t="n">
        <f aca="false">Revenue!BL80</f>
        <v>47500</v>
      </c>
      <c r="BO10" s="1218" t="n">
        <f aca="false">Revenue!BM80</f>
        <v>47500</v>
      </c>
      <c r="BP10" s="1218" t="n">
        <f aca="false">Revenue!BN80</f>
        <v>47500</v>
      </c>
      <c r="BQ10" s="1189"/>
      <c r="BR10" s="1189"/>
      <c r="BS10" s="1198"/>
      <c r="BT10" s="1189"/>
      <c r="BU10" s="1666" t="str">
        <f aca="false">Revenue!A81</f>
        <v>SS-10</v>
      </c>
      <c r="BV10" s="1221" t="n">
        <f aca="false">Revenue!G80</f>
        <v>226.190476190476</v>
      </c>
      <c r="BW10" s="1221" t="n">
        <f aca="false">Revenue!H80</f>
        <v>339.285714285714</v>
      </c>
      <c r="BX10" s="1221" t="n">
        <f aca="false">Revenue!I80</f>
        <v>452.380952380952</v>
      </c>
      <c r="BY10" s="1221" t="n">
        <f aca="false">Revenue!J80</f>
        <v>565.476190476191</v>
      </c>
      <c r="BZ10" s="1221" t="n">
        <f aca="false">Revenue!K80</f>
        <v>678.571428571429</v>
      </c>
      <c r="CA10" s="1221" t="n">
        <f aca="false">Revenue!L80</f>
        <v>791.666666666667</v>
      </c>
      <c r="CB10" s="1221" t="n">
        <f aca="false">Revenue!M80</f>
        <v>904.761904761905</v>
      </c>
      <c r="CC10" s="1221" t="n">
        <f aca="false">Revenue!N80</f>
        <v>1017.85714285714</v>
      </c>
      <c r="CD10" s="1221" t="n">
        <f aca="false">Revenue!O80</f>
        <v>1130.95238095238</v>
      </c>
      <c r="CE10" s="1221"/>
      <c r="CF10" s="1221"/>
      <c r="CG10" s="1222"/>
      <c r="CH10" s="1189"/>
      <c r="CI10" s="1189"/>
      <c r="CJ10" s="1641"/>
      <c r="CK10" s="1676" t="str">
        <f aca="false">'P&amp;L'!A33</f>
        <v/>
      </c>
      <c r="CL10" s="1667"/>
      <c r="CM10" s="1667"/>
      <c r="CN10" s="1669" t="n">
        <f aca="false">'P&amp;L'!BJ33</f>
        <v>0</v>
      </c>
      <c r="CO10" s="1669" t="n">
        <f aca="false">'P&amp;L'!BK33</f>
        <v>0</v>
      </c>
      <c r="CP10" s="1669" t="n">
        <f aca="false">'P&amp;L'!BL33</f>
        <v>0</v>
      </c>
      <c r="CQ10" s="1218" t="n">
        <f aca="false">'P&amp;L'!BM33</f>
        <v>0</v>
      </c>
      <c r="CR10" s="1218" t="n">
        <f aca="false">'P&amp;L'!BN33</f>
        <v>0</v>
      </c>
      <c r="CS10" s="1189"/>
      <c r="CT10" s="1189"/>
      <c r="CU10" s="1167"/>
      <c r="CV10" s="1157"/>
      <c r="CW10" s="1671" t="str">
        <f aca="false">CK10</f>
        <v/>
      </c>
      <c r="CX10" s="1221" t="n">
        <f aca="false">'P&amp;L'!B33</f>
        <v>0</v>
      </c>
      <c r="CY10" s="1221" t="n">
        <f aca="false">'P&amp;L'!C33</f>
        <v>0</v>
      </c>
      <c r="CZ10" s="1221" t="n">
        <f aca="false">'P&amp;L'!D33</f>
        <v>0</v>
      </c>
      <c r="DA10" s="1221" t="n">
        <f aca="false">'P&amp;L'!E33</f>
        <v>0</v>
      </c>
      <c r="DB10" s="1221" t="n">
        <f aca="false">'P&amp;L'!F33</f>
        <v>0</v>
      </c>
      <c r="DC10" s="1221" t="n">
        <f aca="false">'P&amp;L'!G33</f>
        <v>0</v>
      </c>
      <c r="DD10" s="1221" t="n">
        <f aca="false">'P&amp;L'!H33</f>
        <v>0</v>
      </c>
      <c r="DE10" s="1221" t="n">
        <f aca="false">'P&amp;L'!I33</f>
        <v>0</v>
      </c>
      <c r="DF10" s="1221" t="n">
        <f aca="false">'P&amp;L'!J33</f>
        <v>0</v>
      </c>
      <c r="DG10" s="1221" t="n">
        <f aca="false">'P&amp;L'!K33</f>
        <v>0</v>
      </c>
      <c r="DH10" s="1221" t="n">
        <f aca="false">'P&amp;L'!L33</f>
        <v>0</v>
      </c>
      <c r="DI10" s="1222" t="n">
        <f aca="false">'P&amp;L'!M33</f>
        <v>0</v>
      </c>
      <c r="DJ10" s="1167"/>
      <c r="DK10" s="1163"/>
      <c r="DL10" s="1248"/>
      <c r="DM10" s="1669"/>
      <c r="DN10" s="1669"/>
      <c r="DO10" s="1669"/>
      <c r="DP10" s="1218"/>
      <c r="DQ10" s="1218"/>
      <c r="DR10" s="1189"/>
      <c r="DS10" s="1189"/>
      <c r="DT10" s="1167"/>
      <c r="DU10" s="1157"/>
      <c r="DV10" s="1670"/>
      <c r="DW10" s="1246"/>
      <c r="DX10" s="1246"/>
      <c r="DY10" s="1246"/>
      <c r="DZ10" s="1246"/>
      <c r="EA10" s="1246"/>
      <c r="EB10" s="1246"/>
      <c r="EC10" s="1246"/>
      <c r="ED10" s="1246"/>
      <c r="EE10" s="1246"/>
      <c r="EF10" s="1246"/>
      <c r="EG10" s="1246"/>
      <c r="EH10" s="1222"/>
      <c r="EI10" s="1167"/>
      <c r="EJ10" s="1157"/>
      <c r="EK10" s="1672" t="str">
        <f aca="false">EU10</f>
        <v>Fixed Assets</v>
      </c>
      <c r="EL10" s="1217"/>
      <c r="EM10" s="1217"/>
      <c r="EN10" s="1218"/>
      <c r="EO10" s="1218"/>
      <c r="EP10" s="1218"/>
      <c r="EQ10" s="1189"/>
      <c r="ER10" s="1189"/>
      <c r="ES10" s="1167"/>
      <c r="ET10" s="1157"/>
      <c r="EU10" s="1674" t="str">
        <f aca="false">'Balance Sheet'!A9</f>
        <v>Fixed Assets</v>
      </c>
      <c r="EV10" s="1246"/>
      <c r="EW10" s="1246"/>
      <c r="EX10" s="1246"/>
      <c r="EY10" s="1246"/>
      <c r="EZ10" s="1246"/>
      <c r="FA10" s="1246"/>
      <c r="FB10" s="1246"/>
      <c r="FC10" s="1246"/>
      <c r="FD10" s="1246"/>
      <c r="FE10" s="1246"/>
      <c r="FF10" s="1246"/>
      <c r="FG10" s="1247"/>
      <c r="FH10" s="1167"/>
      <c r="FI10" s="1163"/>
      <c r="FJ10" s="1672" t="str">
        <f aca="false">'Tables 5Y'!ET12</f>
        <v>EBITDA/Revenue</v>
      </c>
      <c r="FK10" s="1672"/>
      <c r="FL10" s="1672"/>
      <c r="FM10" s="1667"/>
      <c r="FN10" s="1667"/>
      <c r="FO10" s="1217"/>
      <c r="FP10" s="1217"/>
      <c r="FQ10" s="1218"/>
      <c r="FR10" s="1218"/>
      <c r="FS10" s="1218"/>
      <c r="FT10" s="1167"/>
      <c r="FU10" s="1646"/>
      <c r="FV10" s="1664" t="s">
        <v>227</v>
      </c>
      <c r="FW10" s="1217" t="n">
        <f aca="false">'Sensitivity Analysis'!BK25</f>
        <v>-2892757.28488284</v>
      </c>
      <c r="FX10" s="1217" t="n">
        <f aca="false">'Sensitivity Analysis'!BL25</f>
        <v>15396772.5655743</v>
      </c>
      <c r="FY10" s="1218" t="n">
        <f aca="false">'Sensitivity Analysis'!BM25</f>
        <v>63609950.2575471</v>
      </c>
      <c r="FZ10" s="1189"/>
      <c r="GA10" s="1163"/>
      <c r="GB10" s="1224" t="str">
        <f aca="false">Existing!A10</f>
        <v>Inventory</v>
      </c>
      <c r="GC10" s="1217" t="n">
        <f aca="false">Existing!B10</f>
        <v>0</v>
      </c>
      <c r="GD10" s="1217" t="n">
        <f aca="false">Existing!C10</f>
        <v>0</v>
      </c>
      <c r="GE10" s="1218" t="n">
        <f aca="false">Existing!D10</f>
        <v>0</v>
      </c>
      <c r="GF10" s="1189"/>
      <c r="GG10" s="1163"/>
      <c r="GH10" s="1664" t="s">
        <v>1917</v>
      </c>
      <c r="GI10" s="1217"/>
      <c r="GJ10" s="1217"/>
      <c r="GK10" s="1218"/>
      <c r="GL10" s="1218"/>
      <c r="GM10" s="1218"/>
      <c r="GN10" s="1189"/>
      <c r="GO10" s="1189"/>
      <c r="GP10" s="1167"/>
      <c r="GQ10" s="1167"/>
      <c r="GR10" s="1167"/>
      <c r="GS10" s="1167"/>
      <c r="GT10" s="1167"/>
      <c r="GU10" s="1167"/>
      <c r="GV10" s="1163"/>
      <c r="GW10" s="1224"/>
      <c r="GX10" s="1217"/>
      <c r="GY10" s="1217"/>
      <c r="GZ10" s="1218"/>
      <c r="HA10" s="1218"/>
      <c r="HB10" s="1218"/>
      <c r="HC10" s="1189"/>
      <c r="HD10" s="1189"/>
      <c r="HE10" s="1189"/>
      <c r="HF10" s="1189"/>
      <c r="HG10" s="1651"/>
      <c r="HH10" s="1683"/>
      <c r="HI10" s="1217"/>
      <c r="HJ10" s="1217"/>
      <c r="HK10" s="1218"/>
      <c r="HL10" s="1218"/>
      <c r="HM10" s="1218"/>
      <c r="HN10" s="1167"/>
      <c r="HO10" s="1167"/>
      <c r="HP10" s="1167"/>
      <c r="HQ10" s="1167"/>
      <c r="HR10" s="1167"/>
      <c r="HS10" s="1163"/>
      <c r="HT10" s="1670"/>
      <c r="HU10" s="1221"/>
      <c r="HV10" s="1221"/>
      <c r="HW10" s="1221"/>
      <c r="HX10" s="1221"/>
      <c r="HY10" s="1221"/>
      <c r="HZ10" s="1221"/>
      <c r="IA10" s="1221"/>
      <c r="IB10" s="1221"/>
      <c r="IC10" s="1221"/>
      <c r="ID10" s="1221"/>
      <c r="IE10" s="1221"/>
      <c r="IF10" s="1222"/>
    </row>
    <row r="11" customFormat="false" ht="12.75" hidden="false" customHeight="true" outlineLevel="0" collapsed="false">
      <c r="A11" s="1633"/>
      <c r="B11" s="1300" t="n">
        <f aca="false">'Sources &amp; Uses'!A17</f>
        <v>0</v>
      </c>
      <c r="C11" s="1184" t="n">
        <f aca="false">'Sources &amp; Uses'!B17</f>
        <v>0</v>
      </c>
      <c r="D11" s="1167"/>
      <c r="E11" s="1633"/>
      <c r="F11" s="1183" t="n">
        <f aca="false">'Sources &amp; Uses'!E14</f>
        <v>0</v>
      </c>
      <c r="G11" s="1184" t="n">
        <f aca="false">'Sources &amp; Uses'!F14</f>
        <v>0</v>
      </c>
      <c r="H11" s="1167"/>
      <c r="I11" s="1157"/>
      <c r="J11" s="1672" t="str">
        <f aca="false">T11</f>
        <v>Personnel Costs</v>
      </c>
      <c r="K11" s="1217"/>
      <c r="L11" s="1217"/>
      <c r="M11" s="1218"/>
      <c r="N11" s="1218"/>
      <c r="O11" s="1218"/>
      <c r="P11" s="1189"/>
      <c r="Q11" s="1189"/>
      <c r="R11" s="1230"/>
      <c r="S11" s="1157"/>
      <c r="T11" s="1674" t="str">
        <f aca="false">Personnel!A29</f>
        <v>Personnel Costs</v>
      </c>
      <c r="U11" s="1221"/>
      <c r="V11" s="1221"/>
      <c r="W11" s="1221"/>
      <c r="X11" s="1221"/>
      <c r="Y11" s="1221"/>
      <c r="Z11" s="1221"/>
      <c r="AA11" s="1221"/>
      <c r="AB11" s="1221"/>
      <c r="AC11" s="1221"/>
      <c r="AD11" s="1221"/>
      <c r="AE11" s="1221"/>
      <c r="AF11" s="1222"/>
      <c r="AG11" s="1167"/>
      <c r="AH11" s="1163"/>
      <c r="AI11" s="1673"/>
      <c r="AJ11" s="1682"/>
      <c r="AK11" s="1682"/>
      <c r="AL11" s="1373"/>
      <c r="AM11" s="1373"/>
      <c r="AN11" s="1374"/>
      <c r="AO11" s="1374"/>
      <c r="AP11" s="1374"/>
      <c r="AQ11" s="1150"/>
      <c r="AR11" s="1150"/>
      <c r="AS11" s="1150"/>
      <c r="AT11" s="1163"/>
      <c r="AU11" s="1368"/>
      <c r="AV11" s="1442"/>
      <c r="AW11" s="1442"/>
      <c r="AX11" s="1442"/>
      <c r="AY11" s="1442"/>
      <c r="AZ11" s="1442"/>
      <c r="BA11" s="1442"/>
      <c r="BB11" s="1442"/>
      <c r="BC11" s="1442"/>
      <c r="BD11" s="1442"/>
      <c r="BE11" s="1442"/>
      <c r="BF11" s="1442"/>
      <c r="BG11" s="1443"/>
      <c r="BH11" s="1189"/>
      <c r="BI11" s="1189"/>
      <c r="BJ11" s="1189"/>
      <c r="BK11" s="1224" t="str">
        <f aca="false">Revenue!A82</f>
        <v>SS-12</v>
      </c>
      <c r="BL11" s="1217" t="n">
        <f aca="false">Revenue!BJ81</f>
        <v>2063.98809523809</v>
      </c>
      <c r="BM11" s="1217" t="n">
        <f aca="false">Revenue!BK81</f>
        <v>9839.28571428571</v>
      </c>
      <c r="BN11" s="1218" t="n">
        <f aca="false">Revenue!BL81</f>
        <v>23750</v>
      </c>
      <c r="BO11" s="1218" t="n">
        <f aca="false">Revenue!BM81</f>
        <v>23750</v>
      </c>
      <c r="BP11" s="1218" t="n">
        <f aca="false">Revenue!BN81</f>
        <v>23750</v>
      </c>
      <c r="BQ11" s="1189"/>
      <c r="BR11" s="1189"/>
      <c r="BS11" s="1198"/>
      <c r="BT11" s="1189"/>
      <c r="BU11" s="1666" t="str">
        <f aca="false">Revenue!A82</f>
        <v>SS-12</v>
      </c>
      <c r="BV11" s="1221" t="n">
        <f aca="false">Revenue!G81</f>
        <v>113.095238095238</v>
      </c>
      <c r="BW11" s="1221" t="n">
        <f aca="false">Revenue!H81</f>
        <v>169.642857142857</v>
      </c>
      <c r="BX11" s="1221" t="n">
        <f aca="false">Revenue!I81</f>
        <v>226.190476190476</v>
      </c>
      <c r="BY11" s="1221" t="n">
        <f aca="false">Revenue!J81</f>
        <v>282.738095238095</v>
      </c>
      <c r="BZ11" s="1221" t="n">
        <f aca="false">Revenue!K81</f>
        <v>339.285714285714</v>
      </c>
      <c r="CA11" s="1221" t="n">
        <f aca="false">Revenue!L81</f>
        <v>395.833333333333</v>
      </c>
      <c r="CB11" s="1221" t="n">
        <f aca="false">Revenue!M81</f>
        <v>452.380952380952</v>
      </c>
      <c r="CC11" s="1221" t="n">
        <f aca="false">Revenue!N81</f>
        <v>508.928571428571</v>
      </c>
      <c r="CD11" s="1221" t="n">
        <f aca="false">Revenue!O81</f>
        <v>565.476190476191</v>
      </c>
      <c r="CE11" s="1221"/>
      <c r="CF11" s="1221"/>
      <c r="CG11" s="1222"/>
      <c r="CH11" s="1189"/>
      <c r="CI11" s="1189"/>
      <c r="CJ11" s="1641"/>
      <c r="CK11" s="1676" t="str">
        <f aca="false">'P&amp;L'!A38</f>
        <v>Depreciation</v>
      </c>
      <c r="CL11" s="1667"/>
      <c r="CM11" s="1667"/>
      <c r="CN11" s="1669" t="n">
        <f aca="false">'P&amp;L'!BJ38</f>
        <v>644079.825</v>
      </c>
      <c r="CO11" s="1669" t="n">
        <f aca="false">'P&amp;L'!BK38</f>
        <v>2334534.66</v>
      </c>
      <c r="CP11" s="1669" t="n">
        <f aca="false">'P&amp;L'!BL38</f>
        <v>2346185.04</v>
      </c>
      <c r="CQ11" s="1218" t="n">
        <f aca="false">'P&amp;L'!BM38</f>
        <v>2346185.04</v>
      </c>
      <c r="CR11" s="1218" t="n">
        <f aca="false">'P&amp;L'!BN38</f>
        <v>2346185.04</v>
      </c>
      <c r="CS11" s="1189"/>
      <c r="CT11" s="1189"/>
      <c r="CU11" s="1167"/>
      <c r="CV11" s="1157"/>
      <c r="CW11" s="1671" t="str">
        <f aca="false">CK11</f>
        <v>Depreciation</v>
      </c>
      <c r="CX11" s="1221" t="n">
        <f aca="false">'P&amp;L'!B38</f>
        <v>0</v>
      </c>
      <c r="CY11" s="1221" t="n">
        <f aca="false">'P&amp;L'!C38</f>
        <v>0</v>
      </c>
      <c r="CZ11" s="1221" t="n">
        <f aca="false">'P&amp;L'!D38</f>
        <v>0</v>
      </c>
      <c r="DA11" s="1221" t="n">
        <f aca="false">'P&amp;L'!E38</f>
        <v>0</v>
      </c>
      <c r="DB11" s="1221" t="n">
        <f aca="false">'P&amp;L'!F38</f>
        <v>0</v>
      </c>
      <c r="DC11" s="1221" t="n">
        <f aca="false">'P&amp;L'!G38</f>
        <v>0</v>
      </c>
      <c r="DD11" s="1221" t="n">
        <f aca="false">'P&amp;L'!H38</f>
        <v>42788.5</v>
      </c>
      <c r="DE11" s="1221" t="n">
        <f aca="false">'P&amp;L'!I38</f>
        <v>72468.455</v>
      </c>
      <c r="DF11" s="1221" t="n">
        <f aca="false">'P&amp;L'!J38</f>
        <v>96364.48</v>
      </c>
      <c r="DG11" s="1221" t="n">
        <f aca="false">'P&amp;L'!K38</f>
        <v>122049.945</v>
      </c>
      <c r="DH11" s="1221" t="n">
        <f aca="false">'P&amp;L'!L38</f>
        <v>142361.49</v>
      </c>
      <c r="DI11" s="1222" t="n">
        <f aca="false">'P&amp;L'!M38</f>
        <v>168046.955</v>
      </c>
      <c r="DJ11" s="1167"/>
      <c r="DK11" s="1163"/>
      <c r="DL11" s="1252" t="str">
        <f aca="false">'Cash Flow'!A33</f>
        <v>INVESTING</v>
      </c>
      <c r="DM11" s="1669"/>
      <c r="DN11" s="1669"/>
      <c r="DO11" s="1669"/>
      <c r="DP11" s="1218"/>
      <c r="DQ11" s="1218"/>
      <c r="DR11" s="1189"/>
      <c r="DS11" s="1189"/>
      <c r="DT11" s="1167"/>
      <c r="DU11" s="1157"/>
      <c r="DV11" s="1343" t="str">
        <f aca="false">DL11</f>
        <v>INVESTING</v>
      </c>
      <c r="DW11" s="1246"/>
      <c r="DX11" s="1246"/>
      <c r="DY11" s="1246"/>
      <c r="DZ11" s="1246"/>
      <c r="EA11" s="1246"/>
      <c r="EB11" s="1246"/>
      <c r="EC11" s="1246"/>
      <c r="ED11" s="1246"/>
      <c r="EE11" s="1246"/>
      <c r="EF11" s="1246"/>
      <c r="EG11" s="1246"/>
      <c r="EH11" s="1222"/>
      <c r="EI11" s="1167"/>
      <c r="EJ11" s="1157"/>
      <c r="EK11" s="1224" t="str">
        <f aca="false">EU11</f>
        <v>Long-term Assets</v>
      </c>
      <c r="EL11" s="1217" t="n">
        <f aca="false">'Balance Sheet'!BJ10</f>
        <v>20165634.6</v>
      </c>
      <c r="EM11" s="1217" t="n">
        <f aca="false">'Balance Sheet'!BK10</f>
        <v>23461850.4</v>
      </c>
      <c r="EN11" s="1218" t="n">
        <f aca="false">'Balance Sheet'!BL10</f>
        <v>23461850.4</v>
      </c>
      <c r="EO11" s="1218" t="n">
        <f aca="false">'Balance Sheet'!BM10</f>
        <v>23461850.4</v>
      </c>
      <c r="EP11" s="1218" t="n">
        <f aca="false">'Balance Sheet'!BN10</f>
        <v>23461850.4</v>
      </c>
      <c r="EQ11" s="1189"/>
      <c r="ER11" s="1189"/>
      <c r="ES11" s="1167"/>
      <c r="ET11" s="1157"/>
      <c r="EU11" s="1666" t="str">
        <f aca="false">'Balance Sheet'!A10</f>
        <v>Long-term Assets</v>
      </c>
      <c r="EV11" s="1246" t="n">
        <f aca="false">'Balance Sheet'!B10</f>
        <v>0</v>
      </c>
      <c r="EW11" s="1246" t="n">
        <f aca="false">'Balance Sheet'!C10</f>
        <v>0</v>
      </c>
      <c r="EX11" s="1246" t="n">
        <f aca="false">'Balance Sheet'!D10</f>
        <v>0</v>
      </c>
      <c r="EY11" s="1246" t="n">
        <f aca="false">'Balance Sheet'!E10</f>
        <v>0</v>
      </c>
      <c r="EZ11" s="1246" t="n">
        <f aca="false">'Balance Sheet'!F10</f>
        <v>0</v>
      </c>
      <c r="FA11" s="1246" t="n">
        <f aca="false">'Balance Sheet'!G10</f>
        <v>0</v>
      </c>
      <c r="FB11" s="1246" t="n">
        <f aca="false">'Balance Sheet'!H10</f>
        <v>5134620</v>
      </c>
      <c r="FC11" s="1246" t="n">
        <f aca="false">'Balance Sheet'!I10</f>
        <v>8696214.6</v>
      </c>
      <c r="FD11" s="1246" t="n">
        <f aca="false">'Balance Sheet'!J10</f>
        <v>11563737.6</v>
      </c>
      <c r="FE11" s="1246" t="n">
        <f aca="false">'Balance Sheet'!K10</f>
        <v>14645993.4</v>
      </c>
      <c r="FF11" s="1246" t="n">
        <f aca="false">'Balance Sheet'!L10</f>
        <v>17083378.8</v>
      </c>
      <c r="FG11" s="1247" t="n">
        <f aca="false">'Balance Sheet'!M10</f>
        <v>20165634.6</v>
      </c>
      <c r="FH11" s="1167"/>
      <c r="FI11" s="1163"/>
      <c r="FJ11" s="1672" t="str">
        <f aca="false">'Tables 5Y'!ET13</f>
        <v>Net Profit %</v>
      </c>
      <c r="FK11" s="1672"/>
      <c r="FL11" s="1672"/>
      <c r="FM11" s="1667"/>
      <c r="FN11" s="1667"/>
      <c r="FO11" s="1217"/>
      <c r="FP11" s="1217"/>
      <c r="FQ11" s="1218"/>
      <c r="FR11" s="1218"/>
      <c r="FS11" s="1218"/>
      <c r="FT11" s="1167"/>
      <c r="FU11" s="1646"/>
      <c r="FV11" s="1684" t="s">
        <v>1914</v>
      </c>
      <c r="FW11" s="1277" t="n">
        <f aca="false">'Sensitivity Analysis'!BK26</f>
        <v>6772093.98621184</v>
      </c>
      <c r="FX11" s="1277" t="n">
        <f aca="false">'Sensitivity Analysis'!BL26</f>
        <v>22168866.5517861</v>
      </c>
      <c r="FY11" s="1278" t="n">
        <f aca="false">'Sensitivity Analysis'!BM26</f>
        <v>85778816.8093332</v>
      </c>
      <c r="FZ11" s="1189"/>
      <c r="GA11" s="1163"/>
      <c r="GB11" s="1224" t="str">
        <f aca="false">Existing!A11</f>
        <v>Other Current Assets</v>
      </c>
      <c r="GC11" s="1217" t="n">
        <f aca="false">Existing!B11</f>
        <v>0</v>
      </c>
      <c r="GD11" s="1217" t="n">
        <f aca="false">Existing!C11</f>
        <v>0</v>
      </c>
      <c r="GE11" s="1218" t="n">
        <f aca="false">Existing!D11</f>
        <v>0</v>
      </c>
      <c r="GF11" s="1167"/>
      <c r="GG11" s="1163"/>
      <c r="GH11" s="1664" t="s">
        <v>1918</v>
      </c>
      <c r="GI11" s="1217" t="n">
        <f aca="false">MIN('Cash Flow'!B53:M53)</f>
        <v>7.13307457125027</v>
      </c>
      <c r="GJ11" s="1217" t="n">
        <f aca="false">'Cash Flow'!BI53</f>
        <v>47.754141012655</v>
      </c>
      <c r="GK11" s="1218" t="n">
        <f aca="false">'Cash Flow'!BJ53</f>
        <v>7.13307457125027</v>
      </c>
      <c r="GL11" s="1218" t="n">
        <f aca="false">'Cash Flow'!BK53</f>
        <v>6.54049577661294</v>
      </c>
      <c r="GM11" s="1218" t="n">
        <f aca="false">'Cash Flow'!BL53</f>
        <v>18.559008998361</v>
      </c>
      <c r="GN11" s="1189"/>
      <c r="GO11" s="1189"/>
      <c r="GP11" s="1167"/>
      <c r="GQ11" s="1167"/>
      <c r="GR11" s="1167"/>
      <c r="GS11" s="1167"/>
      <c r="GT11" s="1167"/>
      <c r="GU11" s="1167"/>
      <c r="GV11" s="1163"/>
      <c r="GW11" s="1664"/>
      <c r="GX11" s="1217"/>
      <c r="GY11" s="1217"/>
      <c r="GZ11" s="1218"/>
      <c r="HA11" s="1218"/>
      <c r="HB11" s="1218"/>
      <c r="HC11" s="1189"/>
      <c r="HD11" s="1189"/>
      <c r="HE11" s="1189"/>
      <c r="HF11" s="1189"/>
      <c r="HG11" s="1651"/>
      <c r="HH11" s="1664"/>
      <c r="HI11" s="1217"/>
      <c r="HJ11" s="1217"/>
      <c r="HK11" s="1218"/>
      <c r="HL11" s="1218"/>
      <c r="HM11" s="1218"/>
      <c r="HN11" s="1167"/>
      <c r="HO11" s="1167"/>
      <c r="HP11" s="1167"/>
      <c r="HQ11" s="1167"/>
      <c r="HR11" s="1167"/>
      <c r="HS11" s="1163"/>
      <c r="HT11" s="1670"/>
      <c r="HU11" s="1221"/>
      <c r="HV11" s="1221"/>
      <c r="HW11" s="1221"/>
      <c r="HX11" s="1221"/>
      <c r="HY11" s="1221"/>
      <c r="HZ11" s="1221"/>
      <c r="IA11" s="1221"/>
      <c r="IB11" s="1221"/>
      <c r="IC11" s="1221"/>
      <c r="ID11" s="1221"/>
      <c r="IE11" s="1221"/>
      <c r="IF11" s="1222"/>
    </row>
    <row r="12" customFormat="false" ht="12.75" hidden="false" customHeight="true" outlineLevel="0" collapsed="false">
      <c r="A12" s="1633"/>
      <c r="B12" s="1300" t="n">
        <f aca="false">'Sources &amp; Uses'!A18</f>
        <v>0</v>
      </c>
      <c r="C12" s="1184" t="n">
        <f aca="false">'Sources &amp; Uses'!B18</f>
        <v>0</v>
      </c>
      <c r="D12" s="1167"/>
      <c r="E12" s="1633"/>
      <c r="F12" s="1183" t="n">
        <f aca="false">'Sources &amp; Uses'!E15</f>
        <v>0</v>
      </c>
      <c r="G12" s="1184" t="n">
        <f aca="false">'Sources &amp; Uses'!F15</f>
        <v>0</v>
      </c>
      <c r="H12" s="1167"/>
      <c r="I12" s="1157"/>
      <c r="J12" s="1224" t="str">
        <f aca="false">Personnel!A30</f>
        <v>Trades</v>
      </c>
      <c r="K12" s="1217" t="n">
        <f aca="false">Personnel!BL30</f>
        <v>2412800</v>
      </c>
      <c r="L12" s="1217" t="n">
        <f aca="false">Personnel!BM30</f>
        <v>2533440</v>
      </c>
      <c r="M12" s="1218" t="n">
        <f aca="false">Personnel!BN30</f>
        <v>2660112</v>
      </c>
      <c r="N12" s="1218" t="n">
        <f aca="false">Personnel!BO30</f>
        <v>2793117.6</v>
      </c>
      <c r="O12" s="1218" t="n">
        <f aca="false">Personnel!BP30</f>
        <v>2932773.48</v>
      </c>
      <c r="P12" s="1189"/>
      <c r="Q12" s="1189"/>
      <c r="R12" s="1230"/>
      <c r="S12" s="1157"/>
      <c r="T12" s="1666" t="str">
        <f aca="false">Personnel!A30</f>
        <v>Trades</v>
      </c>
      <c r="U12" s="1221" t="n">
        <f aca="false">Personnel!D30</f>
        <v>41600</v>
      </c>
      <c r="V12" s="1221" t="n">
        <f aca="false">Personnel!E30</f>
        <v>83200</v>
      </c>
      <c r="W12" s="1221" t="n">
        <f aca="false">Personnel!F30</f>
        <v>104000</v>
      </c>
      <c r="X12" s="1221" t="n">
        <f aca="false">Personnel!G30</f>
        <v>104000</v>
      </c>
      <c r="Y12" s="1221" t="n">
        <f aca="false">Personnel!H30</f>
        <v>104000</v>
      </c>
      <c r="Z12" s="1221" t="n">
        <f aca="false">Personnel!I30</f>
        <v>156000</v>
      </c>
      <c r="AA12" s="1221" t="n">
        <f aca="false">Personnel!J30</f>
        <v>260000</v>
      </c>
      <c r="AB12" s="1221" t="n">
        <f aca="false">Personnel!K30</f>
        <v>312000</v>
      </c>
      <c r="AC12" s="1221" t="n">
        <f aca="false">Personnel!L30</f>
        <v>312000</v>
      </c>
      <c r="AD12" s="1221" t="n">
        <f aca="false">Personnel!M30</f>
        <v>312000</v>
      </c>
      <c r="AE12" s="1221" t="n">
        <f aca="false">Personnel!N30</f>
        <v>312000</v>
      </c>
      <c r="AF12" s="1222" t="n">
        <f aca="false">Personnel!O30</f>
        <v>312000</v>
      </c>
      <c r="AG12" s="1167"/>
      <c r="AH12" s="1163"/>
      <c r="AI12" s="1672" t="str">
        <f aca="false">Revenue!A120</f>
        <v>Direct Cost of Revenue</v>
      </c>
      <c r="AJ12" s="1667"/>
      <c r="AK12" s="1667"/>
      <c r="AL12" s="1217"/>
      <c r="AM12" s="1217"/>
      <c r="AN12" s="1218"/>
      <c r="AO12" s="1218"/>
      <c r="AP12" s="1218"/>
      <c r="AQ12" s="1189"/>
      <c r="AR12" s="1189"/>
      <c r="AS12" s="1189"/>
      <c r="AT12" s="1163"/>
      <c r="AU12" s="1674" t="str">
        <f aca="false">Revenue!A120</f>
        <v>Direct Cost of Revenue</v>
      </c>
      <c r="AV12" s="1246"/>
      <c r="AW12" s="1246"/>
      <c r="AX12" s="1246"/>
      <c r="AY12" s="1246"/>
      <c r="AZ12" s="1246"/>
      <c r="BA12" s="1246"/>
      <c r="BB12" s="1246"/>
      <c r="BC12" s="1246"/>
      <c r="BD12" s="1246"/>
      <c r="BE12" s="1246"/>
      <c r="BF12" s="1246"/>
      <c r="BG12" s="1247"/>
      <c r="BH12" s="1189"/>
      <c r="BI12" s="1189"/>
      <c r="BJ12" s="1189"/>
      <c r="BK12" s="1224" t="str">
        <f aca="false">Revenue!A83</f>
        <v>SS-14</v>
      </c>
      <c r="BL12" s="1217" t="n">
        <f aca="false">Revenue!BJ82</f>
        <v>1238.39285714286</v>
      </c>
      <c r="BM12" s="1217" t="n">
        <f aca="false">Revenue!BK82</f>
        <v>5903.57142857143</v>
      </c>
      <c r="BN12" s="1218" t="n">
        <f aca="false">Revenue!BL82</f>
        <v>14250</v>
      </c>
      <c r="BO12" s="1218" t="n">
        <f aca="false">Revenue!BM82</f>
        <v>14250</v>
      </c>
      <c r="BP12" s="1218" t="n">
        <f aca="false">Revenue!BN82</f>
        <v>14250</v>
      </c>
      <c r="BQ12" s="1189"/>
      <c r="BR12" s="1189"/>
      <c r="BS12" s="1198"/>
      <c r="BT12" s="1189"/>
      <c r="BU12" s="1666" t="str">
        <f aca="false">Revenue!A83</f>
        <v>SS-14</v>
      </c>
      <c r="BV12" s="1221" t="n">
        <f aca="false">Revenue!G82</f>
        <v>67.8571428571429</v>
      </c>
      <c r="BW12" s="1221" t="n">
        <f aca="false">Revenue!H82</f>
        <v>101.785714285714</v>
      </c>
      <c r="BX12" s="1221" t="n">
        <f aca="false">Revenue!I82</f>
        <v>135.714285714286</v>
      </c>
      <c r="BY12" s="1221" t="n">
        <f aca="false">Revenue!J82</f>
        <v>169.642857142857</v>
      </c>
      <c r="BZ12" s="1221" t="n">
        <f aca="false">Revenue!K82</f>
        <v>203.571428571429</v>
      </c>
      <c r="CA12" s="1221" t="n">
        <f aca="false">Revenue!L82</f>
        <v>237.5</v>
      </c>
      <c r="CB12" s="1221" t="n">
        <f aca="false">Revenue!M82</f>
        <v>271.428571428571</v>
      </c>
      <c r="CC12" s="1221" t="n">
        <f aca="false">Revenue!N82</f>
        <v>305.357142857143</v>
      </c>
      <c r="CD12" s="1221" t="n">
        <f aca="false">Revenue!O82</f>
        <v>339.285714285714</v>
      </c>
      <c r="CE12" s="1221"/>
      <c r="CF12" s="1221"/>
      <c r="CG12" s="1222"/>
      <c r="CH12" s="1189"/>
      <c r="CI12" s="1189"/>
      <c r="CJ12" s="1641"/>
      <c r="CK12" s="1657" t="str">
        <f aca="false">'P&amp;L'!A41</f>
        <v>Total Op. Expenses</v>
      </c>
      <c r="CL12" s="1682"/>
      <c r="CM12" s="1682"/>
      <c r="CN12" s="1685" t="n">
        <f aca="false">'P&amp;L'!BJ41</f>
        <v>7158057.74494405</v>
      </c>
      <c r="CO12" s="1685" t="n">
        <f aca="false">'P&amp;L'!BK41</f>
        <v>20895282.5696614</v>
      </c>
      <c r="CP12" s="1685" t="n">
        <f aca="false">'P&amp;L'!BL41</f>
        <v>35027776.063542</v>
      </c>
      <c r="CQ12" s="1374" t="n">
        <f aca="false">'P&amp;L'!BM41</f>
        <v>37218991.7694791</v>
      </c>
      <c r="CR12" s="1374" t="n">
        <f aca="false">'P&amp;L'!BN41</f>
        <v>39450126.2413681</v>
      </c>
      <c r="CS12" s="1189"/>
      <c r="CT12" s="1189"/>
      <c r="CU12" s="1167"/>
      <c r="CV12" s="1157"/>
      <c r="CW12" s="1195" t="str">
        <f aca="false">CK12</f>
        <v>Total Op. Expenses</v>
      </c>
      <c r="CX12" s="1221" t="n">
        <f aca="false">'P&amp;L'!B41</f>
        <v>395805.9718</v>
      </c>
      <c r="CY12" s="1221" t="n">
        <f aca="false">'P&amp;L'!C41</f>
        <v>412861.9718</v>
      </c>
      <c r="CZ12" s="1221" t="n">
        <f aca="false">'P&amp;L'!D41</f>
        <v>421481.6858</v>
      </c>
      <c r="DA12" s="1221" t="n">
        <f aca="false">'P&amp;L'!E41</f>
        <v>434809.677886905</v>
      </c>
      <c r="DB12" s="1221" t="n">
        <f aca="false">'P&amp;L'!F41</f>
        <v>448229.38397381</v>
      </c>
      <c r="DC12" s="1221" t="n">
        <f aca="false">'P&amp;L'!G41</f>
        <v>496388.796147619</v>
      </c>
      <c r="DD12" s="1221" t="n">
        <f aca="false">'P&amp;L'!H41</f>
        <v>608656.708321429</v>
      </c>
      <c r="DE12" s="1221" t="n">
        <f aca="false">'P&amp;L'!I41</f>
        <v>686496.075495238</v>
      </c>
      <c r="DF12" s="1221" t="n">
        <f aca="false">'P&amp;L'!J41</f>
        <v>737231.512669048</v>
      </c>
      <c r="DG12" s="1221" t="n">
        <f aca="false">'P&amp;L'!K41</f>
        <v>789756.389842857</v>
      </c>
      <c r="DH12" s="1221" t="n">
        <f aca="false">'P&amp;L'!L41</f>
        <v>836907.347016667</v>
      </c>
      <c r="DI12" s="1222" t="n">
        <f aca="false">'P&amp;L'!M41</f>
        <v>889432.224190476</v>
      </c>
      <c r="DJ12" s="1167"/>
      <c r="DK12" s="1163"/>
      <c r="DL12" s="1248" t="str">
        <f aca="false">'Cash Flow'!A34</f>
        <v>Purchase of Other Current Assets</v>
      </c>
      <c r="DM12" s="1669" t="n">
        <f aca="false">'Cash Flow'!BH34</f>
        <v>-0</v>
      </c>
      <c r="DN12" s="1669" t="n">
        <f aca="false">'Cash Flow'!BI34</f>
        <v>-0</v>
      </c>
      <c r="DO12" s="1669" t="n">
        <f aca="false">'Cash Flow'!BJ34</f>
        <v>0</v>
      </c>
      <c r="DP12" s="1218" t="n">
        <f aca="false">'Cash Flow'!BK34</f>
        <v>0</v>
      </c>
      <c r="DQ12" s="1218" t="n">
        <f aca="false">'Cash Flow'!BL34</f>
        <v>0</v>
      </c>
      <c r="DR12" s="1189"/>
      <c r="DS12" s="1189"/>
      <c r="DT12" s="1274"/>
      <c r="DU12" s="1157"/>
      <c r="DV12" s="1670" t="str">
        <f aca="false">DL12</f>
        <v>Purchase of Other Current Assets</v>
      </c>
      <c r="DW12" s="1246" t="n">
        <f aca="false">'Cash Flow'!B34</f>
        <v>-0</v>
      </c>
      <c r="DX12" s="1246" t="n">
        <f aca="false">'Cash Flow'!C34</f>
        <v>-0</v>
      </c>
      <c r="DY12" s="1246" t="n">
        <f aca="false">'Cash Flow'!D34</f>
        <v>-0</v>
      </c>
      <c r="DZ12" s="1246" t="n">
        <f aca="false">'Cash Flow'!E34</f>
        <v>-0</v>
      </c>
      <c r="EA12" s="1246" t="n">
        <f aca="false">'Cash Flow'!F34</f>
        <v>-0</v>
      </c>
      <c r="EB12" s="1246" t="n">
        <f aca="false">'Cash Flow'!G34</f>
        <v>-0</v>
      </c>
      <c r="EC12" s="1246" t="n">
        <f aca="false">'Cash Flow'!H34</f>
        <v>-0</v>
      </c>
      <c r="ED12" s="1246" t="n">
        <f aca="false">'Cash Flow'!I34</f>
        <v>-0</v>
      </c>
      <c r="EE12" s="1246" t="n">
        <f aca="false">'Cash Flow'!J34</f>
        <v>-0</v>
      </c>
      <c r="EF12" s="1246" t="n">
        <f aca="false">'Cash Flow'!K34</f>
        <v>-0</v>
      </c>
      <c r="EG12" s="1246" t="n">
        <f aca="false">'Cash Flow'!L34</f>
        <v>-0</v>
      </c>
      <c r="EH12" s="1222" t="n">
        <f aca="false">'Cash Flow'!M34</f>
        <v>-0</v>
      </c>
      <c r="EI12" s="1274"/>
      <c r="EJ12" s="1157"/>
      <c r="EK12" s="1224" t="str">
        <f aca="false">EU12</f>
        <v>Accum. Depreciation</v>
      </c>
      <c r="EL12" s="1217" t="n">
        <f aca="false">'Balance Sheet'!BJ11</f>
        <v>644079.825</v>
      </c>
      <c r="EM12" s="1217" t="n">
        <f aca="false">'Balance Sheet'!BK11</f>
        <v>2978614.485</v>
      </c>
      <c r="EN12" s="1218" t="n">
        <f aca="false">'Balance Sheet'!BL11</f>
        <v>5324799.525</v>
      </c>
      <c r="EO12" s="1218" t="n">
        <f aca="false">'Balance Sheet'!BM11</f>
        <v>7670984.565</v>
      </c>
      <c r="EP12" s="1218" t="n">
        <f aca="false">'Balance Sheet'!BN11</f>
        <v>10017169.605</v>
      </c>
      <c r="EQ12" s="1189"/>
      <c r="ER12" s="1189"/>
      <c r="ES12" s="1167"/>
      <c r="ET12" s="1157"/>
      <c r="EU12" s="1666" t="str">
        <f aca="false">'Balance Sheet'!A11</f>
        <v>Accum. Depreciation</v>
      </c>
      <c r="EV12" s="1246" t="n">
        <f aca="false">'Balance Sheet'!B11</f>
        <v>0</v>
      </c>
      <c r="EW12" s="1246" t="n">
        <f aca="false">'Balance Sheet'!C11</f>
        <v>0</v>
      </c>
      <c r="EX12" s="1246" t="n">
        <f aca="false">'Balance Sheet'!D11</f>
        <v>0</v>
      </c>
      <c r="EY12" s="1246" t="n">
        <f aca="false">'Balance Sheet'!E11</f>
        <v>0</v>
      </c>
      <c r="EZ12" s="1246" t="n">
        <f aca="false">'Balance Sheet'!F11</f>
        <v>0</v>
      </c>
      <c r="FA12" s="1246" t="n">
        <f aca="false">'Balance Sheet'!G11</f>
        <v>0</v>
      </c>
      <c r="FB12" s="1246" t="n">
        <f aca="false">'Balance Sheet'!H11</f>
        <v>42788.5</v>
      </c>
      <c r="FC12" s="1246" t="n">
        <f aca="false">'Balance Sheet'!I11</f>
        <v>115256.955</v>
      </c>
      <c r="FD12" s="1246" t="n">
        <f aca="false">'Balance Sheet'!J11</f>
        <v>211621.435</v>
      </c>
      <c r="FE12" s="1246" t="n">
        <f aca="false">'Balance Sheet'!K11</f>
        <v>333671.38</v>
      </c>
      <c r="FF12" s="1246" t="n">
        <f aca="false">'Balance Sheet'!L11</f>
        <v>476032.87</v>
      </c>
      <c r="FG12" s="1247" t="n">
        <f aca="false">'Balance Sheet'!M11</f>
        <v>644079.825</v>
      </c>
      <c r="FH12" s="1167"/>
      <c r="FI12" s="1163"/>
      <c r="FJ12" s="1672"/>
      <c r="FK12" s="1672"/>
      <c r="FL12" s="1672"/>
      <c r="FM12" s="1667"/>
      <c r="FN12" s="1667"/>
      <c r="FO12" s="1217"/>
      <c r="FP12" s="1217"/>
      <c r="FQ12" s="1218"/>
      <c r="FR12" s="1218"/>
      <c r="FS12" s="1218"/>
      <c r="FT12" s="1167"/>
      <c r="FU12" s="1167"/>
      <c r="FV12" s="1167"/>
      <c r="FW12" s="1167"/>
      <c r="FX12" s="1167"/>
      <c r="FY12" s="1167"/>
      <c r="FZ12" s="1189"/>
      <c r="GA12" s="1163"/>
      <c r="GB12" s="1664" t="s">
        <v>1799</v>
      </c>
      <c r="GC12" s="1217" t="n">
        <f aca="false">SUM(GC8:GC11)</f>
        <v>0</v>
      </c>
      <c r="GD12" s="1217" t="n">
        <f aca="false">SUM(GD8:GD11)</f>
        <v>0</v>
      </c>
      <c r="GE12" s="1218" t="n">
        <f aca="false">SUM(GE8:GE11)</f>
        <v>0</v>
      </c>
      <c r="GF12" s="1167"/>
      <c r="GG12" s="1163"/>
      <c r="GH12" s="1664" t="s">
        <v>1919</v>
      </c>
      <c r="GI12" s="1217" t="n">
        <f aca="false">'Tables 5Y'!EU23</f>
        <v>30</v>
      </c>
      <c r="GJ12" s="1217" t="n">
        <f aca="false">GI12</f>
        <v>30</v>
      </c>
      <c r="GK12" s="1218" t="n">
        <f aca="false">GJ12</f>
        <v>30</v>
      </c>
      <c r="GL12" s="1218" t="n">
        <f aca="false">GK12</f>
        <v>30</v>
      </c>
      <c r="GM12" s="1218" t="n">
        <f aca="false">GL12</f>
        <v>30</v>
      </c>
      <c r="GN12" s="1189"/>
      <c r="GO12" s="1189"/>
      <c r="GP12" s="1167"/>
      <c r="GQ12" s="1167"/>
      <c r="GR12" s="1167"/>
      <c r="GS12" s="1167"/>
      <c r="GT12" s="1167"/>
      <c r="GU12" s="1167"/>
      <c r="GV12" s="1163"/>
      <c r="GW12" s="1224"/>
      <c r="GX12" s="1217"/>
      <c r="GY12" s="1217"/>
      <c r="GZ12" s="1218"/>
      <c r="HA12" s="1218"/>
      <c r="HB12" s="1218"/>
      <c r="HC12" s="1189"/>
      <c r="HD12" s="1189"/>
      <c r="HE12" s="1189"/>
      <c r="HF12" s="1189"/>
      <c r="HG12" s="1651"/>
      <c r="HH12" s="1684"/>
      <c r="HI12" s="1277"/>
      <c r="HJ12" s="1277"/>
      <c r="HK12" s="1278"/>
      <c r="HL12" s="1278"/>
      <c r="HM12" s="1278"/>
      <c r="HN12" s="1167"/>
      <c r="HO12" s="1167"/>
      <c r="HP12" s="1167"/>
      <c r="HQ12" s="1167"/>
      <c r="HR12" s="1167"/>
      <c r="HS12" s="1163"/>
      <c r="HT12" s="1686"/>
      <c r="HU12" s="1338"/>
      <c r="HV12" s="1338"/>
      <c r="HW12" s="1338"/>
      <c r="HX12" s="1338"/>
      <c r="HY12" s="1338"/>
      <c r="HZ12" s="1338"/>
      <c r="IA12" s="1338"/>
      <c r="IB12" s="1338"/>
      <c r="IC12" s="1338"/>
      <c r="ID12" s="1338"/>
      <c r="IE12" s="1338"/>
      <c r="IF12" s="1339"/>
    </row>
    <row r="13" customFormat="false" ht="12.75" hidden="false" customHeight="true" outlineLevel="0" collapsed="false">
      <c r="A13" s="1633"/>
      <c r="B13" s="1300" t="n">
        <f aca="false">'Sources &amp; Uses'!A19</f>
        <v>0</v>
      </c>
      <c r="C13" s="1184" t="n">
        <f aca="false">'Sources &amp; Uses'!B19</f>
        <v>0</v>
      </c>
      <c r="D13" s="1167"/>
      <c r="E13" s="1633"/>
      <c r="F13" s="1183" t="n">
        <f aca="false">'Sources &amp; Uses'!E16</f>
        <v>0</v>
      </c>
      <c r="G13" s="1184" t="n">
        <f aca="false">'Sources &amp; Uses'!F16</f>
        <v>0</v>
      </c>
      <c r="H13" s="1167"/>
      <c r="I13" s="1157"/>
      <c r="J13" s="1687" t="str">
        <f aca="false">T13</f>
        <v>Total Payroll</v>
      </c>
      <c r="K13" s="1341" t="n">
        <f aca="false">Personnel!BL41</f>
        <v>2912799.76</v>
      </c>
      <c r="L13" s="1341" t="n">
        <f aca="false">Personnel!BM41</f>
        <v>11102839.748</v>
      </c>
      <c r="M13" s="1342" t="n">
        <f aca="false">Personnel!BN41</f>
        <v>15136001.7354</v>
      </c>
      <c r="N13" s="1342" t="n">
        <f aca="false">Personnel!BO41</f>
        <v>15892801.82217</v>
      </c>
      <c r="O13" s="1342" t="n">
        <f aca="false">Personnel!BP41</f>
        <v>16687441.9132785</v>
      </c>
      <c r="P13" s="1189"/>
      <c r="Q13" s="1189"/>
      <c r="R13" s="1230"/>
      <c r="S13" s="1157"/>
      <c r="T13" s="1688" t="str">
        <f aca="false">Personnel!A41</f>
        <v>Total Payroll</v>
      </c>
      <c r="U13" s="1338" t="n">
        <f aca="false">Personnel!D41</f>
        <v>83266.6466666667</v>
      </c>
      <c r="V13" s="1338" t="n">
        <f aca="false">Personnel!E41</f>
        <v>124866.646666667</v>
      </c>
      <c r="W13" s="1338" t="n">
        <f aca="false">Personnel!F41</f>
        <v>145666.646666667</v>
      </c>
      <c r="X13" s="1338" t="n">
        <f aca="false">Personnel!G41</f>
        <v>145666.646666667</v>
      </c>
      <c r="Y13" s="1338" t="n">
        <f aca="false">Personnel!H41</f>
        <v>145666.646666667</v>
      </c>
      <c r="Z13" s="1338" t="n">
        <f aca="false">Personnel!I41</f>
        <v>197666.646666667</v>
      </c>
      <c r="AA13" s="1338" t="n">
        <f aca="false">Personnel!J41</f>
        <v>301666.646666667</v>
      </c>
      <c r="AB13" s="1338" t="n">
        <f aca="false">Personnel!K41</f>
        <v>353666.646666667</v>
      </c>
      <c r="AC13" s="1338" t="n">
        <f aca="false">Personnel!L41</f>
        <v>353666.646666667</v>
      </c>
      <c r="AD13" s="1338" t="n">
        <f aca="false">Personnel!M41</f>
        <v>353666.646666667</v>
      </c>
      <c r="AE13" s="1338" t="n">
        <f aca="false">Personnel!N41</f>
        <v>353666.646666667</v>
      </c>
      <c r="AF13" s="1339" t="n">
        <f aca="false">Personnel!O41</f>
        <v>353666.646666667</v>
      </c>
      <c r="AG13" s="1167"/>
      <c r="AH13" s="1163"/>
      <c r="AI13" s="1224" t="str">
        <f aca="false">Revenue!A121</f>
        <v>CS-2.5</v>
      </c>
      <c r="AJ13" s="1667" t="n">
        <f aca="false">AL13</f>
        <v>88955.7142857143</v>
      </c>
      <c r="AK13" s="1667" t="n">
        <f aca="false">AL13-AJ13</f>
        <v>0</v>
      </c>
      <c r="AL13" s="1217" t="n">
        <f aca="false">Revenue!BJ121</f>
        <v>88955.7142857143</v>
      </c>
      <c r="AM13" s="1217" t="n">
        <f aca="false">Revenue!BK121</f>
        <v>445266</v>
      </c>
      <c r="AN13" s="1218" t="n">
        <f aca="false">Revenue!BL121</f>
        <v>1125960</v>
      </c>
      <c r="AO13" s="1218" t="n">
        <f aca="false">Revenue!BM121</f>
        <v>1177140</v>
      </c>
      <c r="AP13" s="1218" t="n">
        <f aca="false">Revenue!BN121</f>
        <v>1228320</v>
      </c>
      <c r="AQ13" s="1189"/>
      <c r="AR13" s="1189"/>
      <c r="AS13" s="1189"/>
      <c r="AT13" s="1163"/>
      <c r="AU13" s="1666" t="str">
        <f aca="false">Revenue!A121</f>
        <v>CS-2.5</v>
      </c>
      <c r="AV13" s="1246" t="n">
        <f aca="false">Revenue!B121</f>
        <v>0</v>
      </c>
      <c r="AW13" s="1246" t="n">
        <f aca="false">Revenue!C121</f>
        <v>0</v>
      </c>
      <c r="AX13" s="1246" t="n">
        <f aca="false">Revenue!D121</f>
        <v>32.7552</v>
      </c>
      <c r="AY13" s="1246" t="n">
        <f aca="false">Revenue!E121</f>
        <v>1218.57142857143</v>
      </c>
      <c r="AZ13" s="1246" t="n">
        <f aca="false">Revenue!F121</f>
        <v>2437.14285714286</v>
      </c>
      <c r="BA13" s="1246" t="n">
        <f aca="false">Revenue!G121</f>
        <v>4874.28571428572</v>
      </c>
      <c r="BB13" s="1246" t="n">
        <f aca="false">Revenue!H121</f>
        <v>7311.42857142858</v>
      </c>
      <c r="BC13" s="1246" t="n">
        <f aca="false">Revenue!I121</f>
        <v>9748.57142857144</v>
      </c>
      <c r="BD13" s="1246" t="n">
        <f aca="false">Revenue!J121</f>
        <v>12185.7142857143</v>
      </c>
      <c r="BE13" s="1246" t="n">
        <f aca="false">Revenue!K121</f>
        <v>14622.8571428571</v>
      </c>
      <c r="BF13" s="1246" t="n">
        <f aca="false">Revenue!L121</f>
        <v>17060</v>
      </c>
      <c r="BG13" s="1247" t="n">
        <f aca="false">Revenue!M121</f>
        <v>19497.1428571428</v>
      </c>
      <c r="BH13" s="1189"/>
      <c r="BI13" s="1189"/>
      <c r="BJ13" s="1189"/>
      <c r="BK13" s="1664" t="str">
        <f aca="false">Revenue!A86</f>
        <v>Total DI</v>
      </c>
      <c r="BL13" s="1217" t="n">
        <f aca="false">Revenue!BJ86</f>
        <v>312857.229761905</v>
      </c>
      <c r="BM13" s="1217" t="n">
        <f aca="false">Revenue!BK86</f>
        <v>1491428.98571429</v>
      </c>
      <c r="BN13" s="1218" t="n">
        <f aca="false">Revenue!BL86</f>
        <v>3600001</v>
      </c>
      <c r="BO13" s="1218" t="n">
        <f aca="false">Revenue!BM86</f>
        <v>3600001</v>
      </c>
      <c r="BP13" s="1218" t="n">
        <f aca="false">Revenue!BN86</f>
        <v>3600001</v>
      </c>
      <c r="BQ13" s="1189"/>
      <c r="BR13" s="1189"/>
      <c r="BS13" s="1198"/>
      <c r="BT13" s="1189"/>
      <c r="BU13" s="1670" t="str">
        <f aca="false">BK13</f>
        <v>Total DI</v>
      </c>
      <c r="BV13" s="1221" t="n">
        <f aca="false">Revenue!B86</f>
        <v>0</v>
      </c>
      <c r="BW13" s="1221" t="n">
        <f aca="false">Revenue!C86</f>
        <v>0</v>
      </c>
      <c r="BX13" s="1221" t="n">
        <f aca="false">Revenue!D86</f>
        <v>0</v>
      </c>
      <c r="BY13" s="1221" t="n">
        <f aca="false">Revenue!E86</f>
        <v>4285.71547619048</v>
      </c>
      <c r="BZ13" s="1221" t="n">
        <f aca="false">Revenue!F86</f>
        <v>8571.43095238095</v>
      </c>
      <c r="CA13" s="1221" t="n">
        <f aca="false">Revenue!G86</f>
        <v>17142.8619047619</v>
      </c>
      <c r="CB13" s="1221" t="n">
        <f aca="false">Revenue!H86</f>
        <v>25714.2928571429</v>
      </c>
      <c r="CC13" s="1221" t="n">
        <f aca="false">Revenue!I86</f>
        <v>34285.7238095238</v>
      </c>
      <c r="CD13" s="1221" t="n">
        <f aca="false">Revenue!J86</f>
        <v>42857.1547619048</v>
      </c>
      <c r="CE13" s="1221" t="n">
        <f aca="false">Revenue!K86</f>
        <v>51428.5857142857</v>
      </c>
      <c r="CF13" s="1221" t="n">
        <f aca="false">Revenue!L86</f>
        <v>60000.0166666667</v>
      </c>
      <c r="CG13" s="1222" t="n">
        <f aca="false">Revenue!M86</f>
        <v>68571.4476190476</v>
      </c>
      <c r="CH13" s="1189"/>
      <c r="CI13" s="1189"/>
      <c r="CJ13" s="1641"/>
      <c r="CK13" s="1657"/>
      <c r="CL13" s="1667"/>
      <c r="CM13" s="1667"/>
      <c r="CN13" s="1669"/>
      <c r="CO13" s="1669"/>
      <c r="CP13" s="1669"/>
      <c r="CQ13" s="1218"/>
      <c r="CR13" s="1218"/>
      <c r="CS13" s="1189"/>
      <c r="CT13" s="1189"/>
      <c r="CU13" s="1167"/>
      <c r="CV13" s="1157"/>
      <c r="CW13" s="1653"/>
      <c r="CX13" s="1221"/>
      <c r="CY13" s="1221"/>
      <c r="CZ13" s="1221"/>
      <c r="DA13" s="1221"/>
      <c r="DB13" s="1221"/>
      <c r="DC13" s="1221"/>
      <c r="DD13" s="1221"/>
      <c r="DE13" s="1221"/>
      <c r="DF13" s="1221"/>
      <c r="DG13" s="1221"/>
      <c r="DH13" s="1221"/>
      <c r="DI13" s="1222"/>
      <c r="DJ13" s="1167"/>
      <c r="DK13" s="1163"/>
      <c r="DL13" s="1248" t="str">
        <f aca="false">'Cash Flow'!A35</f>
        <v>Sale of Other Current Assets</v>
      </c>
      <c r="DM13" s="1669" t="n">
        <f aca="false">'Cash Flow'!BH35</f>
        <v>0</v>
      </c>
      <c r="DN13" s="1669" t="n">
        <f aca="false">'Cash Flow'!BI35</f>
        <v>0</v>
      </c>
      <c r="DO13" s="1669" t="n">
        <f aca="false">'Cash Flow'!BJ35</f>
        <v>0</v>
      </c>
      <c r="DP13" s="1218" t="n">
        <f aca="false">'Cash Flow'!BK35</f>
        <v>0</v>
      </c>
      <c r="DQ13" s="1218" t="n">
        <f aca="false">'Cash Flow'!BL35</f>
        <v>0</v>
      </c>
      <c r="DR13" s="1189"/>
      <c r="DS13" s="1189"/>
      <c r="DT13" s="1274"/>
      <c r="DU13" s="1157"/>
      <c r="DV13" s="1670" t="str">
        <f aca="false">DL13</f>
        <v>Sale of Other Current Assets</v>
      </c>
      <c r="DW13" s="1246" t="n">
        <f aca="false">'Cash Flow'!B35</f>
        <v>0</v>
      </c>
      <c r="DX13" s="1246" t="n">
        <f aca="false">'Cash Flow'!C35</f>
        <v>0</v>
      </c>
      <c r="DY13" s="1246" t="n">
        <f aca="false">'Cash Flow'!D35</f>
        <v>0</v>
      </c>
      <c r="DZ13" s="1246" t="n">
        <f aca="false">'Cash Flow'!E35</f>
        <v>0</v>
      </c>
      <c r="EA13" s="1246" t="n">
        <f aca="false">'Cash Flow'!F35</f>
        <v>0</v>
      </c>
      <c r="EB13" s="1246" t="n">
        <f aca="false">'Cash Flow'!G35</f>
        <v>0</v>
      </c>
      <c r="EC13" s="1246" t="n">
        <f aca="false">'Cash Flow'!H35</f>
        <v>0</v>
      </c>
      <c r="ED13" s="1246" t="n">
        <f aca="false">'Cash Flow'!I35</f>
        <v>0</v>
      </c>
      <c r="EE13" s="1246" t="n">
        <f aca="false">'Cash Flow'!J35</f>
        <v>0</v>
      </c>
      <c r="EF13" s="1246" t="n">
        <f aca="false">'Cash Flow'!K35</f>
        <v>0</v>
      </c>
      <c r="EG13" s="1246" t="n">
        <f aca="false">'Cash Flow'!L35</f>
        <v>0</v>
      </c>
      <c r="EH13" s="1222" t="n">
        <f aca="false">'Cash Flow'!M35</f>
        <v>0</v>
      </c>
      <c r="EI13" s="1274"/>
      <c r="EJ13" s="1157"/>
      <c r="EK13" s="1224" t="str">
        <f aca="false">EU13</f>
        <v>Land</v>
      </c>
      <c r="EL13" s="1217" t="n">
        <f aca="false">'Balance Sheet'!BJ12</f>
        <v>0</v>
      </c>
      <c r="EM13" s="1217" t="n">
        <f aca="false">'Balance Sheet'!BK12</f>
        <v>0</v>
      </c>
      <c r="EN13" s="1218" t="n">
        <f aca="false">'Balance Sheet'!BL12</f>
        <v>0</v>
      </c>
      <c r="EO13" s="1218" t="n">
        <f aca="false">'Balance Sheet'!BM12</f>
        <v>0</v>
      </c>
      <c r="EP13" s="1218" t="n">
        <f aca="false">'Balance Sheet'!BN12</f>
        <v>0</v>
      </c>
      <c r="EQ13" s="1189"/>
      <c r="ER13" s="1189"/>
      <c r="ES13" s="1167"/>
      <c r="ET13" s="1157"/>
      <c r="EU13" s="1666" t="str">
        <f aca="false">'Balance Sheet'!A12</f>
        <v>Land</v>
      </c>
      <c r="EV13" s="1246" t="n">
        <f aca="false">'Balance Sheet'!B12</f>
        <v>0</v>
      </c>
      <c r="EW13" s="1246" t="n">
        <f aca="false">'Balance Sheet'!C12</f>
        <v>0</v>
      </c>
      <c r="EX13" s="1246" t="n">
        <f aca="false">'Balance Sheet'!D12</f>
        <v>0</v>
      </c>
      <c r="EY13" s="1246" t="n">
        <f aca="false">'Balance Sheet'!E12</f>
        <v>0</v>
      </c>
      <c r="EZ13" s="1246" t="n">
        <f aca="false">'Balance Sheet'!F12</f>
        <v>0</v>
      </c>
      <c r="FA13" s="1246" t="n">
        <f aca="false">'Balance Sheet'!G12</f>
        <v>0</v>
      </c>
      <c r="FB13" s="1246" t="n">
        <f aca="false">'Balance Sheet'!H12</f>
        <v>0</v>
      </c>
      <c r="FC13" s="1246" t="n">
        <f aca="false">'Balance Sheet'!I12</f>
        <v>0</v>
      </c>
      <c r="FD13" s="1246" t="n">
        <f aca="false">'Balance Sheet'!J12</f>
        <v>0</v>
      </c>
      <c r="FE13" s="1246" t="n">
        <f aca="false">'Balance Sheet'!K12</f>
        <v>0</v>
      </c>
      <c r="FF13" s="1246" t="n">
        <f aca="false">'Balance Sheet'!L12</f>
        <v>0</v>
      </c>
      <c r="FG13" s="1247" t="n">
        <f aca="false">'Balance Sheet'!M12</f>
        <v>0</v>
      </c>
      <c r="FH13" s="1167"/>
      <c r="FI13" s="1163"/>
      <c r="FJ13" s="1683" t="s">
        <v>1921</v>
      </c>
      <c r="FK13" s="1683"/>
      <c r="FL13" s="1683"/>
      <c r="FM13" s="1667"/>
      <c r="FN13" s="1667"/>
      <c r="FO13" s="1217"/>
      <c r="FP13" s="1217"/>
      <c r="FQ13" s="1218"/>
      <c r="FR13" s="1218"/>
      <c r="FS13" s="1218"/>
      <c r="FT13" s="1167"/>
      <c r="FU13" s="1646" t="s">
        <v>2088</v>
      </c>
      <c r="FV13" s="1647" t="s">
        <v>2089</v>
      </c>
      <c r="FW13" s="1647"/>
      <c r="FX13" s="1647"/>
      <c r="FY13" s="1647"/>
      <c r="FZ13" s="1189"/>
      <c r="GA13" s="1163"/>
      <c r="GB13" s="1664"/>
      <c r="GC13" s="1217"/>
      <c r="GD13" s="1217"/>
      <c r="GE13" s="1218"/>
      <c r="GF13" s="1167"/>
      <c r="GG13" s="1163"/>
      <c r="GH13" s="1664"/>
      <c r="GI13" s="1217"/>
      <c r="GJ13" s="1217"/>
      <c r="GK13" s="1218"/>
      <c r="GL13" s="1218"/>
      <c r="GM13" s="1218"/>
      <c r="GN13" s="1189"/>
      <c r="GO13" s="1189"/>
      <c r="GP13" s="1167"/>
      <c r="GQ13" s="1167"/>
      <c r="GR13" s="1167"/>
      <c r="GS13" s="1167"/>
      <c r="GT13" s="1167"/>
      <c r="GU13" s="1167"/>
      <c r="GV13" s="1163"/>
      <c r="GW13" s="1224"/>
      <c r="GX13" s="1217"/>
      <c r="GY13" s="1217"/>
      <c r="GZ13" s="1218"/>
      <c r="HA13" s="1218"/>
      <c r="HB13" s="1218"/>
      <c r="HC13" s="1189"/>
      <c r="HD13" s="1189"/>
      <c r="HE13" s="1189"/>
      <c r="HF13" s="1189"/>
      <c r="HG13" s="1167"/>
      <c r="HH13" s="1167"/>
      <c r="HI13" s="1167"/>
      <c r="HJ13" s="1167"/>
      <c r="HK13" s="1167"/>
      <c r="HL13" s="1167"/>
      <c r="HM13" s="1167"/>
      <c r="HN13" s="1167"/>
      <c r="HO13" s="1167"/>
      <c r="HP13" s="1167"/>
      <c r="HQ13" s="1167"/>
      <c r="HR13" s="1167"/>
      <c r="HS13" s="1167"/>
      <c r="HT13" s="1167"/>
      <c r="HU13" s="1167"/>
      <c r="HV13" s="1167"/>
      <c r="HW13" s="1167"/>
      <c r="HX13" s="1167"/>
      <c r="HY13" s="1167"/>
      <c r="HZ13" s="1167"/>
      <c r="IA13" s="1167"/>
      <c r="IB13" s="1167"/>
      <c r="IC13" s="1167"/>
      <c r="ID13" s="1167"/>
      <c r="IE13" s="1167"/>
      <c r="IF13" s="1167"/>
    </row>
    <row r="14" customFormat="false" ht="12.75" hidden="false" customHeight="true" outlineLevel="0" collapsed="false">
      <c r="A14" s="1633"/>
      <c r="B14" s="1300" t="n">
        <f aca="false">'Sources &amp; Uses'!A20</f>
        <v>0</v>
      </c>
      <c r="C14" s="1184" t="n">
        <f aca="false">'Sources &amp; Uses'!B20</f>
        <v>0</v>
      </c>
      <c r="D14" s="1167"/>
      <c r="E14" s="1633"/>
      <c r="F14" s="1183" t="n">
        <f aca="false">'Sources &amp; Uses'!E17</f>
        <v>0</v>
      </c>
      <c r="G14" s="1184" t="n">
        <f aca="false">'Sources &amp; Uses'!F17</f>
        <v>0</v>
      </c>
      <c r="H14" s="1167"/>
      <c r="I14" s="1453"/>
      <c r="J14" s="1167"/>
      <c r="K14" s="1167"/>
      <c r="L14" s="1167"/>
      <c r="M14" s="1167"/>
      <c r="N14" s="1167"/>
      <c r="O14" s="1167"/>
      <c r="P14" s="1150"/>
      <c r="Q14" s="1150"/>
      <c r="R14" s="1362"/>
      <c r="S14" s="1453"/>
      <c r="T14" s="1167"/>
      <c r="U14" s="1167"/>
      <c r="V14" s="1167"/>
      <c r="W14" s="1167"/>
      <c r="X14" s="1167"/>
      <c r="Y14" s="1167"/>
      <c r="Z14" s="1167"/>
      <c r="AA14" s="1167"/>
      <c r="AB14" s="1167"/>
      <c r="AC14" s="1167"/>
      <c r="AD14" s="1167"/>
      <c r="AE14" s="1167"/>
      <c r="AF14" s="1167"/>
      <c r="AG14" s="1167"/>
      <c r="AH14" s="1163"/>
      <c r="AI14" s="1224" t="str">
        <f aca="false">Revenue!A146</f>
        <v>SS-12</v>
      </c>
      <c r="AJ14" s="1667" t="n">
        <f aca="false">AL14</f>
        <v>25178.0128571429</v>
      </c>
      <c r="AK14" s="1667" t="n">
        <f aca="false">AL14-AJ14</f>
        <v>0</v>
      </c>
      <c r="AL14" s="1217" t="n">
        <f aca="false">Revenue!BJ146</f>
        <v>25178.0128571429</v>
      </c>
      <c r="AM14" s="1217" t="n">
        <f aca="false">Revenue!BK146</f>
        <v>126028.026</v>
      </c>
      <c r="AN14" s="1218" t="n">
        <f aca="false">Revenue!BL146</f>
        <v>318691.56</v>
      </c>
      <c r="AO14" s="1218" t="n">
        <f aca="false">Revenue!BM146</f>
        <v>333177.54</v>
      </c>
      <c r="AP14" s="1218" t="n">
        <f aca="false">Revenue!BN146</f>
        <v>347663.52</v>
      </c>
      <c r="AQ14" s="1189"/>
      <c r="AR14" s="1189"/>
      <c r="AS14" s="1189"/>
      <c r="AT14" s="1163"/>
      <c r="AU14" s="1666" t="str">
        <f aca="false">Revenue!A146</f>
        <v>SS-12</v>
      </c>
      <c r="AV14" s="1246" t="n">
        <f aca="false">Revenue!B146</f>
        <v>0</v>
      </c>
      <c r="AW14" s="1246" t="n">
        <f aca="false">Revenue!C146</f>
        <v>0</v>
      </c>
      <c r="AX14" s="1246" t="n">
        <f aca="false">Revenue!D146</f>
        <v>20.3312</v>
      </c>
      <c r="AY14" s="1246" t="n">
        <f aca="false">Revenue!E146</f>
        <v>344.904285714285</v>
      </c>
      <c r="AZ14" s="1246" t="n">
        <f aca="false">Revenue!F146</f>
        <v>689.808571428571</v>
      </c>
      <c r="BA14" s="1246" t="n">
        <f aca="false">Revenue!G146</f>
        <v>1379.61714285714</v>
      </c>
      <c r="BB14" s="1246" t="n">
        <f aca="false">Revenue!H146</f>
        <v>2069.42571428571</v>
      </c>
      <c r="BC14" s="1246" t="n">
        <f aca="false">Revenue!I146</f>
        <v>2759.23428571429</v>
      </c>
      <c r="BD14" s="1246" t="n">
        <f aca="false">Revenue!J146</f>
        <v>3449.04285714285</v>
      </c>
      <c r="BE14" s="1246" t="n">
        <f aca="false">Revenue!K146</f>
        <v>4138.85142857144</v>
      </c>
      <c r="BF14" s="1246" t="n">
        <f aca="false">Revenue!L146</f>
        <v>4828.66</v>
      </c>
      <c r="BG14" s="1247" t="n">
        <f aca="false">Revenue!M146</f>
        <v>5518.46857142856</v>
      </c>
      <c r="BH14" s="1189"/>
      <c r="BI14" s="1189"/>
      <c r="BJ14" s="1189"/>
      <c r="BK14" s="1673"/>
      <c r="BL14" s="1217"/>
      <c r="BM14" s="1217"/>
      <c r="BN14" s="1218"/>
      <c r="BO14" s="1218"/>
      <c r="BP14" s="1218"/>
      <c r="BQ14" s="1189"/>
      <c r="BR14" s="1189"/>
      <c r="BS14" s="1198"/>
      <c r="BT14" s="1189"/>
      <c r="BU14" s="1368"/>
      <c r="BV14" s="1221"/>
      <c r="BW14" s="1221"/>
      <c r="BX14" s="1221"/>
      <c r="BY14" s="1221"/>
      <c r="BZ14" s="1221"/>
      <c r="CA14" s="1221"/>
      <c r="CB14" s="1221"/>
      <c r="CC14" s="1221"/>
      <c r="CD14" s="1221"/>
      <c r="CE14" s="1221"/>
      <c r="CF14" s="1221"/>
      <c r="CG14" s="1222"/>
      <c r="CH14" s="1189"/>
      <c r="CI14" s="1189"/>
      <c r="CJ14" s="1641"/>
      <c r="CK14" s="1668" t="str">
        <f aca="false">'P&amp;L'!A42</f>
        <v>Profit Before Int. &amp; Tax</v>
      </c>
      <c r="CL14" s="1667"/>
      <c r="CM14" s="1667"/>
      <c r="CN14" s="1669"/>
      <c r="CO14" s="1669"/>
      <c r="CP14" s="1669"/>
      <c r="CQ14" s="1218"/>
      <c r="CR14" s="1218"/>
      <c r="CS14" s="1189"/>
      <c r="CT14" s="1189"/>
      <c r="CU14" s="1167"/>
      <c r="CV14" s="1157"/>
      <c r="CW14" s="1653" t="str">
        <f aca="false">CK14</f>
        <v>Profit Before Int. &amp; Tax</v>
      </c>
      <c r="CX14" s="1221" t="n">
        <f aca="false">'P&amp;L'!B42</f>
        <v>-395805.9718</v>
      </c>
      <c r="CY14" s="1221" t="n">
        <f aca="false">'P&amp;L'!C42</f>
        <v>-412861.9718</v>
      </c>
      <c r="CZ14" s="1221" t="n">
        <f aca="false">'P&amp;L'!D42</f>
        <v>-421260.529631429</v>
      </c>
      <c r="DA14" s="1221" t="n">
        <f aca="false">'P&amp;L'!E42</f>
        <v>-384005.078357812</v>
      </c>
      <c r="DB14" s="1221" t="n">
        <f aca="false">'P&amp;L'!F42</f>
        <v>-346620.184915624</v>
      </c>
      <c r="DC14" s="1221" t="n">
        <f aca="false">'P&amp;L'!G42</f>
        <v>-293170.398031247</v>
      </c>
      <c r="DD14" s="1221" t="n">
        <f aca="false">'P&amp;L'!H42</f>
        <v>-303829.111146871</v>
      </c>
      <c r="DE14" s="1221" t="n">
        <f aca="false">'P&amp;L'!I42</f>
        <v>-280059.279262494</v>
      </c>
      <c r="DF14" s="1221" t="n">
        <f aca="false">'P&amp;L'!J42</f>
        <v>-229185.517378118</v>
      </c>
      <c r="DG14" s="1221" t="n">
        <f aca="false">'P&amp;L'!K42</f>
        <v>-180101.195493742</v>
      </c>
      <c r="DH14" s="1221" t="n">
        <f aca="false">'P&amp;L'!L42</f>
        <v>-125642.953609365</v>
      </c>
      <c r="DI14" s="1222" t="n">
        <f aca="false">'P&amp;L'!M42</f>
        <v>-76558.6317249893</v>
      </c>
      <c r="DJ14" s="1167"/>
      <c r="DK14" s="1163"/>
      <c r="DL14" s="1248" t="str">
        <f aca="false">'Cash Flow'!A36</f>
        <v>Purchase of Land</v>
      </c>
      <c r="DM14" s="1669" t="n">
        <f aca="false">'Cash Flow'!BH36</f>
        <v>-0</v>
      </c>
      <c r="DN14" s="1669" t="n">
        <f aca="false">'Cash Flow'!BI36</f>
        <v>-0</v>
      </c>
      <c r="DO14" s="1669" t="n">
        <f aca="false">'Cash Flow'!BJ36</f>
        <v>0</v>
      </c>
      <c r="DP14" s="1218" t="n">
        <f aca="false">'Cash Flow'!BK36</f>
        <v>0</v>
      </c>
      <c r="DQ14" s="1218" t="n">
        <f aca="false">'Cash Flow'!BL36</f>
        <v>0</v>
      </c>
      <c r="DR14" s="1189"/>
      <c r="DS14" s="1189"/>
      <c r="DT14" s="1274"/>
      <c r="DU14" s="1157"/>
      <c r="DV14" s="1670" t="str">
        <f aca="false">DL14</f>
        <v>Purchase of Land</v>
      </c>
      <c r="DW14" s="1246" t="n">
        <f aca="false">'Cash Flow'!B36</f>
        <v>-0</v>
      </c>
      <c r="DX14" s="1246" t="n">
        <f aca="false">'Cash Flow'!C36</f>
        <v>-0</v>
      </c>
      <c r="DY14" s="1246" t="n">
        <f aca="false">'Cash Flow'!D36</f>
        <v>-0</v>
      </c>
      <c r="DZ14" s="1246" t="n">
        <f aca="false">'Cash Flow'!E36</f>
        <v>-0</v>
      </c>
      <c r="EA14" s="1246" t="n">
        <f aca="false">'Cash Flow'!F36</f>
        <v>-0</v>
      </c>
      <c r="EB14" s="1246" t="n">
        <f aca="false">'Cash Flow'!G36</f>
        <v>-0</v>
      </c>
      <c r="EC14" s="1246" t="n">
        <f aca="false">'Cash Flow'!H36</f>
        <v>-0</v>
      </c>
      <c r="ED14" s="1246" t="n">
        <f aca="false">'Cash Flow'!I36</f>
        <v>-0</v>
      </c>
      <c r="EE14" s="1246" t="n">
        <f aca="false">'Cash Flow'!J36</f>
        <v>-0</v>
      </c>
      <c r="EF14" s="1246" t="n">
        <f aca="false">'Cash Flow'!K36</f>
        <v>-0</v>
      </c>
      <c r="EG14" s="1246" t="n">
        <f aca="false">'Cash Flow'!L36</f>
        <v>-0</v>
      </c>
      <c r="EH14" s="1222" t="n">
        <f aca="false">'Cash Flow'!M36</f>
        <v>-0</v>
      </c>
      <c r="EI14" s="1274"/>
      <c r="EJ14" s="1157"/>
      <c r="EK14" s="1672" t="str">
        <f aca="false">EU14</f>
        <v>Total Fixed Assets</v>
      </c>
      <c r="EL14" s="1217" t="n">
        <f aca="false">'Balance Sheet'!BJ13</f>
        <v>19521554.775</v>
      </c>
      <c r="EM14" s="1217" t="n">
        <f aca="false">'Balance Sheet'!BK13</f>
        <v>20483235.915</v>
      </c>
      <c r="EN14" s="1218" t="n">
        <f aca="false">'Balance Sheet'!BL13</f>
        <v>18137050.875</v>
      </c>
      <c r="EO14" s="1218" t="n">
        <f aca="false">'Balance Sheet'!BM13</f>
        <v>15790865.835</v>
      </c>
      <c r="EP14" s="1218" t="n">
        <f aca="false">'Balance Sheet'!BN13</f>
        <v>13444680.795</v>
      </c>
      <c r="EQ14" s="1189"/>
      <c r="ER14" s="1189"/>
      <c r="ES14" s="1167"/>
      <c r="ET14" s="1157"/>
      <c r="EU14" s="1674" t="str">
        <f aca="false">'Balance Sheet'!A13</f>
        <v>Total Fixed Assets</v>
      </c>
      <c r="EV14" s="1246" t="n">
        <f aca="false">'Balance Sheet'!B13</f>
        <v>0</v>
      </c>
      <c r="EW14" s="1246" t="n">
        <f aca="false">'Balance Sheet'!C13</f>
        <v>0</v>
      </c>
      <c r="EX14" s="1246" t="n">
        <f aca="false">'Balance Sheet'!D13</f>
        <v>0</v>
      </c>
      <c r="EY14" s="1246" t="n">
        <f aca="false">'Balance Sheet'!E13</f>
        <v>0</v>
      </c>
      <c r="EZ14" s="1246" t="n">
        <f aca="false">'Balance Sheet'!F13</f>
        <v>0</v>
      </c>
      <c r="FA14" s="1246" t="n">
        <f aca="false">'Balance Sheet'!G13</f>
        <v>0</v>
      </c>
      <c r="FB14" s="1246" t="n">
        <f aca="false">'Balance Sheet'!H13</f>
        <v>5091831.5</v>
      </c>
      <c r="FC14" s="1246" t="n">
        <f aca="false">'Balance Sheet'!I13</f>
        <v>8580957.645</v>
      </c>
      <c r="FD14" s="1246" t="n">
        <f aca="false">'Balance Sheet'!J13</f>
        <v>11352116.165</v>
      </c>
      <c r="FE14" s="1246" t="n">
        <f aca="false">'Balance Sheet'!K13</f>
        <v>14312322.02</v>
      </c>
      <c r="FF14" s="1246" t="n">
        <f aca="false">'Balance Sheet'!L13</f>
        <v>16607345.93</v>
      </c>
      <c r="FG14" s="1247" t="n">
        <f aca="false">'Balance Sheet'!M13</f>
        <v>19521554.775</v>
      </c>
      <c r="FH14" s="1167"/>
      <c r="FI14" s="1163"/>
      <c r="FJ14" s="1664" t="s">
        <v>1923</v>
      </c>
      <c r="FK14" s="1664"/>
      <c r="FL14" s="1664"/>
      <c r="FM14" s="1667"/>
      <c r="FN14" s="1667"/>
      <c r="FO14" s="1217" t="n">
        <f aca="false">EL25/EL15</f>
        <v>0.779557499671392</v>
      </c>
      <c r="FP14" s="1217" t="n">
        <f aca="false">EM25/EM15</f>
        <v>0.649703588666422</v>
      </c>
      <c r="FQ14" s="1218" t="n">
        <f aca="false">EN25/EN15</f>
        <v>0.34138044405256</v>
      </c>
      <c r="FR14" s="1218" t="n">
        <f aca="false">EO25/EO15</f>
        <v>0.210096845544944</v>
      </c>
      <c r="FS14" s="1218" t="n">
        <f aca="false">EP25/EP15</f>
        <v>0.141820359449206</v>
      </c>
      <c r="FT14" s="1167"/>
      <c r="FU14" s="1646"/>
      <c r="FV14" s="1663"/>
      <c r="FW14" s="1214" t="str">
        <f aca="false">FW2</f>
        <v>Year 1</v>
      </c>
      <c r="FX14" s="1214" t="str">
        <f aca="false">FX2</f>
        <v>Year 2</v>
      </c>
      <c r="FY14" s="1215" t="str">
        <f aca="false">FY2</f>
        <v>Year 3</v>
      </c>
      <c r="FZ14" s="1189"/>
      <c r="GA14" s="1163"/>
      <c r="GB14" s="1224" t="s">
        <v>1497</v>
      </c>
      <c r="GC14" s="1217"/>
      <c r="GD14" s="1217"/>
      <c r="GE14" s="1218"/>
      <c r="GF14" s="1167"/>
      <c r="GG14" s="1163"/>
      <c r="GH14" s="1265" t="s">
        <v>1920</v>
      </c>
      <c r="GI14" s="1373"/>
      <c r="GJ14" s="1373"/>
      <c r="GK14" s="1374"/>
      <c r="GL14" s="1374"/>
      <c r="GM14" s="1374"/>
      <c r="GN14" s="1150"/>
      <c r="GO14" s="1150"/>
      <c r="GP14" s="1167"/>
      <c r="GQ14" s="1167"/>
      <c r="GR14" s="1167"/>
      <c r="GS14" s="1167"/>
      <c r="GT14" s="1167"/>
      <c r="GU14" s="1167"/>
      <c r="GV14" s="1163"/>
      <c r="GW14" s="1224"/>
      <c r="GX14" s="1217"/>
      <c r="GY14" s="1217"/>
      <c r="GZ14" s="1218"/>
      <c r="HA14" s="1218"/>
      <c r="HB14" s="1218"/>
      <c r="HC14" s="1189"/>
      <c r="HD14" s="1189"/>
      <c r="HE14" s="1189"/>
      <c r="HF14" s="1189"/>
      <c r="HG14" s="1167"/>
      <c r="HH14" s="1167"/>
      <c r="HI14" s="1167"/>
      <c r="HJ14" s="1167"/>
      <c r="HK14" s="1167"/>
      <c r="HL14" s="1167"/>
      <c r="HM14" s="1167"/>
      <c r="HN14" s="1167"/>
      <c r="HO14" s="1167"/>
      <c r="HP14" s="1167"/>
      <c r="HQ14" s="1167"/>
      <c r="HR14" s="1167"/>
      <c r="HS14" s="1167"/>
      <c r="HT14" s="1167"/>
      <c r="HU14" s="1167"/>
      <c r="HV14" s="1167"/>
      <c r="HW14" s="1167"/>
      <c r="HX14" s="1167"/>
      <c r="HY14" s="1167"/>
      <c r="HZ14" s="1167"/>
      <c r="IA14" s="1167"/>
      <c r="IB14" s="1167"/>
      <c r="IC14" s="1167"/>
      <c r="ID14" s="1167"/>
      <c r="IE14" s="1167"/>
      <c r="IF14" s="1167"/>
    </row>
    <row r="15" customFormat="false" ht="12.75" hidden="false" customHeight="true" outlineLevel="0" collapsed="false">
      <c r="A15" s="1633"/>
      <c r="B15" s="1300" t="n">
        <f aca="false">'Sources &amp; Uses'!A21</f>
        <v>0</v>
      </c>
      <c r="C15" s="1184" t="n">
        <f aca="false">'Sources &amp; Uses'!B21</f>
        <v>0</v>
      </c>
      <c r="D15" s="1167"/>
      <c r="E15" s="1633"/>
      <c r="F15" s="1183" t="n">
        <f aca="false">'Sources &amp; Uses'!E18</f>
        <v>0</v>
      </c>
      <c r="G15" s="1184" t="n">
        <f aca="false">'Sources &amp; Uses'!F18</f>
        <v>0</v>
      </c>
      <c r="H15" s="1167"/>
      <c r="I15" s="1453"/>
      <c r="J15" s="1167"/>
      <c r="K15" s="1167"/>
      <c r="L15" s="1167"/>
      <c r="M15" s="1167"/>
      <c r="N15" s="1167"/>
      <c r="O15" s="1167"/>
      <c r="P15" s="1189"/>
      <c r="Q15" s="1189"/>
      <c r="R15" s="1189"/>
      <c r="S15" s="1453"/>
      <c r="T15" s="1167"/>
      <c r="U15" s="1167"/>
      <c r="V15" s="1167"/>
      <c r="W15" s="1167"/>
      <c r="X15" s="1167"/>
      <c r="Y15" s="1167"/>
      <c r="Z15" s="1167"/>
      <c r="AA15" s="1167"/>
      <c r="AB15" s="1167"/>
      <c r="AC15" s="1167"/>
      <c r="AD15" s="1167"/>
      <c r="AE15" s="1167"/>
      <c r="AF15" s="1167"/>
      <c r="AG15" s="1167"/>
      <c r="AH15" s="1163"/>
      <c r="AI15" s="1224" t="str">
        <f aca="false">Revenue!A147</f>
        <v>SS-14</v>
      </c>
      <c r="AJ15" s="1667" t="n">
        <f aca="false">AL15</f>
        <v>9431.24617346941</v>
      </c>
      <c r="AK15" s="1667" t="n">
        <f aca="false">AL15-AJ15</f>
        <v>0</v>
      </c>
      <c r="AL15" s="1217" t="n">
        <f aca="false">Revenue!BJ147</f>
        <v>9431.24617346941</v>
      </c>
      <c r="AM15" s="1217" t="n">
        <f aca="false">Revenue!BK147</f>
        <v>47207.9089285715</v>
      </c>
      <c r="AN15" s="1218" t="n">
        <f aca="false">Revenue!BL147</f>
        <v>119376.321428572</v>
      </c>
      <c r="AO15" s="1218" t="n">
        <f aca="false">Revenue!BM147</f>
        <v>124802.517857143</v>
      </c>
      <c r="AP15" s="1218" t="n">
        <f aca="false">Revenue!BN147</f>
        <v>130228.714285714</v>
      </c>
      <c r="AQ15" s="1189"/>
      <c r="AR15" s="1189"/>
      <c r="AS15" s="1189"/>
      <c r="AT15" s="1163"/>
      <c r="AU15" s="1666" t="str">
        <f aca="false">Revenue!A147</f>
        <v>SS-14</v>
      </c>
      <c r="AV15" s="1246" t="n">
        <f aca="false">Revenue!B147</f>
        <v>0</v>
      </c>
      <c r="AW15" s="1246" t="n">
        <f aca="false">Revenue!C147</f>
        <v>0</v>
      </c>
      <c r="AX15" s="1246" t="n">
        <f aca="false">Revenue!D147</f>
        <v>22.8471428571429</v>
      </c>
      <c r="AY15" s="1246" t="n">
        <f aca="false">Revenue!E147</f>
        <v>129.195153061225</v>
      </c>
      <c r="AZ15" s="1246" t="n">
        <f aca="false">Revenue!F147</f>
        <v>258.390306122449</v>
      </c>
      <c r="BA15" s="1246" t="n">
        <f aca="false">Revenue!G147</f>
        <v>516.780612244898</v>
      </c>
      <c r="BB15" s="1246" t="n">
        <f aca="false">Revenue!H147</f>
        <v>775.170918367348</v>
      </c>
      <c r="BC15" s="1246" t="n">
        <f aca="false">Revenue!I147</f>
        <v>1033.5612244898</v>
      </c>
      <c r="BD15" s="1246" t="n">
        <f aca="false">Revenue!J147</f>
        <v>1291.95153061225</v>
      </c>
      <c r="BE15" s="1246" t="n">
        <f aca="false">Revenue!K147</f>
        <v>1550.3418367347</v>
      </c>
      <c r="BF15" s="1246" t="n">
        <f aca="false">Revenue!L147</f>
        <v>1808.73214285715</v>
      </c>
      <c r="BG15" s="1247" t="n">
        <f aca="false">Revenue!M147</f>
        <v>2067.1224489796</v>
      </c>
      <c r="BH15" s="1189"/>
      <c r="BI15" s="1189"/>
      <c r="BJ15" s="1189"/>
      <c r="BK15" s="1672" t="str">
        <f aca="false">Revenue!A88</f>
        <v>Revenue DI Sell Price </v>
      </c>
      <c r="BL15" s="1217"/>
      <c r="BM15" s="1217"/>
      <c r="BN15" s="1218"/>
      <c r="BO15" s="1218"/>
      <c r="BP15" s="1218"/>
      <c r="BQ15" s="1189"/>
      <c r="BR15" s="1189"/>
      <c r="BS15" s="1198"/>
      <c r="BT15" s="1189"/>
      <c r="BU15" s="1674" t="str">
        <f aca="false">BK15</f>
        <v>Revenue DI Sell Price </v>
      </c>
      <c r="BV15" s="1221"/>
      <c r="BW15" s="1221"/>
      <c r="BX15" s="1221"/>
      <c r="BY15" s="1221"/>
      <c r="BZ15" s="1221"/>
      <c r="CA15" s="1221"/>
      <c r="CB15" s="1221"/>
      <c r="CC15" s="1221"/>
      <c r="CD15" s="1221"/>
      <c r="CE15" s="1221"/>
      <c r="CF15" s="1221"/>
      <c r="CG15" s="1222"/>
      <c r="CH15" s="1189"/>
      <c r="CI15" s="1189"/>
      <c r="CJ15" s="1641"/>
      <c r="CK15" s="1668" t="s">
        <v>1734</v>
      </c>
      <c r="CL15" s="1667"/>
      <c r="CM15" s="1667"/>
      <c r="CN15" s="1669"/>
      <c r="CO15" s="1669"/>
      <c r="CP15" s="1669"/>
      <c r="CQ15" s="1218"/>
      <c r="CR15" s="1218"/>
      <c r="CS15" s="1189"/>
      <c r="CT15" s="1189"/>
      <c r="CU15" s="1167"/>
      <c r="CV15" s="1157"/>
      <c r="CW15" s="1653" t="str">
        <f aca="false">CK15</f>
        <v>EBITDA</v>
      </c>
      <c r="CX15" s="1221" t="n">
        <f aca="false">CX14+CX11</f>
        <v>-395805.9718</v>
      </c>
      <c r="CY15" s="1221" t="n">
        <f aca="false">CY14+CY11</f>
        <v>-412861.9718</v>
      </c>
      <c r="CZ15" s="1221" t="n">
        <f aca="false">CZ14+CZ11</f>
        <v>-421260.529631429</v>
      </c>
      <c r="DA15" s="1221" t="n">
        <f aca="false">DA14+DA11</f>
        <v>-384005.078357812</v>
      </c>
      <c r="DB15" s="1221" t="n">
        <f aca="false">DB14+DB11</f>
        <v>-346620.184915624</v>
      </c>
      <c r="DC15" s="1221" t="n">
        <f aca="false">DC14+DC11</f>
        <v>-293170.398031247</v>
      </c>
      <c r="DD15" s="1221" t="n">
        <f aca="false">DD14+DD11</f>
        <v>-261040.611146871</v>
      </c>
      <c r="DE15" s="1221" t="n">
        <f aca="false">DE14+DE11</f>
        <v>-207590.824262494</v>
      </c>
      <c r="DF15" s="1221" t="n">
        <f aca="false">DF14+DF11</f>
        <v>-132821.037378118</v>
      </c>
      <c r="DG15" s="1221" t="n">
        <f aca="false">DG14+DG11</f>
        <v>-58051.2504937416</v>
      </c>
      <c r="DH15" s="1221" t="n">
        <f aca="false">DH14+DH11</f>
        <v>16718.5363906348</v>
      </c>
      <c r="DI15" s="1222" t="n">
        <f aca="false">DI14+DI11</f>
        <v>91488.3232750107</v>
      </c>
      <c r="DJ15" s="1167"/>
      <c r="DK15" s="1163"/>
      <c r="DL15" s="1248" t="str">
        <f aca="false">'Cash Flow'!A37</f>
        <v>Sale of Land</v>
      </c>
      <c r="DM15" s="1669" t="n">
        <f aca="false">'Cash Flow'!BH37</f>
        <v>0</v>
      </c>
      <c r="DN15" s="1669" t="n">
        <f aca="false">'Cash Flow'!BI37</f>
        <v>0</v>
      </c>
      <c r="DO15" s="1669" t="n">
        <f aca="false">'Cash Flow'!BJ37</f>
        <v>0</v>
      </c>
      <c r="DP15" s="1218" t="n">
        <f aca="false">'Cash Flow'!BK37</f>
        <v>0</v>
      </c>
      <c r="DQ15" s="1218" t="n">
        <f aca="false">'Cash Flow'!BL37</f>
        <v>0</v>
      </c>
      <c r="DR15" s="1189"/>
      <c r="DS15" s="1189"/>
      <c r="DT15" s="1274"/>
      <c r="DU15" s="1157"/>
      <c r="DV15" s="1670" t="str">
        <f aca="false">DL15</f>
        <v>Sale of Land</v>
      </c>
      <c r="DW15" s="1246" t="n">
        <f aca="false">'Cash Flow'!B37</f>
        <v>0</v>
      </c>
      <c r="DX15" s="1246" t="n">
        <f aca="false">'Cash Flow'!C37</f>
        <v>0</v>
      </c>
      <c r="DY15" s="1246" t="n">
        <f aca="false">'Cash Flow'!D37</f>
        <v>0</v>
      </c>
      <c r="DZ15" s="1246" t="n">
        <f aca="false">'Cash Flow'!E37</f>
        <v>0</v>
      </c>
      <c r="EA15" s="1246" t="n">
        <f aca="false">'Cash Flow'!F37</f>
        <v>0</v>
      </c>
      <c r="EB15" s="1246" t="n">
        <f aca="false">'Cash Flow'!G37</f>
        <v>0</v>
      </c>
      <c r="EC15" s="1246" t="n">
        <f aca="false">'Cash Flow'!H37</f>
        <v>0</v>
      </c>
      <c r="ED15" s="1246" t="n">
        <f aca="false">'Cash Flow'!I37</f>
        <v>0</v>
      </c>
      <c r="EE15" s="1246" t="n">
        <f aca="false">'Cash Flow'!J37</f>
        <v>0</v>
      </c>
      <c r="EF15" s="1246" t="n">
        <f aca="false">'Cash Flow'!K37</f>
        <v>0</v>
      </c>
      <c r="EG15" s="1246" t="n">
        <f aca="false">'Cash Flow'!L37</f>
        <v>0</v>
      </c>
      <c r="EH15" s="1222" t="n">
        <f aca="false">'Cash Flow'!M37</f>
        <v>0</v>
      </c>
      <c r="EI15" s="1167"/>
      <c r="EJ15" s="1157"/>
      <c r="EK15" s="1672" t="str">
        <f aca="false">EU15</f>
        <v>Total Assets</v>
      </c>
      <c r="EL15" s="1217" t="n">
        <f aca="false">'Balance Sheet'!BJ14</f>
        <v>27983681.0756914</v>
      </c>
      <c r="EM15" s="1217" t="n">
        <f aca="false">'Balance Sheet'!BK14</f>
        <v>41614784.1368189</v>
      </c>
      <c r="EN15" s="1218" t="n">
        <f aca="false">'Balance Sheet'!BL14</f>
        <v>86048055.6206542</v>
      </c>
      <c r="EO15" s="1218" t="n">
        <f aca="false">'Balance Sheet'!BM14</f>
        <v>133133946.564165</v>
      </c>
      <c r="EP15" s="1218" t="n">
        <f aca="false">'Balance Sheet'!BN14</f>
        <v>186464126.205111</v>
      </c>
      <c r="EQ15" s="1189"/>
      <c r="ER15" s="1189"/>
      <c r="ES15" s="1167"/>
      <c r="ET15" s="1157"/>
      <c r="EU15" s="1674" t="str">
        <f aca="false">'Balance Sheet'!A14</f>
        <v>Total Assets</v>
      </c>
      <c r="EV15" s="1246" t="n">
        <f aca="false">'Balance Sheet'!B14</f>
        <v>9994578.0003863</v>
      </c>
      <c r="EW15" s="1246" t="n">
        <f aca="false">'Balance Sheet'!C14</f>
        <v>9598538.38475069</v>
      </c>
      <c r="EX15" s="1246" t="n">
        <f aca="false">'Balance Sheet'!D14</f>
        <v>9186465.94065162</v>
      </c>
      <c r="EY15" s="1246" t="n">
        <f aca="false">'Balance Sheet'!E14</f>
        <v>8897169.92819616</v>
      </c>
      <c r="EZ15" s="1246" t="n">
        <f aca="false">'Balance Sheet'!F14</f>
        <v>8646035.71663305</v>
      </c>
      <c r="FA15" s="1246" t="n">
        <f aca="false">'Balance Sheet'!G14</f>
        <v>8564865.21051232</v>
      </c>
      <c r="FB15" s="1246" t="n">
        <f aca="false">'Balance Sheet'!H14</f>
        <v>13597000.5412121</v>
      </c>
      <c r="FC15" s="1246" t="n">
        <f aca="false">'Balance Sheet'!I14</f>
        <v>17011399.4584987</v>
      </c>
      <c r="FD15" s="1246" t="n">
        <f aca="false">'Balance Sheet'!J14</f>
        <v>19726206.4401918</v>
      </c>
      <c r="FE15" s="1246" t="n">
        <f aca="false">'Balance Sheet'!K14</f>
        <v>22671582.538763</v>
      </c>
      <c r="FF15" s="1246" t="n">
        <f aca="false">'Balance Sheet'!L14</f>
        <v>24996211.8188754</v>
      </c>
      <c r="FG15" s="1247" t="n">
        <f aca="false">'Balance Sheet'!M14</f>
        <v>27983681.0756914</v>
      </c>
      <c r="FH15" s="1167"/>
      <c r="FI15" s="1163"/>
      <c r="FJ15" s="1664" t="s">
        <v>1926</v>
      </c>
      <c r="FK15" s="1664"/>
      <c r="FL15" s="1664"/>
      <c r="FM15" s="1667"/>
      <c r="FN15" s="1667"/>
      <c r="FO15" s="1217"/>
      <c r="FP15" s="1217"/>
      <c r="FQ15" s="1218"/>
      <c r="FR15" s="1218"/>
      <c r="FS15" s="1218"/>
      <c r="FT15" s="1167"/>
      <c r="FU15" s="1646"/>
      <c r="FV15" s="1663"/>
      <c r="FW15" s="1214"/>
      <c r="FX15" s="1214"/>
      <c r="FY15" s="1215"/>
      <c r="FZ15" s="1167"/>
      <c r="GA15" s="1163"/>
      <c r="GB15" s="1224" t="str">
        <f aca="false">Existing!A14</f>
        <v>Long-term Assets</v>
      </c>
      <c r="GC15" s="1217" t="n">
        <f aca="false">Existing!B14</f>
        <v>0</v>
      </c>
      <c r="GD15" s="1217" t="n">
        <f aca="false">Existing!C14</f>
        <v>0</v>
      </c>
      <c r="GE15" s="1218" t="n">
        <f aca="false">Existing!D14</f>
        <v>0</v>
      </c>
      <c r="GF15" s="1167"/>
      <c r="GG15" s="1163"/>
      <c r="GH15" s="1664" t="s">
        <v>1922</v>
      </c>
      <c r="GI15" s="1217" t="str">
        <f aca="false">IF(ISERROR(GI17),"N/A",IF(GI17=0,"N/A",GI17))</f>
        <v>N/A</v>
      </c>
      <c r="GJ15" s="1217"/>
      <c r="GK15" s="1218"/>
      <c r="GL15" s="1218"/>
      <c r="GM15" s="1218"/>
      <c r="GN15" s="1189"/>
      <c r="GO15" s="1189"/>
      <c r="GP15" s="1167"/>
      <c r="GQ15" s="1167"/>
      <c r="GR15" s="1167"/>
      <c r="GS15" s="1167"/>
      <c r="GT15" s="1167"/>
      <c r="GU15" s="1167"/>
      <c r="GV15" s="1163"/>
      <c r="GW15" s="1224"/>
      <c r="GX15" s="1217"/>
      <c r="GY15" s="1217"/>
      <c r="GZ15" s="1218"/>
      <c r="HA15" s="1218"/>
      <c r="HB15" s="1218"/>
      <c r="HC15" s="1189"/>
      <c r="HD15" s="1189"/>
      <c r="HE15" s="1189"/>
      <c r="HF15" s="1189"/>
      <c r="HG15" s="1167"/>
      <c r="HH15" s="1167"/>
      <c r="HI15" s="1167"/>
      <c r="HJ15" s="1167"/>
      <c r="HK15" s="1167"/>
      <c r="HL15" s="1167"/>
      <c r="HM15" s="1167"/>
      <c r="HN15" s="1167"/>
      <c r="HO15" s="1167"/>
      <c r="HP15" s="1167"/>
      <c r="HQ15" s="1167"/>
      <c r="HR15" s="1167"/>
      <c r="HS15" s="1167"/>
      <c r="HT15" s="1167"/>
      <c r="HU15" s="1167"/>
      <c r="HV15" s="1167"/>
      <c r="HW15" s="1167"/>
      <c r="HX15" s="1167"/>
      <c r="HY15" s="1167"/>
      <c r="HZ15" s="1167"/>
      <c r="IA15" s="1167"/>
      <c r="IB15" s="1167"/>
      <c r="IC15" s="1167"/>
      <c r="ID15" s="1167"/>
      <c r="IE15" s="1167"/>
      <c r="IF15" s="1167"/>
    </row>
    <row r="16" customFormat="false" ht="12.75" hidden="false" customHeight="true" outlineLevel="0" collapsed="false">
      <c r="A16" s="1633"/>
      <c r="B16" s="1300" t="n">
        <f aca="false">'Sources &amp; Uses'!A22</f>
        <v>0</v>
      </c>
      <c r="C16" s="1184" t="n">
        <f aca="false">'Sources &amp; Uses'!B22</f>
        <v>0</v>
      </c>
      <c r="D16" s="1167"/>
      <c r="E16" s="1633"/>
      <c r="F16" s="1183" t="n">
        <f aca="false">'Sources &amp; Uses'!E19</f>
        <v>0</v>
      </c>
      <c r="G16" s="1184" t="n">
        <f aca="false">'Sources &amp; Uses'!F19</f>
        <v>0</v>
      </c>
      <c r="H16" s="1167"/>
      <c r="I16" s="1453"/>
      <c r="J16" s="1167"/>
      <c r="K16" s="1167"/>
      <c r="L16" s="1167"/>
      <c r="M16" s="1167"/>
      <c r="N16" s="1167"/>
      <c r="O16" s="1167"/>
      <c r="P16" s="1189"/>
      <c r="Q16" s="1189"/>
      <c r="R16" s="1189"/>
      <c r="S16" s="1453"/>
      <c r="T16" s="1167"/>
      <c r="U16" s="1167"/>
      <c r="V16" s="1167"/>
      <c r="W16" s="1167"/>
      <c r="X16" s="1167"/>
      <c r="Y16" s="1167"/>
      <c r="Z16" s="1167"/>
      <c r="AA16" s="1167"/>
      <c r="AB16" s="1167"/>
      <c r="AC16" s="1167"/>
      <c r="AD16" s="1167"/>
      <c r="AE16" s="1167"/>
      <c r="AF16" s="1167"/>
      <c r="AG16" s="1167"/>
      <c r="AH16" s="1163"/>
      <c r="AI16" s="1224" t="str">
        <f aca="false">Revenue!A148</f>
        <v>SS-16</v>
      </c>
      <c r="AJ16" s="1667" t="n">
        <f aca="false">AL16</f>
        <v>7330.33296</v>
      </c>
      <c r="AK16" s="1667" t="n">
        <f aca="false">AL16-AJ16</f>
        <v>0</v>
      </c>
      <c r="AL16" s="1217" t="n">
        <f aca="false">Revenue!BJ148</f>
        <v>7330.33296</v>
      </c>
      <c r="AM16" s="1217" t="n">
        <f aca="false">Revenue!BK148</f>
        <v>36691.831008</v>
      </c>
      <c r="AN16" s="1218" t="n">
        <f aca="false">Revenue!BL148</f>
        <v>92783.9404800001</v>
      </c>
      <c r="AO16" s="1218"/>
      <c r="AP16" s="1218"/>
      <c r="AQ16" s="1189"/>
      <c r="AR16" s="1189"/>
      <c r="AS16" s="1189"/>
      <c r="AT16" s="1163"/>
      <c r="AU16" s="1666" t="str">
        <f aca="false">Revenue!A148</f>
        <v>SS-16</v>
      </c>
      <c r="AV16" s="1246" t="n">
        <f aca="false">Revenue!B148</f>
        <v>0</v>
      </c>
      <c r="AW16" s="1246" t="n">
        <f aca="false">Revenue!C148</f>
        <v>0</v>
      </c>
      <c r="AX16" s="1246" t="n">
        <f aca="false">Revenue!D148</f>
        <v>23.6736</v>
      </c>
      <c r="AY16" s="1246" t="n">
        <f aca="false">Revenue!E148</f>
        <v>100.41552</v>
      </c>
      <c r="AZ16" s="1246" t="n">
        <f aca="false">Revenue!F148</f>
        <v>200.83104</v>
      </c>
      <c r="BA16" s="1246" t="n">
        <f aca="false">Revenue!G148</f>
        <v>401.662080000001</v>
      </c>
      <c r="BB16" s="1246" t="n">
        <f aca="false">Revenue!H148</f>
        <v>602.49312</v>
      </c>
      <c r="BC16" s="1246" t="n">
        <f aca="false">Revenue!I148</f>
        <v>803.324159999999</v>
      </c>
      <c r="BD16" s="1246" t="n">
        <f aca="false">Revenue!J148</f>
        <v>1004.1552</v>
      </c>
      <c r="BE16" s="1246" t="n">
        <f aca="false">Revenue!K148</f>
        <v>1204.98624</v>
      </c>
      <c r="BF16" s="1246" t="n">
        <f aca="false">Revenue!L148</f>
        <v>1405.81728</v>
      </c>
      <c r="BG16" s="1247" t="n">
        <f aca="false">Revenue!M148</f>
        <v>1606.64832</v>
      </c>
      <c r="BH16" s="1150"/>
      <c r="BI16" s="1150"/>
      <c r="BJ16" s="1189"/>
      <c r="BK16" s="1224"/>
      <c r="BL16" s="1217"/>
      <c r="BM16" s="1217"/>
      <c r="BN16" s="1218"/>
      <c r="BO16" s="1218"/>
      <c r="BP16" s="1218"/>
      <c r="BQ16" s="1189"/>
      <c r="BR16" s="1189"/>
      <c r="BS16" s="1198"/>
      <c r="BT16" s="1189"/>
      <c r="BU16" s="1666"/>
      <c r="BV16" s="1221"/>
      <c r="BW16" s="1221"/>
      <c r="BX16" s="1221"/>
      <c r="BY16" s="1221"/>
      <c r="BZ16" s="1221"/>
      <c r="CA16" s="1221"/>
      <c r="CB16" s="1221"/>
      <c r="CC16" s="1221"/>
      <c r="CD16" s="1221"/>
      <c r="CE16" s="1221"/>
      <c r="CF16" s="1221"/>
      <c r="CG16" s="1222"/>
      <c r="CH16" s="1150"/>
      <c r="CI16" s="1150"/>
      <c r="CJ16" s="1641"/>
      <c r="CK16" s="1668" t="str">
        <f aca="false">'P&amp;L'!A43</f>
        <v>Interest Expense</v>
      </c>
      <c r="CL16" s="1667"/>
      <c r="CM16" s="1667"/>
      <c r="CN16" s="1669" t="n">
        <f aca="false">'P&amp;L'!BJ43</f>
        <v>382106.552124552</v>
      </c>
      <c r="CO16" s="1669" t="n">
        <f aca="false">'P&amp;L'!BK43</f>
        <v>1323789.48697336</v>
      </c>
      <c r="CP16" s="1669" t="n">
        <f aca="false">'P&amp;L'!BL43</f>
        <v>1220133.23082016</v>
      </c>
      <c r="CQ16" s="1218" t="n">
        <f aca="false">'P&amp;L'!BM43</f>
        <v>1102602.30799978</v>
      </c>
      <c r="CR16" s="1218" t="n">
        <f aca="false">'P&amp;L'!BN43</f>
        <v>977822.335033428</v>
      </c>
      <c r="CS16" s="1189"/>
      <c r="CT16" s="1189"/>
      <c r="CU16" s="1167"/>
      <c r="CV16" s="1157"/>
      <c r="CW16" s="1653" t="str">
        <f aca="false">CK16</f>
        <v>Interest Expense</v>
      </c>
      <c r="CX16" s="1221" t="n">
        <f aca="false">'P&amp;L'!B43</f>
        <v>0</v>
      </c>
      <c r="CY16" s="1221" t="n">
        <f aca="false">'P&amp;L'!C43</f>
        <v>0</v>
      </c>
      <c r="CZ16" s="1221" t="n">
        <f aca="false">'P&amp;L'!D43</f>
        <v>0</v>
      </c>
      <c r="DA16" s="1221" t="n">
        <f aca="false">'P&amp;L'!E43</f>
        <v>0</v>
      </c>
      <c r="DB16" s="1221" t="n">
        <f aca="false">'P&amp;L'!F43</f>
        <v>0</v>
      </c>
      <c r="DC16" s="1221" t="n">
        <f aca="false">'P&amp;L'!G43</f>
        <v>0</v>
      </c>
      <c r="DD16" s="1221" t="n">
        <f aca="false">'P&amp;L'!H43</f>
        <v>25673.1</v>
      </c>
      <c r="DE16" s="1221" t="n">
        <f aca="false">'P&amp;L'!I43</f>
        <v>43324.4144551602</v>
      </c>
      <c r="DF16" s="1221" t="n">
        <f aca="false">'P&amp;L'!J43</f>
        <v>57395.9224724938</v>
      </c>
      <c r="DG16" s="1221" t="n">
        <f aca="false">'P&amp;L'!K43</f>
        <v>72452.2751085195</v>
      </c>
      <c r="DH16" s="1221" t="n">
        <f aca="false">'P&amp;L'!L43</f>
        <v>84188.4607147111</v>
      </c>
      <c r="DI16" s="1222" t="n">
        <f aca="false">'P&amp;L'!M43</f>
        <v>99072.379373667</v>
      </c>
      <c r="DJ16" s="1167"/>
      <c r="DK16" s="1163"/>
      <c r="DL16" s="1248" t="str">
        <f aca="false">'Cash Flow'!A38</f>
        <v>Purchase of Equipment</v>
      </c>
      <c r="DM16" s="1669" t="n">
        <f aca="false">'Cash Flow'!BH38</f>
        <v>-0</v>
      </c>
      <c r="DN16" s="1669" t="n">
        <f aca="false">'Cash Flow'!BI38</f>
        <v>-0</v>
      </c>
      <c r="DO16" s="1669" t="n">
        <f aca="false">'Cash Flow'!BJ38</f>
        <v>-20165634.6</v>
      </c>
      <c r="DP16" s="1218" t="n">
        <f aca="false">'Cash Flow'!BK38</f>
        <v>-3296215.8</v>
      </c>
      <c r="DQ16" s="1218" t="n">
        <f aca="false">'Cash Flow'!BL38</f>
        <v>0</v>
      </c>
      <c r="DR16" s="1189"/>
      <c r="DS16" s="1189"/>
      <c r="DT16" s="1274"/>
      <c r="DU16" s="1157"/>
      <c r="DV16" s="1670" t="str">
        <f aca="false">DL16</f>
        <v>Purchase of Equipment</v>
      </c>
      <c r="DW16" s="1246" t="n">
        <f aca="false">'Cash Flow'!B38</f>
        <v>-0</v>
      </c>
      <c r="DX16" s="1246" t="n">
        <f aca="false">'Cash Flow'!C38</f>
        <v>-0</v>
      </c>
      <c r="DY16" s="1246" t="n">
        <f aca="false">'Cash Flow'!D38</f>
        <v>-0</v>
      </c>
      <c r="DZ16" s="1246" t="n">
        <f aca="false">'Cash Flow'!E38</f>
        <v>-0</v>
      </c>
      <c r="EA16" s="1246" t="n">
        <f aca="false">'Cash Flow'!F38</f>
        <v>-0</v>
      </c>
      <c r="EB16" s="1246" t="n">
        <f aca="false">'Cash Flow'!G38</f>
        <v>-0</v>
      </c>
      <c r="EC16" s="1246" t="n">
        <f aca="false">'Cash Flow'!H38</f>
        <v>-5134620</v>
      </c>
      <c r="ED16" s="1246" t="n">
        <f aca="false">'Cash Flow'!I38</f>
        <v>-3561594.6</v>
      </c>
      <c r="EE16" s="1246" t="n">
        <f aca="false">'Cash Flow'!J38</f>
        <v>-2867523</v>
      </c>
      <c r="EF16" s="1246" t="n">
        <f aca="false">'Cash Flow'!K38</f>
        <v>-3082255.8</v>
      </c>
      <c r="EG16" s="1246" t="n">
        <f aca="false">'Cash Flow'!L38</f>
        <v>-2437385.4</v>
      </c>
      <c r="EH16" s="1222" t="n">
        <f aca="false">'Cash Flow'!M38</f>
        <v>-3082255.8</v>
      </c>
      <c r="EI16" s="1274"/>
      <c r="EJ16" s="1157"/>
      <c r="EK16" s="1224"/>
      <c r="EL16" s="1217"/>
      <c r="EM16" s="1217"/>
      <c r="EN16" s="1218"/>
      <c r="EO16" s="1218"/>
      <c r="EP16" s="1218"/>
      <c r="EQ16" s="1189"/>
      <c r="ER16" s="1189"/>
      <c r="ES16" s="1167"/>
      <c r="ET16" s="1157"/>
      <c r="EU16" s="1674"/>
      <c r="EV16" s="1246"/>
      <c r="EW16" s="1246"/>
      <c r="EX16" s="1246"/>
      <c r="EY16" s="1246"/>
      <c r="EZ16" s="1246"/>
      <c r="FA16" s="1246"/>
      <c r="FB16" s="1246"/>
      <c r="FC16" s="1246"/>
      <c r="FD16" s="1246"/>
      <c r="FE16" s="1246"/>
      <c r="FF16" s="1246"/>
      <c r="FG16" s="1247"/>
      <c r="FH16" s="1167"/>
      <c r="FI16" s="1163"/>
      <c r="FJ16" s="1664" t="s">
        <v>1928</v>
      </c>
      <c r="FK16" s="1664"/>
      <c r="FL16" s="1664"/>
      <c r="FM16" s="1667"/>
      <c r="FN16" s="1667"/>
      <c r="FO16" s="1217"/>
      <c r="FP16" s="1217"/>
      <c r="FQ16" s="1218"/>
      <c r="FR16" s="1218"/>
      <c r="FS16" s="1218"/>
      <c r="FT16" s="1167"/>
      <c r="FU16" s="1646"/>
      <c r="FV16" s="1664" t="s">
        <v>228</v>
      </c>
      <c r="FW16" s="1217" t="n">
        <f aca="false">'Sensitivity Analysis'!BK33</f>
        <v>8327707.19592441</v>
      </c>
      <c r="FX16" s="1217" t="n">
        <f aca="false">'Sensitivity Analysis'!BL33</f>
        <v>53952667.2725622</v>
      </c>
      <c r="FY16" s="1218" t="n">
        <f aca="false">'Sensitivity Analysis'!BM33</f>
        <v>142069719.4638</v>
      </c>
      <c r="FZ16" s="1167"/>
      <c r="GA16" s="1163"/>
      <c r="GB16" s="1224" t="str">
        <f aca="false">Existing!A15</f>
        <v>Accumulated Depreciation</v>
      </c>
      <c r="GC16" s="1217" t="n">
        <f aca="false">Existing!B15</f>
        <v>0</v>
      </c>
      <c r="GD16" s="1217" t="n">
        <f aca="false">Existing!C15</f>
        <v>0</v>
      </c>
      <c r="GE16" s="1218" t="n">
        <f aca="false">Existing!D15</f>
        <v>2</v>
      </c>
      <c r="GF16" s="1167"/>
      <c r="GG16" s="1163"/>
      <c r="GH16" s="1664" t="s">
        <v>1924</v>
      </c>
      <c r="GI16" s="1217" t="str">
        <f aca="false">IF(ISERROR(GI18),"N/A",IF(GI18=0,"N/A",GI18))</f>
        <v>N/A</v>
      </c>
      <c r="GJ16" s="1217"/>
      <c r="GK16" s="1218"/>
      <c r="GL16" s="1218"/>
      <c r="GM16" s="1218"/>
      <c r="GN16" s="1189"/>
      <c r="GO16" s="1189"/>
      <c r="GP16" s="1167"/>
      <c r="GQ16" s="1167"/>
      <c r="GR16" s="1167"/>
      <c r="GS16" s="1167"/>
      <c r="GT16" s="1167"/>
      <c r="GU16" s="1167"/>
      <c r="GV16" s="1163"/>
      <c r="GW16" s="1224"/>
      <c r="GX16" s="1217"/>
      <c r="GY16" s="1217"/>
      <c r="GZ16" s="1218"/>
      <c r="HA16" s="1218"/>
      <c r="HB16" s="1218"/>
      <c r="HC16" s="1189"/>
      <c r="HD16" s="1189"/>
      <c r="HE16" s="1189"/>
      <c r="HF16" s="1189"/>
      <c r="HG16" s="1167"/>
      <c r="HH16" s="1167"/>
      <c r="HI16" s="1167"/>
      <c r="HJ16" s="1167"/>
      <c r="HK16" s="1167"/>
      <c r="HL16" s="1167"/>
      <c r="HM16" s="1167"/>
      <c r="HN16" s="1167"/>
      <c r="HO16" s="1167"/>
      <c r="HP16" s="1167"/>
      <c r="HQ16" s="1167"/>
      <c r="HR16" s="1167"/>
      <c r="HS16" s="1167"/>
      <c r="HT16" s="1167"/>
      <c r="HU16" s="1167"/>
      <c r="HV16" s="1167"/>
      <c r="HW16" s="1167"/>
      <c r="HX16" s="1167"/>
      <c r="HY16" s="1167"/>
      <c r="HZ16" s="1167"/>
      <c r="IA16" s="1167"/>
      <c r="IB16" s="1167"/>
      <c r="IC16" s="1167"/>
      <c r="ID16" s="1167"/>
      <c r="IE16" s="1167"/>
      <c r="IF16" s="1167"/>
    </row>
    <row r="17" customFormat="false" ht="12.75" hidden="false" customHeight="true" outlineLevel="0" collapsed="false">
      <c r="A17" s="1633"/>
      <c r="B17" s="1300" t="n">
        <f aca="false">'Sources &amp; Uses'!A23</f>
        <v>0</v>
      </c>
      <c r="C17" s="1184" t="n">
        <f aca="false">'Sources &amp; Uses'!B23</f>
        <v>0</v>
      </c>
      <c r="D17" s="1167"/>
      <c r="E17" s="1633"/>
      <c r="F17" s="1183" t="n">
        <f aca="false">'Sources &amp; Uses'!E20</f>
        <v>0</v>
      </c>
      <c r="G17" s="1184" t="n">
        <f aca="false">'Sources &amp; Uses'!F20</f>
        <v>0</v>
      </c>
      <c r="H17" s="1167"/>
      <c r="I17" s="1453"/>
      <c r="J17" s="1167"/>
      <c r="K17" s="1167"/>
      <c r="L17" s="1167"/>
      <c r="M17" s="1167"/>
      <c r="N17" s="1167"/>
      <c r="O17" s="1167"/>
      <c r="P17" s="1189"/>
      <c r="Q17" s="1189"/>
      <c r="R17" s="1189"/>
      <c r="S17" s="1453"/>
      <c r="T17" s="1167"/>
      <c r="U17" s="1167"/>
      <c r="V17" s="1167"/>
      <c r="W17" s="1167"/>
      <c r="X17" s="1167"/>
      <c r="Y17" s="1167"/>
      <c r="Z17" s="1167"/>
      <c r="AA17" s="1167"/>
      <c r="AB17" s="1167"/>
      <c r="AC17" s="1167"/>
      <c r="AD17" s="1167"/>
      <c r="AE17" s="1167"/>
      <c r="AF17" s="1167"/>
      <c r="AG17" s="1167"/>
      <c r="AH17" s="1163"/>
      <c r="AI17" s="1224" t="str">
        <f aca="false">Revenue!A149</f>
        <v>SS-18</v>
      </c>
      <c r="AJ17" s="1667" t="n">
        <v>0</v>
      </c>
      <c r="AK17" s="1667" t="n">
        <f aca="false">AL17-AJ17</f>
        <v>2511.41691428571</v>
      </c>
      <c r="AL17" s="1217" t="n">
        <f aca="false">Revenue!BJ149</f>
        <v>2511.41691428571</v>
      </c>
      <c r="AM17" s="1217" t="n">
        <f aca="false">Revenue!BK149</f>
        <v>12570.84576</v>
      </c>
      <c r="AN17" s="1218" t="n">
        <f aca="false">Revenue!BL149</f>
        <v>31788.3456</v>
      </c>
      <c r="AO17" s="1218"/>
      <c r="AP17" s="1218"/>
      <c r="AQ17" s="1189"/>
      <c r="AR17" s="1189"/>
      <c r="AS17" s="1189"/>
      <c r="AT17" s="1163"/>
      <c r="AU17" s="1666" t="str">
        <f aca="false">Revenue!A149</f>
        <v>SS-18</v>
      </c>
      <c r="AV17" s="1246" t="n">
        <f aca="false">Revenue!B149</f>
        <v>0</v>
      </c>
      <c r="AW17" s="1246" t="n">
        <f aca="false">Revenue!C149</f>
        <v>0</v>
      </c>
      <c r="AX17" s="1246" t="n">
        <f aca="false">Revenue!D149</f>
        <v>24.3253333333333</v>
      </c>
      <c r="AY17" s="1246" t="n">
        <f aca="false">Revenue!E149</f>
        <v>34.4029714285713</v>
      </c>
      <c r="AZ17" s="1246" t="n">
        <f aca="false">Revenue!F149</f>
        <v>68.8059428571428</v>
      </c>
      <c r="BA17" s="1246" t="n">
        <f aca="false">Revenue!G149</f>
        <v>137.611885714286</v>
      </c>
      <c r="BB17" s="1246" t="n">
        <f aca="false">Revenue!H149</f>
        <v>206.417828571428</v>
      </c>
      <c r="BC17" s="1246" t="n">
        <f aca="false">Revenue!I149</f>
        <v>275.223771428571</v>
      </c>
      <c r="BD17" s="1246" t="n">
        <f aca="false">Revenue!J149</f>
        <v>344.029714285713</v>
      </c>
      <c r="BE17" s="1246" t="n">
        <f aca="false">Revenue!K149</f>
        <v>412.835657142857</v>
      </c>
      <c r="BF17" s="1246" t="n">
        <f aca="false">Revenue!L149</f>
        <v>481.641599999999</v>
      </c>
      <c r="BG17" s="1247" t="n">
        <f aca="false">Revenue!M149</f>
        <v>550.447542857142</v>
      </c>
      <c r="BH17" s="1189"/>
      <c r="BI17" s="1189"/>
      <c r="BJ17" s="1189"/>
      <c r="BK17" s="1224"/>
      <c r="BL17" s="1217"/>
      <c r="BM17" s="1217"/>
      <c r="BN17" s="1218"/>
      <c r="BO17" s="1218"/>
      <c r="BP17" s="1218"/>
      <c r="BQ17" s="1189"/>
      <c r="BR17" s="1189"/>
      <c r="BS17" s="1198"/>
      <c r="BT17" s="1189"/>
      <c r="BU17" s="1666"/>
      <c r="BV17" s="1221"/>
      <c r="BW17" s="1221"/>
      <c r="BX17" s="1221"/>
      <c r="BY17" s="1221"/>
      <c r="BZ17" s="1221"/>
      <c r="CA17" s="1221"/>
      <c r="CB17" s="1221"/>
      <c r="CC17" s="1221"/>
      <c r="CD17" s="1221"/>
      <c r="CE17" s="1221"/>
      <c r="CF17" s="1221"/>
      <c r="CG17" s="1222"/>
      <c r="CH17" s="1189"/>
      <c r="CI17" s="1189"/>
      <c r="CJ17" s="1641"/>
      <c r="CK17" s="1668" t="str">
        <f aca="false">'P&amp;L'!A44</f>
        <v>Taxes Incurred</v>
      </c>
      <c r="CL17" s="1667"/>
      <c r="CM17" s="1667"/>
      <c r="CN17" s="1669" t="n">
        <f aca="false">'P&amp;L'!BJ44</f>
        <v>0</v>
      </c>
      <c r="CO17" s="1669" t="n">
        <f aca="false">'P&amp;L'!BK44</f>
        <v>930519.83978821</v>
      </c>
      <c r="CP17" s="1669" t="n">
        <f aca="false">'P&amp;L'!BL44</f>
        <v>7428603.99555295</v>
      </c>
      <c r="CQ17" s="1218" t="n">
        <f aca="false">'P&amp;L'!BM44</f>
        <v>8557057.44230624</v>
      </c>
      <c r="CR17" s="1218" t="n">
        <f aca="false">'P&amp;L'!BN44</f>
        <v>9680610.43168863</v>
      </c>
      <c r="CS17" s="1189"/>
      <c r="CT17" s="1189"/>
      <c r="CU17" s="1167"/>
      <c r="CV17" s="1157"/>
      <c r="CW17" s="1653" t="str">
        <f aca="false">CK17</f>
        <v>Taxes Incurred</v>
      </c>
      <c r="CX17" s="1221" t="n">
        <f aca="false">'P&amp;L'!B44</f>
        <v>0</v>
      </c>
      <c r="CY17" s="1221" t="n">
        <f aca="false">'P&amp;L'!C44</f>
        <v>0</v>
      </c>
      <c r="CZ17" s="1221" t="n">
        <f aca="false">'P&amp;L'!D44</f>
        <v>0</v>
      </c>
      <c r="DA17" s="1221" t="n">
        <f aca="false">'P&amp;L'!E44</f>
        <v>0</v>
      </c>
      <c r="DB17" s="1221" t="n">
        <f aca="false">'P&amp;L'!F44</f>
        <v>0</v>
      </c>
      <c r="DC17" s="1221" t="n">
        <f aca="false">'P&amp;L'!G44</f>
        <v>0</v>
      </c>
      <c r="DD17" s="1221" t="n">
        <f aca="false">'P&amp;L'!H44</f>
        <v>0</v>
      </c>
      <c r="DE17" s="1221" t="n">
        <f aca="false">'P&amp;L'!I44</f>
        <v>0</v>
      </c>
      <c r="DF17" s="1221" t="n">
        <f aca="false">'P&amp;L'!J44</f>
        <v>0</v>
      </c>
      <c r="DG17" s="1221" t="n">
        <f aca="false">'P&amp;L'!K44</f>
        <v>0</v>
      </c>
      <c r="DH17" s="1221" t="n">
        <f aca="false">'P&amp;L'!L44</f>
        <v>0</v>
      </c>
      <c r="DI17" s="1222" t="n">
        <f aca="false">'P&amp;L'!M44</f>
        <v>0</v>
      </c>
      <c r="DJ17" s="1167"/>
      <c r="DK17" s="1163"/>
      <c r="DL17" s="1248" t="str">
        <f aca="false">'Cash Flow'!A39</f>
        <v>Sale of Long-term Assets</v>
      </c>
      <c r="DM17" s="1669" t="n">
        <f aca="false">'Cash Flow'!BH39</f>
        <v>0</v>
      </c>
      <c r="DN17" s="1669" t="n">
        <f aca="false">'Cash Flow'!BI39</f>
        <v>0</v>
      </c>
      <c r="DO17" s="1669" t="n">
        <f aca="false">'Cash Flow'!BJ39</f>
        <v>0</v>
      </c>
      <c r="DP17" s="1218" t="n">
        <f aca="false">'Cash Flow'!BK39</f>
        <v>0</v>
      </c>
      <c r="DQ17" s="1218" t="n">
        <f aca="false">'Cash Flow'!BL39</f>
        <v>0</v>
      </c>
      <c r="DR17" s="1189"/>
      <c r="DS17" s="1189"/>
      <c r="DT17" s="1167"/>
      <c r="DU17" s="1157"/>
      <c r="DV17" s="1670" t="str">
        <f aca="false">DL17</f>
        <v>Sale of Long-term Assets</v>
      </c>
      <c r="DW17" s="1246" t="n">
        <f aca="false">'Cash Flow'!B39</f>
        <v>0</v>
      </c>
      <c r="DX17" s="1246" t="n">
        <f aca="false">'Cash Flow'!C39</f>
        <v>0</v>
      </c>
      <c r="DY17" s="1246" t="n">
        <f aca="false">'Cash Flow'!D39</f>
        <v>0</v>
      </c>
      <c r="DZ17" s="1246" t="n">
        <f aca="false">'Cash Flow'!E39</f>
        <v>0</v>
      </c>
      <c r="EA17" s="1246" t="n">
        <f aca="false">'Cash Flow'!F39</f>
        <v>0</v>
      </c>
      <c r="EB17" s="1246" t="n">
        <f aca="false">'Cash Flow'!G39</f>
        <v>0</v>
      </c>
      <c r="EC17" s="1246" t="n">
        <f aca="false">'Cash Flow'!H39</f>
        <v>0</v>
      </c>
      <c r="ED17" s="1246" t="n">
        <f aca="false">'Cash Flow'!I39</f>
        <v>0</v>
      </c>
      <c r="EE17" s="1246" t="n">
        <f aca="false">'Cash Flow'!J39</f>
        <v>0</v>
      </c>
      <c r="EF17" s="1246" t="n">
        <f aca="false">'Cash Flow'!K39</f>
        <v>0</v>
      </c>
      <c r="EG17" s="1246" t="n">
        <f aca="false">'Cash Flow'!L39</f>
        <v>0</v>
      </c>
      <c r="EH17" s="1222" t="n">
        <f aca="false">'Cash Flow'!M39</f>
        <v>0</v>
      </c>
      <c r="EI17" s="1274"/>
      <c r="EJ17" s="1157"/>
      <c r="EK17" s="1672" t="s">
        <v>1925</v>
      </c>
      <c r="EL17" s="1217"/>
      <c r="EM17" s="1217"/>
      <c r="EN17" s="1218"/>
      <c r="EO17" s="1218"/>
      <c r="EP17" s="1218"/>
      <c r="EQ17" s="1189"/>
      <c r="ER17" s="1189"/>
      <c r="ES17" s="1167"/>
      <c r="ET17" s="1157"/>
      <c r="EU17" s="1674" t="str">
        <f aca="false">EK17</f>
        <v>Liabilities and Capital</v>
      </c>
      <c r="EV17" s="1246"/>
      <c r="EW17" s="1246"/>
      <c r="EX17" s="1246"/>
      <c r="EY17" s="1246"/>
      <c r="EZ17" s="1246"/>
      <c r="FA17" s="1246"/>
      <c r="FB17" s="1246"/>
      <c r="FC17" s="1246"/>
      <c r="FD17" s="1246"/>
      <c r="FE17" s="1246"/>
      <c r="FF17" s="1246"/>
      <c r="FG17" s="1247"/>
      <c r="FH17" s="1167"/>
      <c r="FI17" s="1163"/>
      <c r="FJ17" s="1689"/>
      <c r="FK17" s="1689"/>
      <c r="FL17" s="1689"/>
      <c r="FM17" s="1690"/>
      <c r="FN17" s="1690"/>
      <c r="FO17" s="1318"/>
      <c r="FP17" s="1318"/>
      <c r="FQ17" s="1319"/>
      <c r="FR17" s="1319"/>
      <c r="FS17" s="1319"/>
      <c r="FT17" s="1167"/>
      <c r="FU17" s="1646"/>
      <c r="FV17" s="1664" t="s">
        <v>1909</v>
      </c>
      <c r="FW17" s="1217" t="n">
        <f aca="false">'Sensitivity Analysis'!BK35</f>
        <v>3152613.3835235</v>
      </c>
      <c r="FX17" s="1217" t="n">
        <f aca="false">'Sensitivity Analysis'!BL35</f>
        <v>26824562.4912612</v>
      </c>
      <c r="FY17" s="1218" t="n">
        <f aca="false">'Sensitivity Analysis'!BM35</f>
        <v>72906145.5416746</v>
      </c>
      <c r="FZ17" s="1167"/>
      <c r="GA17" s="1163"/>
      <c r="GB17" s="1664" t="s">
        <v>1930</v>
      </c>
      <c r="GC17" s="1217" t="n">
        <f aca="false">GC15-GC16</f>
        <v>0</v>
      </c>
      <c r="GD17" s="1217" t="n">
        <f aca="false">GD15-GD16</f>
        <v>0</v>
      </c>
      <c r="GE17" s="1218" t="n">
        <f aca="false">GE15-GE16</f>
        <v>-2</v>
      </c>
      <c r="GF17" s="1167"/>
      <c r="GG17" s="1163"/>
      <c r="GH17" s="1664" t="s">
        <v>1927</v>
      </c>
      <c r="GI17" s="1217" t="n">
        <f aca="false">IFERROR(AVERAGE('Cash Flow'!D110:D120),0)</f>
        <v>0</v>
      </c>
      <c r="GJ17" s="1217" t="n">
        <f aca="false">IFERROR(AVERAGE('Cash Flow'!D130:D133),0)</f>
        <v>0</v>
      </c>
      <c r="GK17" s="1218" t="n">
        <f aca="false">IFERROR(AVERAGE('Cash Flow'!D134:D145),0)</f>
        <v>0</v>
      </c>
      <c r="GL17" s="1218"/>
      <c r="GM17" s="1218"/>
      <c r="GN17" s="1189"/>
      <c r="GO17" s="1189"/>
      <c r="GP17" s="1167"/>
      <c r="GQ17" s="1167"/>
      <c r="GR17" s="1167"/>
      <c r="GS17" s="1167"/>
      <c r="GT17" s="1167"/>
      <c r="GU17" s="1167"/>
      <c r="GV17" s="1163"/>
      <c r="GW17" s="1224"/>
      <c r="GX17" s="1217"/>
      <c r="GY17" s="1217"/>
      <c r="GZ17" s="1218"/>
      <c r="HA17" s="1218"/>
      <c r="HB17" s="1218"/>
      <c r="HC17" s="1189"/>
      <c r="HD17" s="1189"/>
      <c r="HE17" s="1189"/>
      <c r="HF17" s="1189"/>
      <c r="HG17" s="1167"/>
      <c r="HH17" s="1167"/>
      <c r="HI17" s="1167"/>
      <c r="HJ17" s="1167"/>
      <c r="HK17" s="1167"/>
      <c r="HL17" s="1167"/>
      <c r="HM17" s="1167"/>
      <c r="HN17" s="1167"/>
      <c r="HO17" s="1167"/>
      <c r="HP17" s="1167"/>
      <c r="HQ17" s="1167"/>
      <c r="HR17" s="1167"/>
      <c r="HS17" s="1167"/>
      <c r="HT17" s="1167"/>
      <c r="HU17" s="1167"/>
      <c r="HV17" s="1167"/>
      <c r="HW17" s="1167"/>
      <c r="HX17" s="1167"/>
      <c r="HY17" s="1167"/>
      <c r="HZ17" s="1167"/>
      <c r="IA17" s="1167"/>
      <c r="IB17" s="1167"/>
      <c r="IC17" s="1167"/>
      <c r="ID17" s="1167"/>
      <c r="IE17" s="1167"/>
      <c r="IF17" s="1167"/>
    </row>
    <row r="18" customFormat="false" ht="12.75" hidden="false" customHeight="true" outlineLevel="0" collapsed="false">
      <c r="A18" s="1633"/>
      <c r="B18" s="1391" t="str">
        <f aca="false">'Sources &amp; Uses'!A24</f>
        <v>Total Start-up Expenses</v>
      </c>
      <c r="C18" s="1392" t="n">
        <f aca="false">'Sources &amp; Uses'!B24</f>
        <v>0</v>
      </c>
      <c r="D18" s="1167"/>
      <c r="E18" s="1633"/>
      <c r="F18" s="1391"/>
      <c r="G18" s="1392"/>
      <c r="H18" s="1167"/>
      <c r="I18" s="1453"/>
      <c r="J18" s="1167"/>
      <c r="K18" s="1167"/>
      <c r="L18" s="1167"/>
      <c r="M18" s="1167"/>
      <c r="N18" s="1167"/>
      <c r="O18" s="1167"/>
      <c r="P18" s="1189"/>
      <c r="Q18" s="1189"/>
      <c r="R18" s="1189"/>
      <c r="S18" s="1453"/>
      <c r="T18" s="1167"/>
      <c r="U18" s="1167"/>
      <c r="V18" s="1167"/>
      <c r="W18" s="1167"/>
      <c r="X18" s="1167"/>
      <c r="Y18" s="1167"/>
      <c r="Z18" s="1167"/>
      <c r="AA18" s="1167"/>
      <c r="AB18" s="1167"/>
      <c r="AC18" s="1167"/>
      <c r="AD18" s="1167"/>
      <c r="AE18" s="1167"/>
      <c r="AF18" s="1167"/>
      <c r="AG18" s="1167"/>
      <c r="AH18" s="1163"/>
      <c r="AI18" s="1224"/>
      <c r="AJ18" s="1667" t="n">
        <v>0</v>
      </c>
      <c r="AK18" s="1667"/>
      <c r="AL18" s="1217"/>
      <c r="AM18" s="1217"/>
      <c r="AN18" s="1218"/>
      <c r="AO18" s="1218"/>
      <c r="AP18" s="1218"/>
      <c r="AQ18" s="1189"/>
      <c r="AR18" s="1189"/>
      <c r="AS18" s="1189"/>
      <c r="AT18" s="1163"/>
      <c r="AU18" s="1666"/>
      <c r="AV18" s="1246"/>
      <c r="AW18" s="1246"/>
      <c r="AX18" s="1246"/>
      <c r="AY18" s="1246"/>
      <c r="AZ18" s="1246"/>
      <c r="BA18" s="1246"/>
      <c r="BB18" s="1246"/>
      <c r="BC18" s="1246"/>
      <c r="BD18" s="1246"/>
      <c r="BE18" s="1246"/>
      <c r="BF18" s="1246"/>
      <c r="BG18" s="1247"/>
      <c r="BH18" s="1189"/>
      <c r="BI18" s="1189"/>
      <c r="BJ18" s="1189"/>
      <c r="BK18" s="1224"/>
      <c r="BL18" s="1217"/>
      <c r="BM18" s="1217"/>
      <c r="BN18" s="1218"/>
      <c r="BO18" s="1218"/>
      <c r="BP18" s="1218"/>
      <c r="BQ18" s="1189"/>
      <c r="BR18" s="1189"/>
      <c r="BS18" s="1198"/>
      <c r="BT18" s="1189"/>
      <c r="BU18" s="1666"/>
      <c r="BV18" s="1221"/>
      <c r="BW18" s="1221"/>
      <c r="BX18" s="1221"/>
      <c r="BY18" s="1221"/>
      <c r="BZ18" s="1221"/>
      <c r="CA18" s="1221"/>
      <c r="CB18" s="1221"/>
      <c r="CC18" s="1221"/>
      <c r="CD18" s="1221"/>
      <c r="CE18" s="1221"/>
      <c r="CF18" s="1221"/>
      <c r="CG18" s="1222"/>
      <c r="CH18" s="1189"/>
      <c r="CI18" s="1189"/>
      <c r="CJ18" s="1641"/>
      <c r="CK18" s="1657"/>
      <c r="CL18" s="1667"/>
      <c r="CM18" s="1667"/>
      <c r="CN18" s="1669"/>
      <c r="CO18" s="1669"/>
      <c r="CP18" s="1669"/>
      <c r="CQ18" s="1218"/>
      <c r="CR18" s="1218"/>
      <c r="CS18" s="1189"/>
      <c r="CT18" s="1189"/>
      <c r="CU18" s="1167"/>
      <c r="CV18" s="1157"/>
      <c r="CW18" s="1653"/>
      <c r="CX18" s="1221"/>
      <c r="CY18" s="1221"/>
      <c r="CZ18" s="1221"/>
      <c r="DA18" s="1221"/>
      <c r="DB18" s="1221"/>
      <c r="DC18" s="1221"/>
      <c r="DD18" s="1221"/>
      <c r="DE18" s="1221"/>
      <c r="DF18" s="1221"/>
      <c r="DG18" s="1221"/>
      <c r="DH18" s="1221"/>
      <c r="DI18" s="1222"/>
      <c r="DJ18" s="1167"/>
      <c r="DK18" s="1163"/>
      <c r="DL18" s="1248" t="str">
        <f aca="false">'Cash Flow'!A40</f>
        <v>Net Cash From Investing Activities</v>
      </c>
      <c r="DM18" s="1669" t="n">
        <f aca="false">'Cash Flow'!BH40</f>
        <v>0</v>
      </c>
      <c r="DN18" s="1669" t="n">
        <f aca="false">'Cash Flow'!BI40</f>
        <v>0</v>
      </c>
      <c r="DO18" s="1669" t="n">
        <f aca="false">'Cash Flow'!BJ40</f>
        <v>-20165634.6</v>
      </c>
      <c r="DP18" s="1218" t="n">
        <f aca="false">'Cash Flow'!BK40</f>
        <v>-3296215.8</v>
      </c>
      <c r="DQ18" s="1218" t="n">
        <f aca="false">'Cash Flow'!BL40</f>
        <v>0</v>
      </c>
      <c r="DR18" s="1189"/>
      <c r="DS18" s="1189"/>
      <c r="DT18" s="1274"/>
      <c r="DU18" s="1157"/>
      <c r="DV18" s="1670" t="str">
        <f aca="false">DL18</f>
        <v>Net Cash From Investing Activities</v>
      </c>
      <c r="DW18" s="1246" t="n">
        <f aca="false">'Cash Flow'!B40</f>
        <v>0</v>
      </c>
      <c r="DX18" s="1246" t="n">
        <f aca="false">'Cash Flow'!C40</f>
        <v>0</v>
      </c>
      <c r="DY18" s="1246" t="n">
        <f aca="false">'Cash Flow'!D40</f>
        <v>0</v>
      </c>
      <c r="DZ18" s="1246" t="n">
        <f aca="false">'Cash Flow'!E40</f>
        <v>0</v>
      </c>
      <c r="EA18" s="1246" t="n">
        <f aca="false">'Cash Flow'!F40</f>
        <v>0</v>
      </c>
      <c r="EB18" s="1246" t="n">
        <f aca="false">'Cash Flow'!G40</f>
        <v>0</v>
      </c>
      <c r="EC18" s="1246" t="n">
        <f aca="false">'Cash Flow'!H40</f>
        <v>-5134620</v>
      </c>
      <c r="ED18" s="1246" t="n">
        <f aca="false">'Cash Flow'!I40</f>
        <v>-3561594.6</v>
      </c>
      <c r="EE18" s="1246" t="n">
        <f aca="false">'Cash Flow'!J40</f>
        <v>-2867523</v>
      </c>
      <c r="EF18" s="1246" t="n">
        <f aca="false">'Cash Flow'!K40</f>
        <v>-3082255.8</v>
      </c>
      <c r="EG18" s="1246" t="n">
        <f aca="false">'Cash Flow'!L40</f>
        <v>-2437385.4</v>
      </c>
      <c r="EH18" s="1222" t="n">
        <f aca="false">'Cash Flow'!M40</f>
        <v>-3082255.8</v>
      </c>
      <c r="EI18" s="1274"/>
      <c r="EJ18" s="1157"/>
      <c r="EK18" s="1224" t="s">
        <v>1501</v>
      </c>
      <c r="EL18" s="1217"/>
      <c r="EM18" s="1217"/>
      <c r="EN18" s="1218"/>
      <c r="EO18" s="1218"/>
      <c r="EP18" s="1218"/>
      <c r="EQ18" s="1189"/>
      <c r="ER18" s="1189"/>
      <c r="ES18" s="1167"/>
      <c r="ET18" s="1157"/>
      <c r="EU18" s="1666" t="str">
        <f aca="false">'Balance Sheet'!A18</f>
        <v>Current Liabilities</v>
      </c>
      <c r="EV18" s="1246"/>
      <c r="EW18" s="1246"/>
      <c r="EX18" s="1246"/>
      <c r="EY18" s="1246"/>
      <c r="EZ18" s="1246"/>
      <c r="FA18" s="1246"/>
      <c r="FB18" s="1246"/>
      <c r="FC18" s="1246"/>
      <c r="FD18" s="1246"/>
      <c r="FE18" s="1246"/>
      <c r="FF18" s="1246"/>
      <c r="FG18" s="1247"/>
      <c r="FH18" s="1167"/>
      <c r="FI18" s="1163"/>
      <c r="FJ18" s="1672" t="s">
        <v>1932</v>
      </c>
      <c r="FK18" s="1672"/>
      <c r="FL18" s="1672"/>
      <c r="FM18" s="1667"/>
      <c r="FN18" s="1667"/>
      <c r="FO18" s="1217" t="n">
        <f aca="false">DM28</f>
        <v>4586556.63275439</v>
      </c>
      <c r="FP18" s="1217" t="n">
        <f aca="false">DN28</f>
        <v>4586415.54711193</v>
      </c>
      <c r="FQ18" s="1218" t="n">
        <f aca="false">DO28</f>
        <v>6344386.38122366</v>
      </c>
      <c r="FR18" s="1218" t="n">
        <f aca="false">DP28</f>
        <v>7591274.12745243</v>
      </c>
      <c r="FS18" s="1218" t="n">
        <f aca="false">DQ28</f>
        <v>40237740.4209782</v>
      </c>
      <c r="FT18" s="1167"/>
      <c r="FU18" s="1646"/>
      <c r="FV18" s="1664" t="s">
        <v>111</v>
      </c>
      <c r="FW18" s="1217" t="n">
        <f aca="false">'Sensitivity Analysis'!BK38</f>
        <v>-4005444.36142054</v>
      </c>
      <c r="FX18" s="1217" t="n">
        <f aca="false">'Sensitivity Analysis'!BL38</f>
        <v>5929279.92159973</v>
      </c>
      <c r="FY18" s="1218" t="n">
        <f aca="false">'Sensitivity Analysis'!BM38</f>
        <v>37878369.4781326</v>
      </c>
      <c r="FZ18" s="1167"/>
      <c r="GA18" s="1163"/>
      <c r="GB18" s="1664"/>
      <c r="GC18" s="1217"/>
      <c r="GD18" s="1217"/>
      <c r="GE18" s="1218"/>
      <c r="GF18" s="1167"/>
      <c r="GG18" s="1163"/>
      <c r="GH18" s="1664" t="s">
        <v>1929</v>
      </c>
      <c r="GI18" s="1217" t="n">
        <f aca="false">IFERROR(AVERAGE('Cash Flow'!E110:E120),0)</f>
        <v>0</v>
      </c>
      <c r="GJ18" s="1217" t="n">
        <f aca="false">IFERROR(AVERAGE('Cash Flow'!E130:E133),0)</f>
        <v>0</v>
      </c>
      <c r="GK18" s="1218" t="n">
        <f aca="false">IFERROR(AVERAGE('Cash Flow'!E134:E145),0)</f>
        <v>0</v>
      </c>
      <c r="GL18" s="1218"/>
      <c r="GM18" s="1218"/>
      <c r="GN18" s="1189"/>
      <c r="GO18" s="1189"/>
      <c r="GP18" s="1167"/>
      <c r="GQ18" s="1167"/>
      <c r="GR18" s="1167"/>
      <c r="GS18" s="1167"/>
      <c r="GT18" s="1167"/>
      <c r="GU18" s="1167"/>
      <c r="GV18" s="1163"/>
      <c r="GW18" s="1224"/>
      <c r="GX18" s="1217"/>
      <c r="GY18" s="1217"/>
      <c r="GZ18" s="1218"/>
      <c r="HA18" s="1218"/>
      <c r="HB18" s="1218"/>
      <c r="HC18" s="1189"/>
      <c r="HD18" s="1189"/>
      <c r="HE18" s="1189"/>
      <c r="HF18" s="1189"/>
      <c r="HG18" s="1167"/>
      <c r="HH18" s="1167"/>
      <c r="HI18" s="1167"/>
      <c r="HJ18" s="1167"/>
      <c r="HK18" s="1167"/>
      <c r="HL18" s="1167"/>
      <c r="HM18" s="1167"/>
      <c r="HN18" s="1167"/>
      <c r="HO18" s="1167"/>
      <c r="HP18" s="1167"/>
      <c r="HQ18" s="1167"/>
      <c r="HR18" s="1167"/>
      <c r="HS18" s="1167"/>
      <c r="HT18" s="1167"/>
      <c r="HU18" s="1167"/>
      <c r="HV18" s="1167"/>
      <c r="HW18" s="1167"/>
      <c r="HX18" s="1167"/>
      <c r="HY18" s="1167"/>
      <c r="HZ18" s="1167"/>
      <c r="IA18" s="1167"/>
      <c r="IB18" s="1167"/>
      <c r="IC18" s="1167"/>
      <c r="ID18" s="1167"/>
      <c r="IE18" s="1167"/>
      <c r="IF18" s="1167"/>
    </row>
    <row r="19" customFormat="false" ht="12.75" hidden="false" customHeight="true" outlineLevel="0" collapsed="false">
      <c r="A19" s="1633"/>
      <c r="B19" s="1183"/>
      <c r="C19" s="1184"/>
      <c r="D19" s="1167"/>
      <c r="E19" s="1633"/>
      <c r="F19" s="1183"/>
      <c r="G19" s="1184"/>
      <c r="H19" s="1167"/>
      <c r="I19" s="1453"/>
      <c r="J19" s="1167"/>
      <c r="K19" s="1167"/>
      <c r="L19" s="1167"/>
      <c r="M19" s="1167"/>
      <c r="N19" s="1167"/>
      <c r="O19" s="1167"/>
      <c r="P19" s="1189"/>
      <c r="Q19" s="1189"/>
      <c r="R19" s="1189"/>
      <c r="S19" s="1453"/>
      <c r="T19" s="1167"/>
      <c r="U19" s="1167"/>
      <c r="V19" s="1167"/>
      <c r="W19" s="1167"/>
      <c r="X19" s="1167"/>
      <c r="Y19" s="1167"/>
      <c r="Z19" s="1167"/>
      <c r="AA19" s="1167"/>
      <c r="AB19" s="1167"/>
      <c r="AC19" s="1167"/>
      <c r="AD19" s="1167"/>
      <c r="AE19" s="1167"/>
      <c r="AF19" s="1167"/>
      <c r="AG19" s="1167"/>
      <c r="AH19" s="1163"/>
      <c r="AI19" s="1224"/>
      <c r="AJ19" s="1667"/>
      <c r="AK19" s="1667"/>
      <c r="AL19" s="1217"/>
      <c r="AM19" s="1217"/>
      <c r="AN19" s="1218"/>
      <c r="AO19" s="1218"/>
      <c r="AP19" s="1218"/>
      <c r="AQ19" s="1189"/>
      <c r="AR19" s="1189"/>
      <c r="AS19" s="1189"/>
      <c r="AT19" s="1163"/>
      <c r="AU19" s="1666"/>
      <c r="AV19" s="1246"/>
      <c r="AW19" s="1246"/>
      <c r="AX19" s="1246"/>
      <c r="AY19" s="1246"/>
      <c r="AZ19" s="1246"/>
      <c r="BA19" s="1246"/>
      <c r="BB19" s="1246"/>
      <c r="BC19" s="1246"/>
      <c r="BD19" s="1246"/>
      <c r="BE19" s="1246"/>
      <c r="BF19" s="1246"/>
      <c r="BG19" s="1247"/>
      <c r="BH19" s="1189"/>
      <c r="BI19" s="1189"/>
      <c r="BJ19" s="1189"/>
      <c r="BK19" s="1224"/>
      <c r="BL19" s="1217"/>
      <c r="BM19" s="1217"/>
      <c r="BN19" s="1218"/>
      <c r="BO19" s="1218"/>
      <c r="BP19" s="1218"/>
      <c r="BQ19" s="1189"/>
      <c r="BR19" s="1189"/>
      <c r="BS19" s="1198"/>
      <c r="BT19" s="1189"/>
      <c r="BU19" s="1666"/>
      <c r="BV19" s="1221"/>
      <c r="BW19" s="1221"/>
      <c r="BX19" s="1221"/>
      <c r="BY19" s="1221"/>
      <c r="BZ19" s="1221"/>
      <c r="CA19" s="1221"/>
      <c r="CB19" s="1221"/>
      <c r="CC19" s="1221"/>
      <c r="CD19" s="1221"/>
      <c r="CE19" s="1221"/>
      <c r="CF19" s="1221"/>
      <c r="CG19" s="1222"/>
      <c r="CH19" s="1189"/>
      <c r="CI19" s="1189"/>
      <c r="CJ19" s="1641"/>
      <c r="CK19" s="1657" t="str">
        <f aca="false">'P&amp;L'!A46</f>
        <v>Net Profit</v>
      </c>
      <c r="CL19" s="1682"/>
      <c r="CM19" s="1682"/>
      <c r="CN19" s="1685"/>
      <c r="CO19" s="1685"/>
      <c r="CP19" s="1685"/>
      <c r="CQ19" s="1374"/>
      <c r="CR19" s="1374"/>
      <c r="CS19" s="1189"/>
      <c r="CT19" s="1189"/>
      <c r="CU19" s="1167"/>
      <c r="CV19" s="1157"/>
      <c r="CW19" s="1195" t="str">
        <f aca="false">CK19</f>
        <v>Net Profit</v>
      </c>
      <c r="CX19" s="1221" t="n">
        <f aca="false">'P&amp;L'!B46</f>
        <v>-395805.9718</v>
      </c>
      <c r="CY19" s="1221" t="n">
        <f aca="false">'P&amp;L'!C46</f>
        <v>-412861.9718</v>
      </c>
      <c r="CZ19" s="1221" t="n">
        <f aca="false">'P&amp;L'!D46</f>
        <v>-421260.529631429</v>
      </c>
      <c r="DA19" s="1221" t="n">
        <f aca="false">'P&amp;L'!E46</f>
        <v>-384005.078357812</v>
      </c>
      <c r="DB19" s="1221" t="n">
        <f aca="false">'P&amp;L'!F46</f>
        <v>-346620.184915624</v>
      </c>
      <c r="DC19" s="1221" t="n">
        <f aca="false">'P&amp;L'!G46</f>
        <v>-293170.398031247</v>
      </c>
      <c r="DD19" s="1221" t="n">
        <f aca="false">'P&amp;L'!H46</f>
        <v>-329502.211146871</v>
      </c>
      <c r="DE19" s="1221" t="n">
        <f aca="false">'P&amp;L'!I46</f>
        <v>-323383.693717655</v>
      </c>
      <c r="DF19" s="1221" t="n">
        <f aca="false">'P&amp;L'!J46</f>
        <v>-286581.439850612</v>
      </c>
      <c r="DG19" s="1221" t="n">
        <f aca="false">'P&amp;L'!K46</f>
        <v>-252553.470602261</v>
      </c>
      <c r="DH19" s="1221" t="n">
        <f aca="false">'P&amp;L'!L46</f>
        <v>-209831.414324076</v>
      </c>
      <c r="DI19" s="1222" t="n">
        <f aca="false">'P&amp;L'!M46</f>
        <v>-175631.011098656</v>
      </c>
      <c r="DJ19" s="1167"/>
      <c r="DK19" s="1163"/>
      <c r="DL19" s="1248"/>
      <c r="DM19" s="1669"/>
      <c r="DN19" s="1669"/>
      <c r="DO19" s="1669"/>
      <c r="DP19" s="1218"/>
      <c r="DQ19" s="1218"/>
      <c r="DR19" s="1189"/>
      <c r="DS19" s="1189"/>
      <c r="DT19" s="1274"/>
      <c r="DU19" s="1157"/>
      <c r="DV19" s="1670"/>
      <c r="DW19" s="1246"/>
      <c r="DX19" s="1246"/>
      <c r="DY19" s="1246"/>
      <c r="DZ19" s="1246"/>
      <c r="EA19" s="1246"/>
      <c r="EB19" s="1246"/>
      <c r="EC19" s="1246"/>
      <c r="ED19" s="1246"/>
      <c r="EE19" s="1246"/>
      <c r="EF19" s="1246"/>
      <c r="EG19" s="1246"/>
      <c r="EH19" s="1222"/>
      <c r="EI19" s="1167"/>
      <c r="EJ19" s="1157"/>
      <c r="EK19" s="1691" t="str">
        <f aca="false">'Balance Sheet'!A19</f>
        <v>Accounts Payable</v>
      </c>
      <c r="EL19" s="1217" t="n">
        <f aca="false">'Balance Sheet'!BJ19</f>
        <v>2125220.08438693</v>
      </c>
      <c r="EM19" s="1217" t="n">
        <f aca="false">'Balance Sheet'!BK19</f>
        <v>5837775.45875626</v>
      </c>
      <c r="EN19" s="1218" t="n">
        <f aca="false">'Balance Sheet'!BL19</f>
        <v>10081186.7597701</v>
      </c>
      <c r="EO19" s="1218" t="n">
        <f aca="false">'Balance Sheet'!BM19</f>
        <v>10700178.9116777</v>
      </c>
      <c r="EP19" s="1218" t="n">
        <f aca="false">'Balance Sheet'!BN19</f>
        <v>11321439.4608204</v>
      </c>
      <c r="EQ19" s="1189"/>
      <c r="ER19" s="1189"/>
      <c r="ES19" s="1167"/>
      <c r="ET19" s="1157"/>
      <c r="EU19" s="1692" t="str">
        <f aca="false">'Balance Sheet'!A19</f>
        <v>Accounts Payable</v>
      </c>
      <c r="EV19" s="1246" t="n">
        <f aca="false">'Balance Sheet'!B19</f>
        <v>390383.972186301</v>
      </c>
      <c r="EW19" s="1246" t="n">
        <f aca="false">'Balance Sheet'!C19</f>
        <v>407206.328350685</v>
      </c>
      <c r="EX19" s="1246" t="n">
        <f aca="false">'Balance Sheet'!D19</f>
        <v>416394.413883053</v>
      </c>
      <c r="EY19" s="1246" t="n">
        <f aca="false">'Balance Sheet'!E19</f>
        <v>511103.479785396</v>
      </c>
      <c r="EZ19" s="1246" t="n">
        <f aca="false">'Balance Sheet'!F19</f>
        <v>606589.453137915</v>
      </c>
      <c r="FA19" s="1246" t="n">
        <f aca="false">'Balance Sheet'!G19</f>
        <v>818589.345048432</v>
      </c>
      <c r="FB19" s="1246" t="n">
        <f aca="false">'Balance Sheet'!H19</f>
        <v>1076938.59586306</v>
      </c>
      <c r="FC19" s="1246" t="n">
        <f aca="false">'Balance Sheet'!I19</f>
        <v>1306348.00340058</v>
      </c>
      <c r="FD19" s="1246" t="n">
        <f aca="false">'Balance Sheet'!J19</f>
        <v>1511198.69773916</v>
      </c>
      <c r="FE19" s="1246" t="n">
        <f aca="false">'Balance Sheet'!K19</f>
        <v>1717020.74567425</v>
      </c>
      <c r="FF19" s="1246" t="n">
        <f aca="false">'Balance Sheet'!L19</f>
        <v>1919568.10831964</v>
      </c>
      <c r="FG19" s="1247" t="n">
        <f aca="false">'Balance Sheet'!M19</f>
        <v>2125220.08438693</v>
      </c>
      <c r="FH19" s="1167"/>
      <c r="FI19" s="1163"/>
      <c r="FJ19" s="1693" t="s">
        <v>1933</v>
      </c>
      <c r="FK19" s="1693"/>
      <c r="FL19" s="1693"/>
      <c r="FM19" s="1694"/>
      <c r="FN19" s="1694"/>
      <c r="FO19" s="1277" t="n">
        <f aca="false">DM30</f>
        <v>152405825.410999</v>
      </c>
      <c r="FP19" s="1277" t="n">
        <f aca="false">DN30</f>
        <v>156992240.958111</v>
      </c>
      <c r="FQ19" s="1278" t="n">
        <f aca="false">DO30</f>
        <v>6344386.38122366</v>
      </c>
      <c r="FR19" s="1278" t="n">
        <f aca="false">DP30</f>
        <v>13935660.5086761</v>
      </c>
      <c r="FS19" s="1278" t="n">
        <f aca="false">DQ30</f>
        <v>54173400.9296542</v>
      </c>
      <c r="FT19" s="1167"/>
      <c r="FU19" s="1646"/>
      <c r="FV19" s="1664" t="s">
        <v>2077</v>
      </c>
      <c r="FW19" s="1217" t="n">
        <f aca="false">IFERROR(FW18/FW16,"N/A")</f>
        <v>-0.480978049201924</v>
      </c>
      <c r="FX19" s="1217" t="n">
        <f aca="false">IFERROR(FX18/FX16,"N/A")</f>
        <v>0.109897808974777</v>
      </c>
      <c r="FY19" s="1218" t="n">
        <f aca="false">IFERROR(FY18/FY16,"N/A")</f>
        <v>0.26661817606942</v>
      </c>
      <c r="FZ19" s="1167"/>
      <c r="GA19" s="1163"/>
      <c r="GB19" s="1664" t="str">
        <f aca="false">Existing!A17</f>
        <v>Other Assets</v>
      </c>
      <c r="GC19" s="1217"/>
      <c r="GD19" s="1217"/>
      <c r="GE19" s="1218"/>
      <c r="GF19" s="1167"/>
      <c r="GG19" s="1163"/>
      <c r="GH19" s="1684" t="s">
        <v>1931</v>
      </c>
      <c r="GI19" s="1277" t="n">
        <f aca="false">IFERROR(GI17-GI18,0)</f>
        <v>0</v>
      </c>
      <c r="GJ19" s="1277" t="n">
        <f aca="false">IFERROR(GJ17-GJ18,0)</f>
        <v>0</v>
      </c>
      <c r="GK19" s="1278" t="n">
        <f aca="false">IFERROR(GK17-GK18,0)</f>
        <v>0</v>
      </c>
      <c r="GL19" s="1278"/>
      <c r="GM19" s="1278"/>
      <c r="GN19" s="1189"/>
      <c r="GO19" s="1189"/>
      <c r="GP19" s="1167"/>
      <c r="GQ19" s="1167"/>
      <c r="GR19" s="1167"/>
      <c r="GS19" s="1167"/>
      <c r="GT19" s="1167"/>
      <c r="GU19" s="1167"/>
      <c r="GV19" s="1163"/>
      <c r="GW19" s="1224"/>
      <c r="GX19" s="1217"/>
      <c r="GY19" s="1217"/>
      <c r="GZ19" s="1218"/>
      <c r="HA19" s="1218"/>
      <c r="HB19" s="1218"/>
      <c r="HC19" s="1189"/>
      <c r="HD19" s="1189"/>
      <c r="HE19" s="1189"/>
      <c r="HF19" s="1189"/>
      <c r="HG19" s="1167"/>
      <c r="HH19" s="1167"/>
      <c r="HI19" s="1167"/>
      <c r="HJ19" s="1167"/>
      <c r="HK19" s="1167"/>
      <c r="HL19" s="1167"/>
      <c r="HM19" s="1167"/>
      <c r="HN19" s="1167"/>
      <c r="HO19" s="1167"/>
      <c r="HP19" s="1167"/>
      <c r="HQ19" s="1167"/>
      <c r="HR19" s="1167"/>
      <c r="HS19" s="1167"/>
      <c r="HT19" s="1167"/>
      <c r="HU19" s="1167"/>
      <c r="HV19" s="1167"/>
      <c r="HW19" s="1167"/>
      <c r="HX19" s="1167"/>
      <c r="HY19" s="1167"/>
      <c r="HZ19" s="1167"/>
      <c r="IA19" s="1167"/>
      <c r="IB19" s="1167"/>
      <c r="IC19" s="1167"/>
      <c r="ID19" s="1167"/>
      <c r="IE19" s="1167"/>
      <c r="IF19" s="1167"/>
    </row>
    <row r="20" customFormat="false" ht="12.75" hidden="false" customHeight="true" outlineLevel="0" collapsed="false">
      <c r="A20" s="1633"/>
      <c r="B20" s="1289" t="str">
        <f aca="false">'Sources &amp; Uses'!A26</f>
        <v>Start-up Assets</v>
      </c>
      <c r="C20" s="1184"/>
      <c r="D20" s="1167"/>
      <c r="E20" s="1633"/>
      <c r="F20" s="1289"/>
      <c r="G20" s="1184"/>
      <c r="H20" s="1167"/>
      <c r="I20" s="1453"/>
      <c r="J20" s="1167"/>
      <c r="K20" s="1167"/>
      <c r="L20" s="1167"/>
      <c r="M20" s="1167"/>
      <c r="N20" s="1167"/>
      <c r="O20" s="1167"/>
      <c r="P20" s="1189"/>
      <c r="Q20" s="1189"/>
      <c r="R20" s="1189"/>
      <c r="S20" s="1453"/>
      <c r="T20" s="1167"/>
      <c r="U20" s="1167"/>
      <c r="V20" s="1167"/>
      <c r="W20" s="1167"/>
      <c r="X20" s="1167"/>
      <c r="Y20" s="1167"/>
      <c r="Z20" s="1167"/>
      <c r="AA20" s="1167"/>
      <c r="AB20" s="1167"/>
      <c r="AC20" s="1167"/>
      <c r="AD20" s="1167"/>
      <c r="AE20" s="1167"/>
      <c r="AF20" s="1167"/>
      <c r="AG20" s="1167"/>
      <c r="AH20" s="1163"/>
      <c r="AI20" s="1664" t="str">
        <f aca="false">Revenue!A150</f>
        <v>Subtotal Cost of Revenue</v>
      </c>
      <c r="AJ20" s="1667"/>
      <c r="AK20" s="1667"/>
      <c r="AL20" s="1217" t="n">
        <f aca="false">Revenue!BJ150</f>
        <v>5108011.13347264</v>
      </c>
      <c r="AM20" s="1217" t="n">
        <f aca="false">Revenue!BK150</f>
        <v>25568044.7694644</v>
      </c>
      <c r="AN20" s="1218" t="n">
        <f aca="false">Revenue!BL150</f>
        <v>64654825.8538181</v>
      </c>
      <c r="AO20" s="1218"/>
      <c r="AP20" s="1218"/>
      <c r="AQ20" s="1189"/>
      <c r="AR20" s="1189"/>
      <c r="AS20" s="1189"/>
      <c r="AT20" s="1163"/>
      <c r="AU20" s="1670" t="str">
        <f aca="false">Revenue!A150</f>
        <v>Subtotal Cost of Revenue</v>
      </c>
      <c r="AV20" s="1246" t="n">
        <f aca="false">Revenue!B150</f>
        <v>0</v>
      </c>
      <c r="AW20" s="1246" t="n">
        <f aca="false">Revenue!C150</f>
        <v>0</v>
      </c>
      <c r="AX20" s="1246" t="n">
        <f aca="false">Revenue!D150</f>
        <v>604.269831428572</v>
      </c>
      <c r="AY20" s="1246" t="n">
        <f aca="false">Revenue!E150</f>
        <v>69972.7552530499</v>
      </c>
      <c r="AZ20" s="1246" t="n">
        <f aca="false">Revenue!F150</f>
        <v>139945.5105061</v>
      </c>
      <c r="BA20" s="1246" t="n">
        <f aca="false">Revenue!G150</f>
        <v>279891.0210122</v>
      </c>
      <c r="BB20" s="1246" t="n">
        <f aca="false">Revenue!H150</f>
        <v>419836.5315183</v>
      </c>
      <c r="BC20" s="1246" t="n">
        <f aca="false">Revenue!I150</f>
        <v>559782.042024399</v>
      </c>
      <c r="BD20" s="1246" t="n">
        <f aca="false">Revenue!J150</f>
        <v>699727.552530499</v>
      </c>
      <c r="BE20" s="1246" t="n">
        <f aca="false">Revenue!K150</f>
        <v>839673.063036599</v>
      </c>
      <c r="BF20" s="1246" t="n">
        <f aca="false">Revenue!L150</f>
        <v>979618.573542699</v>
      </c>
      <c r="BG20" s="1247" t="n">
        <f aca="false">Revenue!M150</f>
        <v>1119564.0840488</v>
      </c>
      <c r="BH20" s="1189"/>
      <c r="BI20" s="1189"/>
      <c r="BJ20" s="1189"/>
      <c r="BK20" s="1224"/>
      <c r="BL20" s="1217"/>
      <c r="BM20" s="1217"/>
      <c r="BN20" s="1218"/>
      <c r="BO20" s="1218"/>
      <c r="BP20" s="1218"/>
      <c r="BQ20" s="1189"/>
      <c r="BR20" s="1189"/>
      <c r="BS20" s="1198"/>
      <c r="BT20" s="1189"/>
      <c r="BU20" s="1666"/>
      <c r="BV20" s="1221"/>
      <c r="BW20" s="1221"/>
      <c r="BX20" s="1221"/>
      <c r="BY20" s="1221"/>
      <c r="BZ20" s="1221"/>
      <c r="CA20" s="1221"/>
      <c r="CB20" s="1221"/>
      <c r="CC20" s="1221"/>
      <c r="CD20" s="1221"/>
      <c r="CE20" s="1221"/>
      <c r="CF20" s="1221"/>
      <c r="CG20" s="1222"/>
      <c r="CH20" s="1189"/>
      <c r="CI20" s="1189"/>
      <c r="CJ20" s="1641"/>
      <c r="CK20" s="1695" t="str">
        <f aca="false">'P&amp;L'!A47</f>
        <v>Net Profit %</v>
      </c>
      <c r="CL20" s="1696"/>
      <c r="CM20" s="1696"/>
      <c r="CN20" s="1697"/>
      <c r="CO20" s="1697"/>
      <c r="CP20" s="1697"/>
      <c r="CQ20" s="1342"/>
      <c r="CR20" s="1342"/>
      <c r="CS20" s="1150"/>
      <c r="CT20" s="1150"/>
      <c r="CU20" s="1167"/>
      <c r="CV20" s="1157"/>
      <c r="CW20" s="1698" t="str">
        <f aca="false">CK20</f>
        <v>Net Profit %</v>
      </c>
      <c r="CX20" s="1338" t="str">
        <f aca="false">IF(CX2=0,"N/A",CX19/CX2)</f>
        <v>N/A</v>
      </c>
      <c r="CY20" s="1338" t="str">
        <f aca="false">IF(CY2=0,"N/A",CY19/CY2)</f>
        <v>N/A</v>
      </c>
      <c r="CZ20" s="1338" t="n">
        <f aca="false">IF(CZ2=0,"N/A",CZ19/CZ2)</f>
        <v>-459.319765391793</v>
      </c>
      <c r="DA20" s="1338" t="n">
        <f aca="false">IF(DA2=0,"N/A",DA19/DA2)</f>
        <v>-2.86150140599973</v>
      </c>
      <c r="DB20" s="1338" t="n">
        <f aca="false">IF(DB2=0,"N/A",DB19/DB2)</f>
        <v>-1.291459673822</v>
      </c>
      <c r="DC20" s="1338" t="n">
        <f aca="false">IF(DC2=0,"N/A",DC19/DC2)</f>
        <v>-0.546156518132184</v>
      </c>
      <c r="DD20" s="1338" t="n">
        <f aca="false">IF(DD2=0,"N/A",DD19/DD2)</f>
        <v>-0.409226810449555</v>
      </c>
      <c r="DE20" s="1338" t="n">
        <f aca="false">IF(DE2=0,"N/A",DE19/DE2)</f>
        <v>-0.301220916858622</v>
      </c>
      <c r="DF20" s="1338" t="n">
        <f aca="false">IF(DF2=0,"N/A",DF19/DF2)</f>
        <v>-0.213552694816665</v>
      </c>
      <c r="DG20" s="1338" t="n">
        <f aca="false">IF(DG2=0,"N/A",DG19/DG2)</f>
        <v>-0.156829981326683</v>
      </c>
      <c r="DH20" s="1338" t="n">
        <f aca="false">IF(DH2=0,"N/A",DH19/DH2)</f>
        <v>-0.111686187975689</v>
      </c>
      <c r="DI20" s="1339" t="n">
        <f aca="false">IF(DI2=0,"N/A",DI19/DI2)</f>
        <v>-0.0817971580195601</v>
      </c>
      <c r="DJ20" s="1167"/>
      <c r="DK20" s="1163"/>
      <c r="DL20" s="1252" t="str">
        <f aca="false">'Cash Flow'!A42</f>
        <v>FINANCING</v>
      </c>
      <c r="DM20" s="1669"/>
      <c r="DN20" s="1669"/>
      <c r="DO20" s="1669"/>
      <c r="DP20" s="1218"/>
      <c r="DQ20" s="1218"/>
      <c r="DR20" s="1189"/>
      <c r="DS20" s="1189"/>
      <c r="DT20" s="1274"/>
      <c r="DU20" s="1157"/>
      <c r="DV20" s="1343" t="str">
        <f aca="false">DL20</f>
        <v>FINANCING</v>
      </c>
      <c r="DW20" s="1246"/>
      <c r="DX20" s="1246"/>
      <c r="DY20" s="1246"/>
      <c r="DZ20" s="1246"/>
      <c r="EA20" s="1246"/>
      <c r="EB20" s="1246"/>
      <c r="EC20" s="1246"/>
      <c r="ED20" s="1246"/>
      <c r="EE20" s="1246"/>
      <c r="EF20" s="1246"/>
      <c r="EG20" s="1246"/>
      <c r="EH20" s="1222"/>
      <c r="EI20" s="1274"/>
      <c r="EJ20" s="1157"/>
      <c r="EK20" s="1691" t="str">
        <f aca="false">'Balance Sheet'!A20</f>
        <v>Current Borrowing</v>
      </c>
      <c r="EL20" s="1217" t="n">
        <f aca="false">'Balance Sheet'!BJ20</f>
        <v>0</v>
      </c>
      <c r="EM20" s="1217" t="n">
        <f aca="false">'Balance Sheet'!BK20</f>
        <v>0</v>
      </c>
      <c r="EN20" s="1218" t="n">
        <f aca="false">'Balance Sheet'!BL20</f>
        <v>0</v>
      </c>
      <c r="EO20" s="1218" t="n">
        <f aca="false">'Balance Sheet'!BM20</f>
        <v>0</v>
      </c>
      <c r="EP20" s="1218" t="n">
        <f aca="false">'Balance Sheet'!BN20</f>
        <v>0</v>
      </c>
      <c r="EQ20" s="1189"/>
      <c r="ER20" s="1189"/>
      <c r="ES20" s="1167"/>
      <c r="ET20" s="1157"/>
      <c r="EU20" s="1692" t="str">
        <f aca="false">'Balance Sheet'!A20</f>
        <v>Current Borrowing</v>
      </c>
      <c r="EV20" s="1246" t="n">
        <f aca="false">'Balance Sheet'!B20</f>
        <v>0</v>
      </c>
      <c r="EW20" s="1246" t="n">
        <f aca="false">'Balance Sheet'!C20</f>
        <v>0</v>
      </c>
      <c r="EX20" s="1246" t="n">
        <f aca="false">'Balance Sheet'!D20</f>
        <v>0</v>
      </c>
      <c r="EY20" s="1246" t="n">
        <f aca="false">'Balance Sheet'!E20</f>
        <v>0</v>
      </c>
      <c r="EZ20" s="1246" t="n">
        <f aca="false">'Balance Sheet'!F20</f>
        <v>0</v>
      </c>
      <c r="FA20" s="1246" t="n">
        <f aca="false">'Balance Sheet'!G20</f>
        <v>0</v>
      </c>
      <c r="FB20" s="1246" t="n">
        <f aca="false">'Balance Sheet'!H20</f>
        <v>0</v>
      </c>
      <c r="FC20" s="1246" t="n">
        <f aca="false">'Balance Sheet'!I20</f>
        <v>0</v>
      </c>
      <c r="FD20" s="1246" t="n">
        <f aca="false">'Balance Sheet'!J20</f>
        <v>0</v>
      </c>
      <c r="FE20" s="1246" t="n">
        <f aca="false">'Balance Sheet'!K20</f>
        <v>0</v>
      </c>
      <c r="FF20" s="1246" t="n">
        <f aca="false">'Balance Sheet'!L20</f>
        <v>0</v>
      </c>
      <c r="FG20" s="1247" t="n">
        <f aca="false">'Balance Sheet'!M20</f>
        <v>0</v>
      </c>
      <c r="FH20" s="1167"/>
      <c r="FI20" s="1453"/>
      <c r="FJ20" s="1699"/>
      <c r="FK20" s="1699"/>
      <c r="FL20" s="1699"/>
      <c r="FM20" s="1699"/>
      <c r="FN20" s="1699"/>
      <c r="FO20" s="1167"/>
      <c r="FP20" s="1167"/>
      <c r="FQ20" s="1167"/>
      <c r="FR20" s="1167"/>
      <c r="FS20" s="1167"/>
      <c r="FT20" s="1167"/>
      <c r="FU20" s="1646"/>
      <c r="FV20" s="1664"/>
      <c r="FW20" s="1217"/>
      <c r="FX20" s="1217"/>
      <c r="FY20" s="1218"/>
      <c r="FZ20" s="1167"/>
      <c r="GA20" s="1163"/>
      <c r="GB20" s="1224" t="str">
        <f aca="false">Existing!A18</f>
        <v>Other Assets</v>
      </c>
      <c r="GC20" s="1217" t="n">
        <f aca="false">Existing!B18</f>
        <v>0</v>
      </c>
      <c r="GD20" s="1217" t="n">
        <f aca="false">Existing!C18</f>
        <v>0</v>
      </c>
      <c r="GE20" s="1218" t="n">
        <f aca="false">Existing!D18</f>
        <v>1</v>
      </c>
      <c r="GF20" s="1167"/>
      <c r="GG20" s="1453"/>
      <c r="GH20" s="1167"/>
      <c r="GI20" s="1167"/>
      <c r="GJ20" s="1167"/>
      <c r="GK20" s="1167"/>
      <c r="GL20" s="1167"/>
      <c r="GM20" s="1167"/>
      <c r="GN20" s="1167"/>
      <c r="GO20" s="1167"/>
      <c r="GP20" s="1167"/>
      <c r="GQ20" s="1167"/>
      <c r="GR20" s="1167"/>
      <c r="GS20" s="1167"/>
      <c r="GT20" s="1167"/>
      <c r="GU20" s="1167"/>
      <c r="GV20" s="1163"/>
      <c r="GW20" s="1224"/>
      <c r="GX20" s="1217"/>
      <c r="GY20" s="1217"/>
      <c r="GZ20" s="1218"/>
      <c r="HA20" s="1218"/>
      <c r="HB20" s="1218"/>
      <c r="HC20" s="1189"/>
      <c r="HD20" s="1189"/>
      <c r="HE20" s="1189"/>
      <c r="HF20" s="1189"/>
      <c r="HG20" s="1167"/>
      <c r="HH20" s="1167"/>
      <c r="HI20" s="1167"/>
      <c r="HJ20" s="1167"/>
      <c r="HK20" s="1167"/>
      <c r="HL20" s="1167"/>
      <c r="HM20" s="1167"/>
      <c r="HN20" s="1167"/>
      <c r="HO20" s="1167"/>
      <c r="HP20" s="1167"/>
      <c r="HQ20" s="1167"/>
      <c r="HR20" s="1167"/>
      <c r="HS20" s="1167"/>
      <c r="HT20" s="1167"/>
      <c r="HU20" s="1167"/>
      <c r="HV20" s="1167"/>
      <c r="HW20" s="1167"/>
      <c r="HX20" s="1167"/>
      <c r="HY20" s="1167"/>
      <c r="HZ20" s="1167"/>
      <c r="IA20" s="1167"/>
      <c r="IB20" s="1167"/>
      <c r="IC20" s="1167"/>
      <c r="ID20" s="1167"/>
      <c r="IE20" s="1167"/>
      <c r="IF20" s="1167"/>
    </row>
    <row r="21" customFormat="false" ht="12.75" hidden="false" customHeight="true" outlineLevel="0" collapsed="false">
      <c r="A21" s="1633"/>
      <c r="B21" s="1300" t="str">
        <f aca="false">'Sources &amp; Uses'!A27</f>
        <v>Working Capital</v>
      </c>
      <c r="C21" s="1184" t="n">
        <f aca="false">'Sources &amp; Uses'!B27</f>
        <v>10000000</v>
      </c>
      <c r="D21" s="1167"/>
      <c r="E21" s="1633"/>
      <c r="F21" s="1300"/>
      <c r="G21" s="1184"/>
      <c r="H21" s="1167"/>
      <c r="I21" s="1453"/>
      <c r="J21" s="1167"/>
      <c r="K21" s="1167"/>
      <c r="L21" s="1167"/>
      <c r="M21" s="1167"/>
      <c r="N21" s="1167"/>
      <c r="O21" s="1167"/>
      <c r="P21" s="1189"/>
      <c r="Q21" s="1189"/>
      <c r="R21" s="1189"/>
      <c r="S21" s="1453"/>
      <c r="T21" s="1167"/>
      <c r="U21" s="1167"/>
      <c r="V21" s="1167"/>
      <c r="W21" s="1167"/>
      <c r="X21" s="1167"/>
      <c r="Y21" s="1167"/>
      <c r="Z21" s="1167"/>
      <c r="AA21" s="1167"/>
      <c r="AB21" s="1167"/>
      <c r="AC21" s="1167"/>
      <c r="AD21" s="1167"/>
      <c r="AE21" s="1167"/>
      <c r="AF21" s="1167"/>
      <c r="AG21" s="1167"/>
      <c r="AH21" s="1163"/>
      <c r="AI21" s="1664" t="str">
        <f aca="false">'P&amp;L'!A22</f>
        <v>Other Direct Cost</v>
      </c>
      <c r="AJ21" s="1667" t="n">
        <f aca="false">'P&amp;L'!BH22</f>
        <v>1624980.45138333</v>
      </c>
      <c r="AK21" s="1667" t="n">
        <f aca="false">'P&amp;L'!BI22</f>
        <v>1624980.45138333</v>
      </c>
      <c r="AL21" s="1217" t="n">
        <f aca="false">'P&amp;L'!BJ22</f>
        <v>979638.544344048</v>
      </c>
      <c r="AM21" s="1217" t="n">
        <f aca="false">'P&amp;L'!BK22</f>
        <v>6347372.62030143</v>
      </c>
      <c r="AN21" s="1218" t="n">
        <f aca="false">'P&amp;L'!BL22</f>
        <v>16714084.6428</v>
      </c>
      <c r="AO21" s="1218"/>
      <c r="AP21" s="1218"/>
      <c r="AQ21" s="1189"/>
      <c r="AR21" s="1189"/>
      <c r="AS21" s="1189"/>
      <c r="AT21" s="1163"/>
      <c r="AU21" s="1670" t="str">
        <f aca="false">'P&amp;L'!A22</f>
        <v>Other Direct Cost</v>
      </c>
      <c r="AV21" s="1246" t="n">
        <f aca="false">'P&amp;L'!B22</f>
        <v>0</v>
      </c>
      <c r="AW21" s="1246" t="n">
        <f aca="false">'P&amp;L'!C22</f>
        <v>0</v>
      </c>
      <c r="AX21" s="1246" t="n">
        <f aca="false">'P&amp;L'!D22</f>
        <v>91.714</v>
      </c>
      <c r="AY21" s="1246" t="n">
        <f aca="false">'P&amp;L'!E22</f>
        <v>13419.7060869048</v>
      </c>
      <c r="AZ21" s="1246" t="n">
        <f aca="false">'P&amp;L'!F22</f>
        <v>26839.4121738095</v>
      </c>
      <c r="BA21" s="1246" t="n">
        <f aca="false">'P&amp;L'!G22</f>
        <v>53678.8243476191</v>
      </c>
      <c r="BB21" s="1246" t="n">
        <f aca="false">'P&amp;L'!H22</f>
        <v>80518.2365214286</v>
      </c>
      <c r="BC21" s="1246" t="n">
        <f aca="false">'P&amp;L'!I22</f>
        <v>107357.648695238</v>
      </c>
      <c r="BD21" s="1246" t="n">
        <f aca="false">'P&amp;L'!J22</f>
        <v>134197.060869048</v>
      </c>
      <c r="BE21" s="1246" t="n">
        <f aca="false">'P&amp;L'!K22</f>
        <v>161036.473042857</v>
      </c>
      <c r="BF21" s="1246" t="n">
        <f aca="false">'P&amp;L'!L22</f>
        <v>187875.885216667</v>
      </c>
      <c r="BG21" s="1247" t="n">
        <f aca="false">'P&amp;L'!M22</f>
        <v>214715.297390476</v>
      </c>
      <c r="BH21" s="1189"/>
      <c r="BI21" s="1189"/>
      <c r="BJ21" s="1189"/>
      <c r="BK21" s="1224"/>
      <c r="BL21" s="1217"/>
      <c r="BM21" s="1217"/>
      <c r="BN21" s="1218"/>
      <c r="BO21" s="1218"/>
      <c r="BP21" s="1218"/>
      <c r="BQ21" s="1189"/>
      <c r="BR21" s="1189"/>
      <c r="BS21" s="1198"/>
      <c r="BT21" s="1189"/>
      <c r="BU21" s="1666"/>
      <c r="BV21" s="1221"/>
      <c r="BW21" s="1221"/>
      <c r="BX21" s="1221"/>
      <c r="BY21" s="1221"/>
      <c r="BZ21" s="1221"/>
      <c r="CA21" s="1221"/>
      <c r="CB21" s="1221"/>
      <c r="CC21" s="1221"/>
      <c r="CD21" s="1221"/>
      <c r="CE21" s="1221"/>
      <c r="CF21" s="1221"/>
      <c r="CG21" s="1222"/>
      <c r="CH21" s="1189"/>
      <c r="CI21" s="1189"/>
      <c r="CJ21" s="1700"/>
      <c r="CK21" s="1167"/>
      <c r="CL21" s="1167"/>
      <c r="CM21" s="1167"/>
      <c r="CN21" s="1167"/>
      <c r="CO21" s="1167"/>
      <c r="CP21" s="1167"/>
      <c r="CQ21" s="1167"/>
      <c r="CR21" s="1167"/>
      <c r="CS21" s="1189"/>
      <c r="CT21" s="1189"/>
      <c r="CU21" s="1167"/>
      <c r="CV21" s="1453"/>
      <c r="CW21" s="1167"/>
      <c r="CX21" s="1167"/>
      <c r="CY21" s="1167"/>
      <c r="CZ21" s="1167"/>
      <c r="DA21" s="1167"/>
      <c r="DB21" s="1167"/>
      <c r="DC21" s="1167"/>
      <c r="DD21" s="1167"/>
      <c r="DE21" s="1167"/>
      <c r="DF21" s="1167"/>
      <c r="DG21" s="1167"/>
      <c r="DH21" s="1167"/>
      <c r="DI21" s="1167"/>
      <c r="DJ21" s="1167"/>
      <c r="DK21" s="1163"/>
      <c r="DL21" s="1248" t="str">
        <f aca="false">'Cash Flow'!A43</f>
        <v>Investment</v>
      </c>
      <c r="DM21" s="1669" t="n">
        <f aca="false">'Cash Flow'!BH43</f>
        <v>0</v>
      </c>
      <c r="DN21" s="1669" t="n">
        <f aca="false">'Cash Flow'!BI43</f>
        <v>0</v>
      </c>
      <c r="DO21" s="1669" t="n">
        <f aca="false">'Cash Flow'!BJ43</f>
        <v>10000000</v>
      </c>
      <c r="DP21" s="1218" t="n">
        <f aca="false">'Cash Flow'!BK43</f>
        <v>0</v>
      </c>
      <c r="DQ21" s="1218" t="n">
        <f aca="false">'Cash Flow'!BL43</f>
        <v>0</v>
      </c>
      <c r="DR21" s="1189"/>
      <c r="DS21" s="1189"/>
      <c r="DT21" s="1274"/>
      <c r="DU21" s="1157"/>
      <c r="DV21" s="1670" t="str">
        <f aca="false">DL21</f>
        <v>Investment</v>
      </c>
      <c r="DW21" s="1246" t="n">
        <f aca="false">'Cash Flow'!B43</f>
        <v>10000000</v>
      </c>
      <c r="DX21" s="1246" t="n">
        <f aca="false">'Cash Flow'!C43</f>
        <v>0</v>
      </c>
      <c r="DY21" s="1246" t="n">
        <f aca="false">'Cash Flow'!D43</f>
        <v>0</v>
      </c>
      <c r="DZ21" s="1246" t="n">
        <f aca="false">'Cash Flow'!E43</f>
        <v>0</v>
      </c>
      <c r="EA21" s="1246" t="n">
        <f aca="false">'Cash Flow'!F43</f>
        <v>0</v>
      </c>
      <c r="EB21" s="1246" t="n">
        <f aca="false">'Cash Flow'!G43</f>
        <v>0</v>
      </c>
      <c r="EC21" s="1246" t="n">
        <f aca="false">'Cash Flow'!H43</f>
        <v>0</v>
      </c>
      <c r="ED21" s="1246" t="n">
        <f aca="false">'Cash Flow'!I43</f>
        <v>0</v>
      </c>
      <c r="EE21" s="1246" t="n">
        <f aca="false">'Cash Flow'!J43</f>
        <v>0</v>
      </c>
      <c r="EF21" s="1246" t="n">
        <f aca="false">'Cash Flow'!K43</f>
        <v>0</v>
      </c>
      <c r="EG21" s="1246" t="n">
        <f aca="false">'Cash Flow'!L43</f>
        <v>0</v>
      </c>
      <c r="EH21" s="1222" t="n">
        <f aca="false">'Cash Flow'!M43</f>
        <v>0</v>
      </c>
      <c r="EI21" s="1274"/>
      <c r="EJ21" s="1157"/>
      <c r="EK21" s="1691" t="str">
        <f aca="false">'Balance Sheet'!A21</f>
        <v>Other Current Liabilities</v>
      </c>
      <c r="EL21" s="1217" t="n">
        <f aca="false">'Balance Sheet'!BJ21</f>
        <v>0</v>
      </c>
      <c r="EM21" s="1217" t="n">
        <f aca="false">'Balance Sheet'!BK21</f>
        <v>0</v>
      </c>
      <c r="EN21" s="1218" t="n">
        <f aca="false">'Balance Sheet'!BL21</f>
        <v>0</v>
      </c>
      <c r="EO21" s="1218" t="n">
        <f aca="false">'Balance Sheet'!BM21</f>
        <v>0</v>
      </c>
      <c r="EP21" s="1218" t="n">
        <f aca="false">'Balance Sheet'!BN21</f>
        <v>0</v>
      </c>
      <c r="EQ21" s="1189"/>
      <c r="ER21" s="1189"/>
      <c r="ES21" s="1167"/>
      <c r="ET21" s="1157"/>
      <c r="EU21" s="1692" t="str">
        <f aca="false">'Balance Sheet'!A21</f>
        <v>Other Current Liabilities</v>
      </c>
      <c r="EV21" s="1246" t="n">
        <f aca="false">'Balance Sheet'!B21</f>
        <v>0</v>
      </c>
      <c r="EW21" s="1246" t="n">
        <f aca="false">'Balance Sheet'!C21</f>
        <v>0</v>
      </c>
      <c r="EX21" s="1246" t="n">
        <f aca="false">'Balance Sheet'!D21</f>
        <v>0</v>
      </c>
      <c r="EY21" s="1246" t="n">
        <f aca="false">'Balance Sheet'!E21</f>
        <v>0</v>
      </c>
      <c r="EZ21" s="1246" t="n">
        <f aca="false">'Balance Sheet'!F21</f>
        <v>0</v>
      </c>
      <c r="FA21" s="1246" t="n">
        <f aca="false">'Balance Sheet'!G21</f>
        <v>0</v>
      </c>
      <c r="FB21" s="1246" t="n">
        <f aca="false">'Balance Sheet'!H21</f>
        <v>0</v>
      </c>
      <c r="FC21" s="1246" t="n">
        <f aca="false">'Balance Sheet'!I21</f>
        <v>0</v>
      </c>
      <c r="FD21" s="1246" t="n">
        <f aca="false">'Balance Sheet'!J21</f>
        <v>0</v>
      </c>
      <c r="FE21" s="1246" t="n">
        <f aca="false">'Balance Sheet'!K21</f>
        <v>0</v>
      </c>
      <c r="FF21" s="1246" t="n">
        <f aca="false">'Balance Sheet'!L21</f>
        <v>0</v>
      </c>
      <c r="FG21" s="1247" t="n">
        <f aca="false">'Balance Sheet'!M21</f>
        <v>0</v>
      </c>
      <c r="FH21" s="1167"/>
      <c r="FI21" s="1453"/>
      <c r="FJ21" s="1699"/>
      <c r="FK21" s="1699"/>
      <c r="FL21" s="1699"/>
      <c r="FM21" s="1699"/>
      <c r="FN21" s="1699"/>
      <c r="FO21" s="1167"/>
      <c r="FP21" s="1167"/>
      <c r="FQ21" s="1167"/>
      <c r="FR21" s="1167"/>
      <c r="FS21" s="1167"/>
      <c r="FT21" s="1167"/>
      <c r="FU21" s="1646"/>
      <c r="FV21" s="1664"/>
      <c r="FW21" s="1217"/>
      <c r="FX21" s="1217"/>
      <c r="FY21" s="1218"/>
      <c r="FZ21" s="1167"/>
      <c r="GA21" s="1163"/>
      <c r="GB21" s="1664" t="s">
        <v>1803</v>
      </c>
      <c r="GC21" s="1217" t="n">
        <f aca="false">GC17+GC12+GC20</f>
        <v>0</v>
      </c>
      <c r="GD21" s="1217" t="n">
        <f aca="false">GD17+GD12+GD20</f>
        <v>0</v>
      </c>
      <c r="GE21" s="1218" t="n">
        <f aca="false">GE17+GE12+GE20</f>
        <v>-1</v>
      </c>
      <c r="GF21" s="1167"/>
      <c r="GG21" s="1453"/>
      <c r="GH21" s="1167"/>
      <c r="GI21" s="1167"/>
      <c r="GJ21" s="1167"/>
      <c r="GK21" s="1167"/>
      <c r="GL21" s="1167"/>
      <c r="GM21" s="1167"/>
      <c r="GN21" s="1167"/>
      <c r="GO21" s="1167"/>
      <c r="GP21" s="1167"/>
      <c r="GQ21" s="1167"/>
      <c r="GR21" s="1167"/>
      <c r="GS21" s="1167"/>
      <c r="GT21" s="1167"/>
      <c r="GU21" s="1167"/>
      <c r="GV21" s="1163"/>
      <c r="GW21" s="1664"/>
      <c r="GX21" s="1217"/>
      <c r="GY21" s="1217"/>
      <c r="GZ21" s="1218"/>
      <c r="HA21" s="1218"/>
      <c r="HB21" s="1218"/>
      <c r="HC21" s="1189"/>
      <c r="HD21" s="1189"/>
      <c r="HE21" s="1189"/>
      <c r="HF21" s="1189"/>
      <c r="HG21" s="1167"/>
      <c r="HH21" s="1167"/>
      <c r="HI21" s="1167"/>
      <c r="HJ21" s="1167"/>
      <c r="HK21" s="1167"/>
      <c r="HL21" s="1167"/>
      <c r="HM21" s="1167"/>
      <c r="HN21" s="1167"/>
      <c r="HO21" s="1167"/>
      <c r="HP21" s="1167"/>
      <c r="HQ21" s="1167"/>
      <c r="HR21" s="1167"/>
      <c r="HS21" s="1167"/>
      <c r="HT21" s="1167"/>
      <c r="HU21" s="1167"/>
      <c r="HV21" s="1167"/>
      <c r="HW21" s="1167"/>
      <c r="HX21" s="1167"/>
      <c r="HY21" s="1167"/>
      <c r="HZ21" s="1167"/>
      <c r="IA21" s="1167"/>
      <c r="IB21" s="1167"/>
      <c r="IC21" s="1167"/>
      <c r="ID21" s="1167"/>
      <c r="IE21" s="1167"/>
      <c r="IF21" s="1167"/>
    </row>
    <row r="22" customFormat="false" ht="12.75" hidden="false" customHeight="true" outlineLevel="0" collapsed="false">
      <c r="A22" s="1633"/>
      <c r="B22" s="1300" t="str">
        <f aca="false">'Sources &amp; Uses'!A28</f>
        <v>Inventory</v>
      </c>
      <c r="C22" s="1184" t="n">
        <f aca="false">'Sources &amp; Uses'!B28</f>
        <v>0</v>
      </c>
      <c r="D22" s="1167"/>
      <c r="E22" s="1633"/>
      <c r="F22" s="1300"/>
      <c r="G22" s="1184"/>
      <c r="H22" s="1167"/>
      <c r="I22" s="1453"/>
      <c r="J22" s="1167"/>
      <c r="K22" s="1167"/>
      <c r="L22" s="1167"/>
      <c r="M22" s="1167"/>
      <c r="N22" s="1167"/>
      <c r="O22" s="1167"/>
      <c r="P22" s="1189"/>
      <c r="Q22" s="1189"/>
      <c r="R22" s="1189"/>
      <c r="S22" s="1453"/>
      <c r="T22" s="1167"/>
      <c r="U22" s="1167"/>
      <c r="V22" s="1167"/>
      <c r="W22" s="1167"/>
      <c r="X22" s="1167"/>
      <c r="Y22" s="1167"/>
      <c r="Z22" s="1167"/>
      <c r="AA22" s="1167"/>
      <c r="AB22" s="1167"/>
      <c r="AC22" s="1167"/>
      <c r="AD22" s="1167"/>
      <c r="AE22" s="1167"/>
      <c r="AF22" s="1167"/>
      <c r="AG22" s="1167"/>
      <c r="AH22" s="1163"/>
      <c r="AI22" s="1265" t="s">
        <v>1934</v>
      </c>
      <c r="AJ22" s="1682"/>
      <c r="AK22" s="1682"/>
      <c r="AL22" s="1373" t="n">
        <f aca="false">SUM(AL20:AL21)</f>
        <v>6087649.67781669</v>
      </c>
      <c r="AM22" s="1373" t="n">
        <f aca="false">SUM(AM20:AM21)</f>
        <v>31915417.3897659</v>
      </c>
      <c r="AN22" s="1374" t="n">
        <f aca="false">SUM(AN20:AN21)</f>
        <v>81368910.4966181</v>
      </c>
      <c r="AO22" s="1374"/>
      <c r="AP22" s="1374"/>
      <c r="AQ22" s="1150"/>
      <c r="AR22" s="1150"/>
      <c r="AS22" s="1189"/>
      <c r="AT22" s="1163"/>
      <c r="AU22" s="1670" t="str">
        <f aca="false">AI22</f>
        <v>Total Direct Costs</v>
      </c>
      <c r="AV22" s="1246" t="n">
        <f aca="false">SUM(AV20:AV21)</f>
        <v>0</v>
      </c>
      <c r="AW22" s="1246" t="n">
        <f aca="false">SUM(AW20:AW21)</f>
        <v>0</v>
      </c>
      <c r="AX22" s="1246" t="n">
        <f aca="false">SUM(AX20:AX21)</f>
        <v>695.983831428571</v>
      </c>
      <c r="AY22" s="1246" t="n">
        <f aca="false">SUM(AY20:AY21)</f>
        <v>83392.4613399547</v>
      </c>
      <c r="AZ22" s="1246" t="n">
        <f aca="false">SUM(AZ20:AZ21)</f>
        <v>166784.922679909</v>
      </c>
      <c r="BA22" s="1246" t="n">
        <f aca="false">SUM(BA20:BA21)</f>
        <v>333569.845359819</v>
      </c>
      <c r="BB22" s="1246" t="n">
        <f aca="false">SUM(BB20:BB21)</f>
        <v>500354.768039728</v>
      </c>
      <c r="BC22" s="1246" t="n">
        <f aca="false">SUM(BC20:BC21)</f>
        <v>667139.690719637</v>
      </c>
      <c r="BD22" s="1246" t="n">
        <f aca="false">SUM(BD20:BD21)</f>
        <v>833924.613399547</v>
      </c>
      <c r="BE22" s="1246" t="n">
        <f aca="false">SUM(BE20:BE21)</f>
        <v>1000709.53607946</v>
      </c>
      <c r="BF22" s="1246" t="n">
        <f aca="false">SUM(BF20:BF21)</f>
        <v>1167494.45875937</v>
      </c>
      <c r="BG22" s="1247" t="n">
        <f aca="false">SUM(BG20:BG21)</f>
        <v>1334279.38143928</v>
      </c>
      <c r="BH22" s="1189"/>
      <c r="BI22" s="1189"/>
      <c r="BJ22" s="1189"/>
      <c r="BK22" s="1224"/>
      <c r="BL22" s="1217"/>
      <c r="BM22" s="1217"/>
      <c r="BN22" s="1218"/>
      <c r="BO22" s="1218"/>
      <c r="BP22" s="1218"/>
      <c r="BQ22" s="1189"/>
      <c r="BR22" s="1189"/>
      <c r="BS22" s="1198"/>
      <c r="BT22" s="1189"/>
      <c r="BU22" s="1666"/>
      <c r="BV22" s="1221"/>
      <c r="BW22" s="1221"/>
      <c r="BX22" s="1221"/>
      <c r="BY22" s="1221"/>
      <c r="BZ22" s="1221"/>
      <c r="CA22" s="1221"/>
      <c r="CB22" s="1221"/>
      <c r="CC22" s="1221"/>
      <c r="CD22" s="1221"/>
      <c r="CE22" s="1221"/>
      <c r="CF22" s="1221"/>
      <c r="CG22" s="1222"/>
      <c r="CH22" s="1189"/>
      <c r="CI22" s="1189"/>
      <c r="CJ22" s="1700"/>
      <c r="CK22" s="1167"/>
      <c r="CL22" s="1167"/>
      <c r="CM22" s="1167"/>
      <c r="CN22" s="1167"/>
      <c r="CO22" s="1167"/>
      <c r="CP22" s="1167"/>
      <c r="CQ22" s="1167"/>
      <c r="CR22" s="1167"/>
      <c r="CS22" s="1189"/>
      <c r="CT22" s="1189"/>
      <c r="CU22" s="1167"/>
      <c r="CV22" s="1453"/>
      <c r="CW22" s="1167"/>
      <c r="CX22" s="1167"/>
      <c r="CY22" s="1167"/>
      <c r="CZ22" s="1167"/>
      <c r="DA22" s="1167"/>
      <c r="DB22" s="1167"/>
      <c r="DC22" s="1167"/>
      <c r="DD22" s="1167"/>
      <c r="DE22" s="1167"/>
      <c r="DF22" s="1167"/>
      <c r="DG22" s="1167"/>
      <c r="DH22" s="1167"/>
      <c r="DI22" s="1167"/>
      <c r="DJ22" s="1167"/>
      <c r="DK22" s="1163"/>
      <c r="DL22" s="1248" t="str">
        <f aca="false">'Cash Flow'!A44</f>
        <v>Dividends</v>
      </c>
      <c r="DM22" s="1669" t="n">
        <f aca="false">'Cash Flow'!BH44</f>
        <v>-0</v>
      </c>
      <c r="DN22" s="1669" t="n">
        <f aca="false">'Cash Flow'!BI44</f>
        <v>-0</v>
      </c>
      <c r="DO22" s="1669" t="n">
        <f aca="false">'Cash Flow'!BJ44</f>
        <v>0</v>
      </c>
      <c r="DP22" s="1218" t="n">
        <f aca="false">'Cash Flow'!BK44</f>
        <v>0</v>
      </c>
      <c r="DQ22" s="1218" t="n">
        <f aca="false">'Cash Flow'!BL44</f>
        <v>0</v>
      </c>
      <c r="DR22" s="1189"/>
      <c r="DS22" s="1189"/>
      <c r="DT22" s="1274"/>
      <c r="DU22" s="1157"/>
      <c r="DV22" s="1670" t="str">
        <f aca="false">DL22</f>
        <v>Dividends</v>
      </c>
      <c r="DW22" s="1246" t="n">
        <f aca="false">'Cash Flow'!B44</f>
        <v>-0</v>
      </c>
      <c r="DX22" s="1246" t="n">
        <f aca="false">'Cash Flow'!C44</f>
        <v>-0</v>
      </c>
      <c r="DY22" s="1246" t="n">
        <f aca="false">'Cash Flow'!D44</f>
        <v>-0</v>
      </c>
      <c r="DZ22" s="1246" t="n">
        <f aca="false">'Cash Flow'!E44</f>
        <v>-0</v>
      </c>
      <c r="EA22" s="1246" t="n">
        <f aca="false">'Cash Flow'!F44</f>
        <v>-0</v>
      </c>
      <c r="EB22" s="1246" t="n">
        <f aca="false">'Cash Flow'!G44</f>
        <v>-0</v>
      </c>
      <c r="EC22" s="1246" t="n">
        <f aca="false">'Cash Flow'!H44</f>
        <v>-0</v>
      </c>
      <c r="ED22" s="1246" t="n">
        <f aca="false">'Cash Flow'!I44</f>
        <v>-0</v>
      </c>
      <c r="EE22" s="1246" t="n">
        <f aca="false">'Cash Flow'!J44</f>
        <v>-0</v>
      </c>
      <c r="EF22" s="1246" t="n">
        <f aca="false">'Cash Flow'!K44</f>
        <v>-0</v>
      </c>
      <c r="EG22" s="1246" t="n">
        <f aca="false">'Cash Flow'!L44</f>
        <v>-0</v>
      </c>
      <c r="EH22" s="1222" t="n">
        <f aca="false">'Cash Flow'!M44</f>
        <v>-0</v>
      </c>
      <c r="EI22" s="1167"/>
      <c r="EJ22" s="1157"/>
      <c r="EK22" s="1224" t="s">
        <v>1804</v>
      </c>
      <c r="EL22" s="1217" t="n">
        <f aca="false">'Balance Sheet'!BJ22</f>
        <v>2125220.08438693</v>
      </c>
      <c r="EM22" s="1217" t="n">
        <f aca="false">'Balance Sheet'!BK22</f>
        <v>5837775.45875626</v>
      </c>
      <c r="EN22" s="1218" t="n">
        <f aca="false">'Balance Sheet'!BL22</f>
        <v>10081186.7597701</v>
      </c>
      <c r="EO22" s="1218" t="n">
        <f aca="false">'Balance Sheet'!BM22</f>
        <v>10700178.9116777</v>
      </c>
      <c r="EP22" s="1218" t="n">
        <f aca="false">'Balance Sheet'!BN22</f>
        <v>11321439.4608204</v>
      </c>
      <c r="EQ22" s="1189"/>
      <c r="ER22" s="1189"/>
      <c r="ES22" s="1167"/>
      <c r="ET22" s="1157"/>
      <c r="EU22" s="1666" t="str">
        <f aca="false">'Balance Sheet'!A22</f>
        <v>Subtotal Current Liabilities</v>
      </c>
      <c r="EV22" s="1246" t="n">
        <f aca="false">'Balance Sheet'!B22</f>
        <v>390383.972186301</v>
      </c>
      <c r="EW22" s="1246" t="n">
        <f aca="false">'Balance Sheet'!C22</f>
        <v>407206.328350685</v>
      </c>
      <c r="EX22" s="1246" t="n">
        <f aca="false">'Balance Sheet'!D22</f>
        <v>416394.413883053</v>
      </c>
      <c r="EY22" s="1246" t="n">
        <f aca="false">'Balance Sheet'!E22</f>
        <v>511103.479785396</v>
      </c>
      <c r="EZ22" s="1246" t="n">
        <f aca="false">'Balance Sheet'!F22</f>
        <v>606589.453137915</v>
      </c>
      <c r="FA22" s="1246" t="n">
        <f aca="false">'Balance Sheet'!G22</f>
        <v>818589.345048432</v>
      </c>
      <c r="FB22" s="1246" t="n">
        <f aca="false">'Balance Sheet'!H22</f>
        <v>1076938.59586306</v>
      </c>
      <c r="FC22" s="1246" t="n">
        <f aca="false">'Balance Sheet'!I22</f>
        <v>1306348.00340058</v>
      </c>
      <c r="FD22" s="1246" t="n">
        <f aca="false">'Balance Sheet'!J22</f>
        <v>1511198.69773916</v>
      </c>
      <c r="FE22" s="1246" t="n">
        <f aca="false">'Balance Sheet'!K22</f>
        <v>1717020.74567425</v>
      </c>
      <c r="FF22" s="1246" t="n">
        <f aca="false">'Balance Sheet'!L22</f>
        <v>1919568.10831964</v>
      </c>
      <c r="FG22" s="1247" t="n">
        <f aca="false">'Balance Sheet'!M22</f>
        <v>2125220.08438693</v>
      </c>
      <c r="FH22" s="1167"/>
      <c r="FI22" s="1453"/>
      <c r="FJ22" s="1699"/>
      <c r="FK22" s="1699"/>
      <c r="FL22" s="1699"/>
      <c r="FM22" s="1699"/>
      <c r="FN22" s="1699"/>
      <c r="FO22" s="1167"/>
      <c r="FP22" s="1167"/>
      <c r="FQ22" s="1167"/>
      <c r="FR22" s="1167"/>
      <c r="FS22" s="1167"/>
      <c r="FT22" s="1167"/>
      <c r="FU22" s="1646"/>
      <c r="FV22" s="1664" t="s">
        <v>227</v>
      </c>
      <c r="FW22" s="1217" t="n">
        <f aca="false">'Sensitivity Analysis'!BK39</f>
        <v>-4005444.36142054</v>
      </c>
      <c r="FX22" s="1217" t="n">
        <f aca="false">'Sensitivity Analysis'!BL39</f>
        <v>5929279.92159973</v>
      </c>
      <c r="FY22" s="1218" t="n">
        <f aca="false">'Sensitivity Analysis'!BM39</f>
        <v>37878369.4781326</v>
      </c>
      <c r="FZ22" s="1167"/>
      <c r="GA22" s="1163"/>
      <c r="GB22" s="1664"/>
      <c r="GC22" s="1217"/>
      <c r="GD22" s="1217"/>
      <c r="GE22" s="1218"/>
      <c r="GF22" s="1167"/>
      <c r="GG22" s="1453"/>
      <c r="GH22" s="1167"/>
      <c r="GI22" s="1167"/>
      <c r="GJ22" s="1167"/>
      <c r="GK22" s="1167"/>
      <c r="GL22" s="1167"/>
      <c r="GM22" s="1167"/>
      <c r="GN22" s="1167"/>
      <c r="GO22" s="1167"/>
      <c r="GP22" s="1167"/>
      <c r="GQ22" s="1167"/>
      <c r="GR22" s="1167"/>
      <c r="GS22" s="1167"/>
      <c r="GT22" s="1167"/>
      <c r="GU22" s="1167"/>
      <c r="GV22" s="1163"/>
      <c r="GW22" s="1224"/>
      <c r="GX22" s="1217"/>
      <c r="GY22" s="1217"/>
      <c r="GZ22" s="1218"/>
      <c r="HA22" s="1218"/>
      <c r="HB22" s="1218"/>
      <c r="HC22" s="1189"/>
      <c r="HD22" s="1189"/>
      <c r="HE22" s="1189"/>
      <c r="HF22" s="1189"/>
      <c r="HG22" s="1167"/>
      <c r="HH22" s="1167"/>
      <c r="HI22" s="1167"/>
      <c r="HJ22" s="1167"/>
      <c r="HK22" s="1167"/>
      <c r="HL22" s="1167"/>
      <c r="HM22" s="1167"/>
      <c r="HN22" s="1167"/>
      <c r="HO22" s="1167"/>
      <c r="HP22" s="1167"/>
      <c r="HQ22" s="1167"/>
      <c r="HR22" s="1167"/>
      <c r="HS22" s="1167"/>
      <c r="HT22" s="1167"/>
      <c r="HU22" s="1167"/>
      <c r="HV22" s="1167"/>
      <c r="HW22" s="1167"/>
      <c r="HX22" s="1167"/>
      <c r="HY22" s="1167"/>
      <c r="HZ22" s="1167"/>
      <c r="IA22" s="1167"/>
      <c r="IB22" s="1167"/>
      <c r="IC22" s="1167"/>
      <c r="ID22" s="1167"/>
      <c r="IE22" s="1167"/>
      <c r="IF22" s="1167"/>
    </row>
    <row r="23" customFormat="false" ht="12.75" hidden="false" customHeight="true" outlineLevel="0" collapsed="false">
      <c r="A23" s="1633"/>
      <c r="B23" s="1300" t="str">
        <f aca="false">'Sources &amp; Uses'!A29</f>
        <v>Other Current Assets</v>
      </c>
      <c r="C23" s="1184" t="n">
        <f aca="false">'Sources &amp; Uses'!B29</f>
        <v>0</v>
      </c>
      <c r="D23" s="1167"/>
      <c r="E23" s="1633"/>
      <c r="F23" s="1300"/>
      <c r="G23" s="1184"/>
      <c r="H23" s="1167"/>
      <c r="I23" s="1453"/>
      <c r="J23" s="1167"/>
      <c r="K23" s="1167"/>
      <c r="L23" s="1167"/>
      <c r="M23" s="1167"/>
      <c r="N23" s="1167"/>
      <c r="O23" s="1167"/>
      <c r="P23" s="1189"/>
      <c r="Q23" s="1189"/>
      <c r="R23" s="1189"/>
      <c r="S23" s="1453"/>
      <c r="T23" s="1167"/>
      <c r="U23" s="1167"/>
      <c r="V23" s="1167"/>
      <c r="W23" s="1167"/>
      <c r="X23" s="1167"/>
      <c r="Y23" s="1167"/>
      <c r="Z23" s="1167"/>
      <c r="AA23" s="1167"/>
      <c r="AB23" s="1167"/>
      <c r="AC23" s="1167"/>
      <c r="AD23" s="1167"/>
      <c r="AE23" s="1167"/>
      <c r="AF23" s="1167"/>
      <c r="AG23" s="1167"/>
      <c r="AH23" s="1163"/>
      <c r="AI23" s="1224"/>
      <c r="AJ23" s="1667"/>
      <c r="AK23" s="1667"/>
      <c r="AL23" s="1217"/>
      <c r="AM23" s="1217"/>
      <c r="AN23" s="1218"/>
      <c r="AO23" s="1218"/>
      <c r="AP23" s="1218"/>
      <c r="AQ23" s="1189"/>
      <c r="AR23" s="1189"/>
      <c r="AS23" s="1189"/>
      <c r="AT23" s="1163"/>
      <c r="AU23" s="1666"/>
      <c r="AV23" s="1246"/>
      <c r="AW23" s="1246"/>
      <c r="AX23" s="1246"/>
      <c r="AY23" s="1246"/>
      <c r="AZ23" s="1246"/>
      <c r="BA23" s="1246"/>
      <c r="BB23" s="1246"/>
      <c r="BC23" s="1246"/>
      <c r="BD23" s="1246"/>
      <c r="BE23" s="1246"/>
      <c r="BF23" s="1246"/>
      <c r="BG23" s="1247"/>
      <c r="BH23" s="1189"/>
      <c r="BI23" s="1189"/>
      <c r="BJ23" s="1189"/>
      <c r="BK23" s="1224"/>
      <c r="BL23" s="1217"/>
      <c r="BM23" s="1217"/>
      <c r="BN23" s="1218"/>
      <c r="BO23" s="1218"/>
      <c r="BP23" s="1218"/>
      <c r="BQ23" s="1189"/>
      <c r="BR23" s="1189"/>
      <c r="BS23" s="1198"/>
      <c r="BT23" s="1189"/>
      <c r="BU23" s="1666"/>
      <c r="BV23" s="1221"/>
      <c r="BW23" s="1221"/>
      <c r="BX23" s="1221"/>
      <c r="BY23" s="1221"/>
      <c r="BZ23" s="1221"/>
      <c r="CA23" s="1221"/>
      <c r="CB23" s="1221"/>
      <c r="CC23" s="1221"/>
      <c r="CD23" s="1221"/>
      <c r="CE23" s="1221"/>
      <c r="CF23" s="1221"/>
      <c r="CG23" s="1222"/>
      <c r="CH23" s="1189"/>
      <c r="CI23" s="1189"/>
      <c r="CJ23" s="1700"/>
      <c r="CK23" s="1167"/>
      <c r="CL23" s="1167"/>
      <c r="CM23" s="1167"/>
      <c r="CN23" s="1167"/>
      <c r="CO23" s="1167"/>
      <c r="CP23" s="1167"/>
      <c r="CQ23" s="1167"/>
      <c r="CR23" s="1167"/>
      <c r="CS23" s="1189"/>
      <c r="CT23" s="1189"/>
      <c r="CU23" s="1167"/>
      <c r="CV23" s="1453"/>
      <c r="CW23" s="1167"/>
      <c r="CX23" s="1167"/>
      <c r="CY23" s="1167"/>
      <c r="CZ23" s="1167"/>
      <c r="DA23" s="1167"/>
      <c r="DB23" s="1167"/>
      <c r="DC23" s="1167"/>
      <c r="DD23" s="1167"/>
      <c r="DE23" s="1167"/>
      <c r="DF23" s="1167"/>
      <c r="DG23" s="1167"/>
      <c r="DH23" s="1167"/>
      <c r="DI23" s="1167"/>
      <c r="DJ23" s="1167"/>
      <c r="DK23" s="1163"/>
      <c r="DL23" s="1248" t="str">
        <f aca="false">'Cash Flow'!A45</f>
        <v>New Current Borrowing</v>
      </c>
      <c r="DM23" s="1669" t="n">
        <f aca="false">'Cash Flow'!BH45</f>
        <v>0</v>
      </c>
      <c r="DN23" s="1669" t="n">
        <f aca="false">'Cash Flow'!BI45</f>
        <v>0</v>
      </c>
      <c r="DO23" s="1669" t="n">
        <f aca="false">'Cash Flow'!BJ45</f>
        <v>0</v>
      </c>
      <c r="DP23" s="1218" t="n">
        <f aca="false">'Cash Flow'!BK45</f>
        <v>0</v>
      </c>
      <c r="DQ23" s="1218" t="n">
        <f aca="false">'Cash Flow'!BL45</f>
        <v>0</v>
      </c>
      <c r="DR23" s="1189"/>
      <c r="DS23" s="1189"/>
      <c r="DT23" s="1274"/>
      <c r="DU23" s="1157"/>
      <c r="DV23" s="1670" t="str">
        <f aca="false">DL23</f>
        <v>New Current Borrowing</v>
      </c>
      <c r="DW23" s="1246" t="n">
        <f aca="false">'Cash Flow'!B45</f>
        <v>0</v>
      </c>
      <c r="DX23" s="1246" t="n">
        <f aca="false">'Cash Flow'!C45</f>
        <v>0</v>
      </c>
      <c r="DY23" s="1246" t="n">
        <f aca="false">'Cash Flow'!D45</f>
        <v>0</v>
      </c>
      <c r="DZ23" s="1246" t="n">
        <f aca="false">'Cash Flow'!E45</f>
        <v>0</v>
      </c>
      <c r="EA23" s="1246" t="n">
        <f aca="false">'Cash Flow'!F45</f>
        <v>0</v>
      </c>
      <c r="EB23" s="1246" t="n">
        <f aca="false">'Cash Flow'!G45</f>
        <v>0</v>
      </c>
      <c r="EC23" s="1246" t="n">
        <f aca="false">'Cash Flow'!H45</f>
        <v>0</v>
      </c>
      <c r="ED23" s="1246" t="n">
        <f aca="false">'Cash Flow'!I45</f>
        <v>0</v>
      </c>
      <c r="EE23" s="1246" t="n">
        <f aca="false">'Cash Flow'!J45</f>
        <v>0</v>
      </c>
      <c r="EF23" s="1246" t="n">
        <f aca="false">'Cash Flow'!K45</f>
        <v>0</v>
      </c>
      <c r="EG23" s="1246" t="n">
        <f aca="false">'Cash Flow'!L45</f>
        <v>0</v>
      </c>
      <c r="EH23" s="1222" t="n">
        <f aca="false">'Cash Flow'!M45</f>
        <v>0</v>
      </c>
      <c r="EI23" s="1167"/>
      <c r="EJ23" s="1157"/>
      <c r="EK23" s="1224"/>
      <c r="EL23" s="1217"/>
      <c r="EM23" s="1217"/>
      <c r="EN23" s="1218"/>
      <c r="EO23" s="1218"/>
      <c r="EP23" s="1218"/>
      <c r="EQ23" s="1189"/>
      <c r="ER23" s="1189"/>
      <c r="ES23" s="1167"/>
      <c r="ET23" s="1157"/>
      <c r="EU23" s="1692"/>
      <c r="EV23" s="1246"/>
      <c r="EW23" s="1246"/>
      <c r="EX23" s="1246"/>
      <c r="EY23" s="1246"/>
      <c r="EZ23" s="1246"/>
      <c r="FA23" s="1246"/>
      <c r="FB23" s="1246"/>
      <c r="FC23" s="1246"/>
      <c r="FD23" s="1246"/>
      <c r="FE23" s="1246"/>
      <c r="FF23" s="1246"/>
      <c r="FG23" s="1247"/>
      <c r="FH23" s="1167"/>
      <c r="FI23" s="1453"/>
      <c r="FJ23" s="1699"/>
      <c r="FK23" s="1699"/>
      <c r="FL23" s="1699"/>
      <c r="FM23" s="1699"/>
      <c r="FN23" s="1699"/>
      <c r="FO23" s="1167"/>
      <c r="FP23" s="1167"/>
      <c r="FQ23" s="1167"/>
      <c r="FR23" s="1167"/>
      <c r="FS23" s="1167"/>
      <c r="FT23" s="1167"/>
      <c r="FU23" s="1646"/>
      <c r="FV23" s="1684" t="s">
        <v>1914</v>
      </c>
      <c r="FW23" s="1277" t="n">
        <f aca="false">'Sensitivity Analysis'!BK40</f>
        <v>6314852.59045001</v>
      </c>
      <c r="FX23" s="1277" t="n">
        <f aca="false">'Sensitivity Analysis'!BL40</f>
        <v>12442622.1826446</v>
      </c>
      <c r="FY23" s="1278" t="n">
        <f aca="false">'Sensitivity Analysis'!BM40</f>
        <v>50320991.6607771</v>
      </c>
      <c r="FZ23" s="1167"/>
      <c r="GA23" s="1163"/>
      <c r="GB23" s="1664" t="str">
        <f aca="false">Existing!A21</f>
        <v>Current Liabilities</v>
      </c>
      <c r="GC23" s="1217"/>
      <c r="GD23" s="1217"/>
      <c r="GE23" s="1218"/>
      <c r="GF23" s="1167"/>
      <c r="GG23" s="1453"/>
      <c r="GH23" s="1167"/>
      <c r="GI23" s="1167"/>
      <c r="GJ23" s="1167"/>
      <c r="GK23" s="1167"/>
      <c r="GL23" s="1167"/>
      <c r="GM23" s="1167"/>
      <c r="GN23" s="1167"/>
      <c r="GO23" s="1167"/>
      <c r="GP23" s="1167"/>
      <c r="GQ23" s="1167"/>
      <c r="GR23" s="1167"/>
      <c r="GS23" s="1167"/>
      <c r="GT23" s="1167"/>
      <c r="GU23" s="1167"/>
      <c r="GV23" s="1163"/>
      <c r="GW23" s="1224"/>
      <c r="GX23" s="1217"/>
      <c r="GY23" s="1217"/>
      <c r="GZ23" s="1218"/>
      <c r="HA23" s="1218"/>
      <c r="HB23" s="1218"/>
      <c r="HC23" s="1189"/>
      <c r="HD23" s="1189"/>
      <c r="HE23" s="1189"/>
      <c r="HF23" s="1189"/>
      <c r="HG23" s="1167"/>
      <c r="HH23" s="1167"/>
      <c r="HI23" s="1167"/>
      <c r="HJ23" s="1167"/>
      <c r="HK23" s="1167"/>
      <c r="HL23" s="1167"/>
      <c r="HM23" s="1167"/>
      <c r="HN23" s="1167"/>
      <c r="HO23" s="1167"/>
      <c r="HP23" s="1167"/>
      <c r="HQ23" s="1167"/>
      <c r="HR23" s="1167"/>
      <c r="HS23" s="1167"/>
      <c r="HT23" s="1167"/>
      <c r="HU23" s="1167"/>
      <c r="HV23" s="1167"/>
      <c r="HW23" s="1167"/>
      <c r="HX23" s="1167"/>
      <c r="HY23" s="1167"/>
      <c r="HZ23" s="1167"/>
      <c r="IA23" s="1167"/>
      <c r="IB23" s="1167"/>
      <c r="IC23" s="1167"/>
      <c r="ID23" s="1167"/>
      <c r="IE23" s="1167"/>
      <c r="IF23" s="1167"/>
    </row>
    <row r="24" customFormat="false" ht="12.75" hidden="false" customHeight="true" outlineLevel="0" collapsed="false">
      <c r="A24" s="1633"/>
      <c r="B24" s="1300" t="str">
        <f aca="false">'Sources &amp; Uses'!A30</f>
        <v>Land</v>
      </c>
      <c r="C24" s="1184" t="n">
        <f aca="false">'Sources &amp; Uses'!B30</f>
        <v>0</v>
      </c>
      <c r="D24" s="1167"/>
      <c r="E24" s="1633"/>
      <c r="F24" s="1300"/>
      <c r="G24" s="1184"/>
      <c r="H24" s="1167"/>
      <c r="I24" s="1453"/>
      <c r="J24" s="1167"/>
      <c r="K24" s="1167"/>
      <c r="L24" s="1167"/>
      <c r="M24" s="1167"/>
      <c r="N24" s="1167"/>
      <c r="O24" s="1167"/>
      <c r="P24" s="1189"/>
      <c r="Q24" s="1189"/>
      <c r="R24" s="1189"/>
      <c r="S24" s="1453"/>
      <c r="T24" s="1167"/>
      <c r="U24" s="1167"/>
      <c r="V24" s="1167"/>
      <c r="W24" s="1167"/>
      <c r="X24" s="1167"/>
      <c r="Y24" s="1167"/>
      <c r="Z24" s="1167"/>
      <c r="AA24" s="1167"/>
      <c r="AB24" s="1167"/>
      <c r="AC24" s="1167"/>
      <c r="AD24" s="1167"/>
      <c r="AE24" s="1167"/>
      <c r="AF24" s="1167"/>
      <c r="AG24" s="1167"/>
      <c r="AH24" s="1163"/>
      <c r="AI24" s="1672" t="str">
        <f aca="false">'Tables 5Y'!AG30</f>
        <v>Gross Margin</v>
      </c>
      <c r="AJ24" s="1667"/>
      <c r="AK24" s="1667"/>
      <c r="AL24" s="1217"/>
      <c r="AM24" s="1217"/>
      <c r="AN24" s="1218"/>
      <c r="AO24" s="1218"/>
      <c r="AP24" s="1218"/>
      <c r="AQ24" s="1189"/>
      <c r="AR24" s="1189"/>
      <c r="AS24" s="1189"/>
      <c r="AT24" s="1163"/>
      <c r="AU24" s="1674" t="str">
        <f aca="false">AI24</f>
        <v>Gross Margin</v>
      </c>
      <c r="AV24" s="1246"/>
      <c r="AW24" s="1246"/>
      <c r="AX24" s="1246"/>
      <c r="AY24" s="1246"/>
      <c r="AZ24" s="1246"/>
      <c r="BA24" s="1246"/>
      <c r="BB24" s="1246"/>
      <c r="BC24" s="1246"/>
      <c r="BD24" s="1246"/>
      <c r="BE24" s="1246"/>
      <c r="BF24" s="1246"/>
      <c r="BG24" s="1247"/>
      <c r="BH24" s="1189"/>
      <c r="BI24" s="1189"/>
      <c r="BJ24" s="1189"/>
      <c r="BK24" s="1224"/>
      <c r="BL24" s="1217"/>
      <c r="BM24" s="1217"/>
      <c r="BN24" s="1218"/>
      <c r="BO24" s="1218"/>
      <c r="BP24" s="1218"/>
      <c r="BQ24" s="1189"/>
      <c r="BR24" s="1189"/>
      <c r="BS24" s="1198"/>
      <c r="BT24" s="1189"/>
      <c r="BU24" s="1666"/>
      <c r="BV24" s="1221"/>
      <c r="BW24" s="1221"/>
      <c r="BX24" s="1221"/>
      <c r="BY24" s="1221"/>
      <c r="BZ24" s="1221"/>
      <c r="CA24" s="1221"/>
      <c r="CB24" s="1221"/>
      <c r="CC24" s="1221"/>
      <c r="CD24" s="1221"/>
      <c r="CE24" s="1221"/>
      <c r="CF24" s="1221"/>
      <c r="CG24" s="1222"/>
      <c r="CH24" s="1189"/>
      <c r="CI24" s="1189"/>
      <c r="CJ24" s="1700"/>
      <c r="CK24" s="1167"/>
      <c r="CL24" s="1167"/>
      <c r="CM24" s="1167"/>
      <c r="CN24" s="1167"/>
      <c r="CO24" s="1167"/>
      <c r="CP24" s="1167"/>
      <c r="CQ24" s="1167"/>
      <c r="CR24" s="1167"/>
      <c r="CS24" s="1189"/>
      <c r="CT24" s="1189"/>
      <c r="CU24" s="1167"/>
      <c r="CV24" s="1453"/>
      <c r="CW24" s="1167"/>
      <c r="CX24" s="1167"/>
      <c r="CY24" s="1167"/>
      <c r="CZ24" s="1167"/>
      <c r="DA24" s="1167"/>
      <c r="DB24" s="1167"/>
      <c r="DC24" s="1167"/>
      <c r="DD24" s="1167"/>
      <c r="DE24" s="1167"/>
      <c r="DF24" s="1167"/>
      <c r="DG24" s="1167"/>
      <c r="DH24" s="1167"/>
      <c r="DI24" s="1167"/>
      <c r="DJ24" s="1167"/>
      <c r="DK24" s="1163"/>
      <c r="DL24" s="1248" t="str">
        <f aca="false">'Cash Flow'!A46</f>
        <v>Current Borrowing Repay.</v>
      </c>
      <c r="DM24" s="1669" t="n">
        <f aca="false">'Cash Flow'!BH46</f>
        <v>-0</v>
      </c>
      <c r="DN24" s="1669" t="n">
        <f aca="false">'Cash Flow'!BI46</f>
        <v>-0</v>
      </c>
      <c r="DO24" s="1669" t="n">
        <f aca="false">'Cash Flow'!BJ46</f>
        <v>0</v>
      </c>
      <c r="DP24" s="1218" t="n">
        <f aca="false">'Cash Flow'!BK46</f>
        <v>0</v>
      </c>
      <c r="DQ24" s="1218" t="n">
        <f aca="false">'Cash Flow'!BL46</f>
        <v>0</v>
      </c>
      <c r="DR24" s="1189"/>
      <c r="DS24" s="1189"/>
      <c r="DT24" s="1274"/>
      <c r="DU24" s="1157"/>
      <c r="DV24" s="1670" t="str">
        <f aca="false">DL24</f>
        <v>Current Borrowing Repay.</v>
      </c>
      <c r="DW24" s="1246" t="n">
        <f aca="false">'Cash Flow'!B46</f>
        <v>-0</v>
      </c>
      <c r="DX24" s="1246" t="n">
        <f aca="false">'Cash Flow'!C46</f>
        <v>-0</v>
      </c>
      <c r="DY24" s="1246" t="n">
        <f aca="false">'Cash Flow'!D46</f>
        <v>-0</v>
      </c>
      <c r="DZ24" s="1246" t="n">
        <f aca="false">'Cash Flow'!E46</f>
        <v>-0</v>
      </c>
      <c r="EA24" s="1246" t="n">
        <f aca="false">'Cash Flow'!F46</f>
        <v>-0</v>
      </c>
      <c r="EB24" s="1246" t="n">
        <f aca="false">'Cash Flow'!G46</f>
        <v>-0</v>
      </c>
      <c r="EC24" s="1246" t="n">
        <f aca="false">'Cash Flow'!H46</f>
        <v>-0</v>
      </c>
      <c r="ED24" s="1246" t="n">
        <f aca="false">'Cash Flow'!I46</f>
        <v>-0</v>
      </c>
      <c r="EE24" s="1246" t="n">
        <f aca="false">'Cash Flow'!J46</f>
        <v>-0</v>
      </c>
      <c r="EF24" s="1246" t="n">
        <f aca="false">'Cash Flow'!K46</f>
        <v>-0</v>
      </c>
      <c r="EG24" s="1246" t="n">
        <f aca="false">'Cash Flow'!L46</f>
        <v>-0</v>
      </c>
      <c r="EH24" s="1222" t="n">
        <f aca="false">'Cash Flow'!M46</f>
        <v>-0</v>
      </c>
      <c r="EI24" s="1167"/>
      <c r="EJ24" s="1157"/>
      <c r="EK24" s="1672" t="s">
        <v>1506</v>
      </c>
      <c r="EL24" s="1217" t="n">
        <f aca="false">'Balance Sheet'!BJ24</f>
        <v>19689668.3665807</v>
      </c>
      <c r="EM24" s="1217" t="n">
        <f aca="false">'Balance Sheet'!BK24</f>
        <v>21199499.1365135</v>
      </c>
      <c r="EN24" s="1218" t="n">
        <f aca="false">'Balance Sheet'!BL24</f>
        <v>19293936.6778682</v>
      </c>
      <c r="EO24" s="1218" t="n">
        <f aca="false">'Balance Sheet'!BM24</f>
        <v>17270843.2964025</v>
      </c>
      <c r="EP24" s="1218" t="n">
        <f aca="false">'Balance Sheet'!BN24</f>
        <v>15122969.9419705</v>
      </c>
      <c r="EQ24" s="1189"/>
      <c r="ER24" s="1189"/>
      <c r="ES24" s="1167"/>
      <c r="ET24" s="1157"/>
      <c r="EU24" s="1670" t="str">
        <f aca="false">'Balance Sheet'!A24</f>
        <v>Long-term Liabilities</v>
      </c>
      <c r="EV24" s="1246" t="n">
        <f aca="false">'Balance Sheet'!B24</f>
        <v>0</v>
      </c>
      <c r="EW24" s="1246" t="n">
        <f aca="false">'Balance Sheet'!C24</f>
        <v>0</v>
      </c>
      <c r="EX24" s="1246" t="n">
        <f aca="false">'Balance Sheet'!D24</f>
        <v>0</v>
      </c>
      <c r="EY24" s="1246" t="n">
        <f aca="false">'Balance Sheet'!E24</f>
        <v>0</v>
      </c>
      <c r="EZ24" s="1246" t="n">
        <f aca="false">'Balance Sheet'!F24</f>
        <v>0</v>
      </c>
      <c r="FA24" s="1246" t="n">
        <f aca="false">'Balance Sheet'!G24</f>
        <v>0</v>
      </c>
      <c r="FB24" s="1246" t="n">
        <f aca="false">'Balance Sheet'!H24</f>
        <v>5103288.29103204</v>
      </c>
      <c r="FC24" s="1246" t="n">
        <f aca="false">'Balance Sheet'!I24</f>
        <v>8611661.49449877</v>
      </c>
      <c r="FD24" s="1246" t="n">
        <f aca="false">'Balance Sheet'!J24</f>
        <v>11408199.2217039</v>
      </c>
      <c r="FE24" s="1246" t="n">
        <f aca="false">'Balance Sheet'!K24</f>
        <v>14400306.7429422</v>
      </c>
      <c r="FF24" s="1246" t="n">
        <f aca="false">'Balance Sheet'!L24</f>
        <v>16732220.0747334</v>
      </c>
      <c r="FG24" s="1247" t="n">
        <f aca="false">'Balance Sheet'!M24</f>
        <v>19689668.3665807</v>
      </c>
      <c r="FH24" s="1167"/>
      <c r="FI24" s="1465"/>
      <c r="FJ24" s="1699"/>
      <c r="FK24" s="1699"/>
      <c r="FL24" s="1699"/>
      <c r="FM24" s="1699"/>
      <c r="FN24" s="1699"/>
      <c r="FO24" s="1167"/>
      <c r="FP24" s="1167"/>
      <c r="FQ24" s="1167"/>
      <c r="FR24" s="1167"/>
      <c r="FS24" s="1167"/>
      <c r="FT24" s="1167"/>
      <c r="FU24" s="1167"/>
      <c r="FV24" s="1167"/>
      <c r="FW24" s="1167"/>
      <c r="FX24" s="1167"/>
      <c r="FY24" s="1167"/>
      <c r="FZ24" s="1167"/>
      <c r="GA24" s="1163"/>
      <c r="GB24" s="1224" t="str">
        <f aca="false">Existing!A22</f>
        <v>Accounts Payable</v>
      </c>
      <c r="GC24" s="1217" t="n">
        <f aca="false">Existing!B22</f>
        <v>0</v>
      </c>
      <c r="GD24" s="1217" t="n">
        <f aca="false">Existing!C22</f>
        <v>0</v>
      </c>
      <c r="GE24" s="1218" t="n">
        <f aca="false">Existing!D22</f>
        <v>0</v>
      </c>
      <c r="GF24" s="1167"/>
      <c r="GG24" s="1453"/>
      <c r="GH24" s="1167"/>
      <c r="GI24" s="1167"/>
      <c r="GJ24" s="1167"/>
      <c r="GK24" s="1167"/>
      <c r="GL24" s="1167"/>
      <c r="GM24" s="1167"/>
      <c r="GN24" s="1167"/>
      <c r="GO24" s="1167"/>
      <c r="GP24" s="1167"/>
      <c r="GQ24" s="1167"/>
      <c r="GR24" s="1167"/>
      <c r="GS24" s="1167"/>
      <c r="GT24" s="1167"/>
      <c r="GU24" s="1167"/>
      <c r="GV24" s="1163"/>
      <c r="GW24" s="1224"/>
      <c r="GX24" s="1217"/>
      <c r="GY24" s="1217"/>
      <c r="GZ24" s="1218"/>
      <c r="HA24" s="1218"/>
      <c r="HB24" s="1218"/>
      <c r="HC24" s="1189"/>
      <c r="HD24" s="1189"/>
      <c r="HE24" s="1189"/>
      <c r="HF24" s="1189"/>
      <c r="HG24" s="1167"/>
      <c r="HH24" s="1167"/>
      <c r="HI24" s="1167"/>
      <c r="HJ24" s="1167"/>
      <c r="HK24" s="1167"/>
      <c r="HL24" s="1167"/>
      <c r="HM24" s="1167"/>
      <c r="HN24" s="1167"/>
      <c r="HO24" s="1167"/>
      <c r="HP24" s="1167"/>
      <c r="HQ24" s="1167"/>
      <c r="HR24" s="1167"/>
      <c r="HS24" s="1167"/>
      <c r="HT24" s="1167"/>
      <c r="HU24" s="1167"/>
      <c r="HV24" s="1167"/>
      <c r="HW24" s="1167"/>
      <c r="HX24" s="1167"/>
      <c r="HY24" s="1167"/>
      <c r="HZ24" s="1167"/>
      <c r="IA24" s="1167"/>
      <c r="IB24" s="1167"/>
      <c r="IC24" s="1167"/>
      <c r="ID24" s="1167"/>
      <c r="IE24" s="1167"/>
      <c r="IF24" s="1167"/>
    </row>
    <row r="25" customFormat="false" ht="12.75" hidden="false" customHeight="true" outlineLevel="0" collapsed="false">
      <c r="A25" s="1633"/>
      <c r="B25" s="1300" t="str">
        <f aca="false">'Sources &amp; Uses'!A31</f>
        <v>Equipment</v>
      </c>
      <c r="C25" s="1184" t="n">
        <f aca="false">'Sources &amp; Uses'!B31</f>
        <v>23461850.4</v>
      </c>
      <c r="D25" s="1167"/>
      <c r="E25" s="1633"/>
      <c r="F25" s="1300"/>
      <c r="G25" s="1184"/>
      <c r="H25" s="1167"/>
      <c r="I25" s="1453"/>
      <c r="J25" s="1167"/>
      <c r="K25" s="1167"/>
      <c r="L25" s="1167"/>
      <c r="M25" s="1167"/>
      <c r="N25" s="1167"/>
      <c r="O25" s="1167"/>
      <c r="P25" s="1189"/>
      <c r="Q25" s="1189"/>
      <c r="R25" s="1189"/>
      <c r="S25" s="1453"/>
      <c r="T25" s="1167"/>
      <c r="U25" s="1167"/>
      <c r="V25" s="1167"/>
      <c r="W25" s="1167"/>
      <c r="X25" s="1167"/>
      <c r="Y25" s="1167"/>
      <c r="Z25" s="1167"/>
      <c r="AA25" s="1167"/>
      <c r="AB25" s="1167"/>
      <c r="AC25" s="1167"/>
      <c r="AD25" s="1167"/>
      <c r="AE25" s="1167"/>
      <c r="AF25" s="1167"/>
      <c r="AG25" s="1167"/>
      <c r="AH25" s="1163"/>
      <c r="AI25" s="1693" t="str">
        <f aca="false">'Tables 5Y'!AG31</f>
        <v>Gross Margin/Revenue</v>
      </c>
      <c r="AJ25" s="1694"/>
      <c r="AK25" s="1694"/>
      <c r="AL25" s="1277"/>
      <c r="AM25" s="1277"/>
      <c r="AN25" s="1278"/>
      <c r="AO25" s="1278"/>
      <c r="AP25" s="1278"/>
      <c r="AQ25" s="1189"/>
      <c r="AR25" s="1189"/>
      <c r="AS25" s="1189"/>
      <c r="AT25" s="1163"/>
      <c r="AU25" s="1688" t="str">
        <f aca="false">AI25</f>
        <v>Gross Margin/Revenue</v>
      </c>
      <c r="AV25" s="1297"/>
      <c r="AW25" s="1297"/>
      <c r="AX25" s="1297"/>
      <c r="AY25" s="1297"/>
      <c r="AZ25" s="1297"/>
      <c r="BA25" s="1297"/>
      <c r="BB25" s="1297"/>
      <c r="BC25" s="1297"/>
      <c r="BD25" s="1297"/>
      <c r="BE25" s="1297"/>
      <c r="BF25" s="1297"/>
      <c r="BG25" s="1298"/>
      <c r="BH25" s="1189"/>
      <c r="BI25" s="1189"/>
      <c r="BJ25" s="1189"/>
      <c r="BK25" s="1224"/>
      <c r="BL25" s="1217"/>
      <c r="BM25" s="1217"/>
      <c r="BN25" s="1218"/>
      <c r="BO25" s="1218"/>
      <c r="BP25" s="1218"/>
      <c r="BQ25" s="1189"/>
      <c r="BR25" s="1189"/>
      <c r="BS25" s="1198"/>
      <c r="BT25" s="1189"/>
      <c r="BU25" s="1666"/>
      <c r="BV25" s="1221"/>
      <c r="BW25" s="1221"/>
      <c r="BX25" s="1221"/>
      <c r="BY25" s="1221"/>
      <c r="BZ25" s="1221"/>
      <c r="CA25" s="1221"/>
      <c r="CB25" s="1221"/>
      <c r="CC25" s="1221"/>
      <c r="CD25" s="1221"/>
      <c r="CE25" s="1221"/>
      <c r="CF25" s="1221"/>
      <c r="CG25" s="1222"/>
      <c r="CH25" s="1189"/>
      <c r="CI25" s="1189"/>
      <c r="CJ25" s="1700"/>
      <c r="CK25" s="1167"/>
      <c r="CL25" s="1167"/>
      <c r="CM25" s="1167"/>
      <c r="CN25" s="1167"/>
      <c r="CO25" s="1167"/>
      <c r="CP25" s="1167"/>
      <c r="CQ25" s="1167"/>
      <c r="CR25" s="1167"/>
      <c r="CS25" s="1189"/>
      <c r="CT25" s="1189"/>
      <c r="CU25" s="1167"/>
      <c r="CV25" s="1453"/>
      <c r="CW25" s="1167"/>
      <c r="CX25" s="1167"/>
      <c r="CY25" s="1167"/>
      <c r="CZ25" s="1167"/>
      <c r="DA25" s="1167"/>
      <c r="DB25" s="1167"/>
      <c r="DC25" s="1167"/>
      <c r="DD25" s="1167"/>
      <c r="DE25" s="1167"/>
      <c r="DF25" s="1167"/>
      <c r="DG25" s="1167"/>
      <c r="DH25" s="1167"/>
      <c r="DI25" s="1167"/>
      <c r="DJ25" s="1167"/>
      <c r="DK25" s="1163"/>
      <c r="DL25" s="1248" t="str">
        <f aca="false">'Cash Flow'!A47</f>
        <v>New Long Term Liabilities/Equipment</v>
      </c>
      <c r="DM25" s="1669" t="n">
        <f aca="false">'Cash Flow'!BH47</f>
        <v>0</v>
      </c>
      <c r="DN25" s="1669" t="n">
        <f aca="false">'Cash Flow'!BI47</f>
        <v>0</v>
      </c>
      <c r="DO25" s="1669" t="n">
        <f aca="false">'Cash Flow'!BJ47</f>
        <v>20165634.6</v>
      </c>
      <c r="DP25" s="1218" t="n">
        <f aca="false">'Cash Flow'!BK47</f>
        <v>3296215.8</v>
      </c>
      <c r="DQ25" s="1218" t="n">
        <f aca="false">'Cash Flow'!BL47</f>
        <v>0</v>
      </c>
      <c r="DR25" s="1189"/>
      <c r="DS25" s="1189"/>
      <c r="DT25" s="1274"/>
      <c r="DU25" s="1157"/>
      <c r="DV25" s="1670" t="str">
        <f aca="false">DL25</f>
        <v>New Long Term Liabilities/Equipment</v>
      </c>
      <c r="DW25" s="1246" t="n">
        <f aca="false">'Cash Flow'!B47</f>
        <v>0</v>
      </c>
      <c r="DX25" s="1246" t="n">
        <f aca="false">'Cash Flow'!C47</f>
        <v>0</v>
      </c>
      <c r="DY25" s="1246" t="n">
        <f aca="false">'Cash Flow'!D47</f>
        <v>0</v>
      </c>
      <c r="DZ25" s="1246" t="n">
        <f aca="false">'Cash Flow'!E47</f>
        <v>0</v>
      </c>
      <c r="EA25" s="1246" t="n">
        <f aca="false">'Cash Flow'!F47</f>
        <v>0</v>
      </c>
      <c r="EB25" s="1246" t="n">
        <f aca="false">'Cash Flow'!G47</f>
        <v>0</v>
      </c>
      <c r="EC25" s="1246" t="n">
        <f aca="false">'Cash Flow'!H47</f>
        <v>5134620</v>
      </c>
      <c r="ED25" s="1246" t="n">
        <f aca="false">'Cash Flow'!I47</f>
        <v>3561594.6</v>
      </c>
      <c r="EE25" s="1246" t="n">
        <f aca="false">'Cash Flow'!J47</f>
        <v>2867523</v>
      </c>
      <c r="EF25" s="1246" t="n">
        <f aca="false">'Cash Flow'!K47</f>
        <v>3082255.8</v>
      </c>
      <c r="EG25" s="1246" t="n">
        <f aca="false">'Cash Flow'!L47</f>
        <v>2437385.4</v>
      </c>
      <c r="EH25" s="1222" t="n">
        <f aca="false">'Cash Flow'!M47</f>
        <v>3082255.8</v>
      </c>
      <c r="EI25" s="1167"/>
      <c r="EJ25" s="1157"/>
      <c r="EK25" s="1672" t="s">
        <v>1805</v>
      </c>
      <c r="EL25" s="1217" t="n">
        <f aca="false">'Balance Sheet'!BJ25</f>
        <v>21814888.4509676</v>
      </c>
      <c r="EM25" s="1217" t="n">
        <f aca="false">'Balance Sheet'!BK25</f>
        <v>27037274.5952698</v>
      </c>
      <c r="EN25" s="1218" t="n">
        <f aca="false">'Balance Sheet'!BL25</f>
        <v>29375123.4376383</v>
      </c>
      <c r="EO25" s="1218" t="n">
        <f aca="false">'Balance Sheet'!BM25</f>
        <v>27971022.2080802</v>
      </c>
      <c r="EP25" s="1218" t="n">
        <f aca="false">'Balance Sheet'!BN25</f>
        <v>26444409.4027909</v>
      </c>
      <c r="EQ25" s="1189"/>
      <c r="ER25" s="1189"/>
      <c r="ES25" s="1167"/>
      <c r="ET25" s="1157"/>
      <c r="EU25" s="1670" t="str">
        <f aca="false">'Balance Sheet'!A25</f>
        <v>Total Liabilities</v>
      </c>
      <c r="EV25" s="1246" t="n">
        <f aca="false">'Balance Sheet'!B25</f>
        <v>390383.972186301</v>
      </c>
      <c r="EW25" s="1246" t="n">
        <f aca="false">'Balance Sheet'!C25</f>
        <v>407206.328350685</v>
      </c>
      <c r="EX25" s="1246" t="n">
        <f aca="false">'Balance Sheet'!D25</f>
        <v>416394.413883053</v>
      </c>
      <c r="EY25" s="1246" t="n">
        <f aca="false">'Balance Sheet'!E25</f>
        <v>511103.479785396</v>
      </c>
      <c r="EZ25" s="1246" t="n">
        <f aca="false">'Balance Sheet'!F25</f>
        <v>606589.453137915</v>
      </c>
      <c r="FA25" s="1246" t="n">
        <f aca="false">'Balance Sheet'!G25</f>
        <v>818589.345048432</v>
      </c>
      <c r="FB25" s="1246" t="n">
        <f aca="false">'Balance Sheet'!H25</f>
        <v>6180226.8868951</v>
      </c>
      <c r="FC25" s="1246" t="n">
        <f aca="false">'Balance Sheet'!I25</f>
        <v>9918009.49789935</v>
      </c>
      <c r="FD25" s="1246" t="n">
        <f aca="false">'Balance Sheet'!J25</f>
        <v>12919397.9194431</v>
      </c>
      <c r="FE25" s="1246" t="n">
        <f aca="false">'Balance Sheet'!K25</f>
        <v>16117327.4886165</v>
      </c>
      <c r="FF25" s="1246" t="n">
        <f aca="false">'Balance Sheet'!L25</f>
        <v>18651788.183053</v>
      </c>
      <c r="FG25" s="1247" t="n">
        <f aca="false">'Balance Sheet'!M25</f>
        <v>21814888.4509676</v>
      </c>
      <c r="FH25" s="1167"/>
      <c r="FI25" s="1700"/>
      <c r="FJ25" s="1701" t="str">
        <f aca="false">'Tables 5Y'!ET20</f>
        <v>Days on Hand</v>
      </c>
      <c r="FK25" s="1701"/>
      <c r="FL25" s="1701"/>
      <c r="FM25" s="1690"/>
      <c r="FN25" s="1690"/>
      <c r="FO25" s="1318"/>
      <c r="FP25" s="1318"/>
      <c r="FQ25" s="1319"/>
      <c r="FR25" s="1319"/>
      <c r="FS25" s="1319"/>
      <c r="FT25" s="1167"/>
      <c r="FU25" s="1167"/>
      <c r="FV25" s="1167"/>
      <c r="FW25" s="1167"/>
      <c r="FX25" s="1167"/>
      <c r="FY25" s="1167"/>
      <c r="FZ25" s="1167"/>
      <c r="GA25" s="1163"/>
      <c r="GB25" s="1224" t="str">
        <f aca="false">Existing!A23</f>
        <v>Current Borrowing</v>
      </c>
      <c r="GC25" s="1217" t="n">
        <f aca="false">Existing!B23</f>
        <v>0</v>
      </c>
      <c r="GD25" s="1217" t="n">
        <f aca="false">Existing!C23</f>
        <v>0</v>
      </c>
      <c r="GE25" s="1218" t="n">
        <f aca="false">Existing!D23</f>
        <v>0</v>
      </c>
      <c r="GF25" s="1167"/>
      <c r="GG25" s="1453"/>
      <c r="GH25" s="1167"/>
      <c r="GI25" s="1167"/>
      <c r="GJ25" s="1167"/>
      <c r="GK25" s="1167"/>
      <c r="GL25" s="1167"/>
      <c r="GM25" s="1167"/>
      <c r="GN25" s="1167"/>
      <c r="GO25" s="1167"/>
      <c r="GP25" s="1167"/>
      <c r="GQ25" s="1167"/>
      <c r="GR25" s="1167"/>
      <c r="GS25" s="1167"/>
      <c r="GT25" s="1167"/>
      <c r="GU25" s="1167"/>
      <c r="GV25" s="1163"/>
      <c r="GW25" s="1224"/>
      <c r="GX25" s="1217"/>
      <c r="GY25" s="1217"/>
      <c r="GZ25" s="1218"/>
      <c r="HA25" s="1218"/>
      <c r="HB25" s="1218"/>
      <c r="HC25" s="1189"/>
      <c r="HD25" s="1189"/>
      <c r="HE25" s="1189"/>
      <c r="HF25" s="1189"/>
      <c r="HG25" s="1167"/>
      <c r="HH25" s="1167"/>
      <c r="HI25" s="1167"/>
      <c r="HJ25" s="1167"/>
      <c r="HK25" s="1167"/>
      <c r="HL25" s="1167"/>
      <c r="HM25" s="1167"/>
      <c r="HN25" s="1167"/>
      <c r="HO25" s="1167"/>
      <c r="HP25" s="1167"/>
      <c r="HQ25" s="1167"/>
      <c r="HR25" s="1167"/>
      <c r="HS25" s="1167"/>
      <c r="HT25" s="1167"/>
      <c r="HU25" s="1167"/>
      <c r="HV25" s="1167"/>
      <c r="HW25" s="1167"/>
      <c r="HX25" s="1167"/>
      <c r="HY25" s="1167"/>
      <c r="HZ25" s="1167"/>
      <c r="IA25" s="1167"/>
      <c r="IB25" s="1167"/>
      <c r="IC25" s="1167"/>
      <c r="ID25" s="1167"/>
      <c r="IE25" s="1167"/>
      <c r="IF25" s="1167"/>
    </row>
    <row r="26" customFormat="false" ht="12.75" hidden="false" customHeight="true" outlineLevel="0" collapsed="false">
      <c r="A26" s="1633"/>
      <c r="B26" s="1300" t="str">
        <f aca="false">'Sources &amp; Uses'!A32</f>
        <v>Structures</v>
      </c>
      <c r="C26" s="1184" t="n">
        <f aca="false">'Sources &amp; Uses'!B32</f>
        <v>0</v>
      </c>
      <c r="D26" s="1167"/>
      <c r="E26" s="1633"/>
      <c r="F26" s="1183"/>
      <c r="G26" s="1184"/>
      <c r="H26" s="1167"/>
      <c r="I26" s="1453"/>
      <c r="J26" s="1167"/>
      <c r="K26" s="1167"/>
      <c r="L26" s="1167"/>
      <c r="M26" s="1167"/>
      <c r="N26" s="1167"/>
      <c r="O26" s="1167"/>
      <c r="P26" s="1189"/>
      <c r="Q26" s="1189"/>
      <c r="R26" s="1189"/>
      <c r="S26" s="1453"/>
      <c r="T26" s="1167"/>
      <c r="U26" s="1167"/>
      <c r="V26" s="1167"/>
      <c r="W26" s="1167"/>
      <c r="X26" s="1167"/>
      <c r="Y26" s="1167"/>
      <c r="Z26" s="1167"/>
      <c r="AA26" s="1167"/>
      <c r="AB26" s="1167"/>
      <c r="AC26" s="1167"/>
      <c r="AD26" s="1167"/>
      <c r="AE26" s="1167"/>
      <c r="AF26" s="1167"/>
      <c r="AG26" s="1167"/>
      <c r="AH26" s="1453"/>
      <c r="AI26" s="1198"/>
      <c r="AJ26" s="1198"/>
      <c r="AK26" s="1198"/>
      <c r="AL26" s="1198"/>
      <c r="AM26" s="1198"/>
      <c r="AN26" s="1198"/>
      <c r="AO26" s="1198"/>
      <c r="AP26" s="1198"/>
      <c r="AQ26" s="1198"/>
      <c r="AR26" s="1198"/>
      <c r="AS26" s="1189"/>
      <c r="AT26" s="1482"/>
      <c r="AU26" s="1198"/>
      <c r="AV26" s="1198"/>
      <c r="AW26" s="1198"/>
      <c r="AX26" s="1198"/>
      <c r="AY26" s="1198"/>
      <c r="AZ26" s="1198"/>
      <c r="BA26" s="1198"/>
      <c r="BB26" s="1198"/>
      <c r="BC26" s="1198"/>
      <c r="BD26" s="1198"/>
      <c r="BE26" s="1198"/>
      <c r="BF26" s="1198"/>
      <c r="BG26" s="1198"/>
      <c r="BH26" s="1189"/>
      <c r="BI26" s="1189"/>
      <c r="BJ26" s="1189"/>
      <c r="BK26" s="1224"/>
      <c r="BL26" s="1217"/>
      <c r="BM26" s="1217"/>
      <c r="BN26" s="1218"/>
      <c r="BO26" s="1218"/>
      <c r="BP26" s="1218"/>
      <c r="BQ26" s="1189"/>
      <c r="BR26" s="1189"/>
      <c r="BS26" s="1189"/>
      <c r="BT26" s="1189"/>
      <c r="BU26" s="1666"/>
      <c r="BV26" s="1221"/>
      <c r="BW26" s="1221"/>
      <c r="BX26" s="1221"/>
      <c r="BY26" s="1221"/>
      <c r="BZ26" s="1221"/>
      <c r="CA26" s="1221"/>
      <c r="CB26" s="1221"/>
      <c r="CC26" s="1221"/>
      <c r="CD26" s="1221"/>
      <c r="CE26" s="1221"/>
      <c r="CF26" s="1221"/>
      <c r="CG26" s="1222"/>
      <c r="CH26" s="1189"/>
      <c r="CI26" s="1189"/>
      <c r="CJ26" s="1700"/>
      <c r="CK26" s="1167"/>
      <c r="CL26" s="1167"/>
      <c r="CM26" s="1167"/>
      <c r="CN26" s="1167"/>
      <c r="CO26" s="1167"/>
      <c r="CP26" s="1167"/>
      <c r="CQ26" s="1167"/>
      <c r="CR26" s="1167"/>
      <c r="CS26" s="1189"/>
      <c r="CT26" s="1189"/>
      <c r="CU26" s="1167"/>
      <c r="CV26" s="1453"/>
      <c r="CW26" s="1167"/>
      <c r="CX26" s="1167"/>
      <c r="CY26" s="1167"/>
      <c r="CZ26" s="1167"/>
      <c r="DA26" s="1167"/>
      <c r="DB26" s="1167"/>
      <c r="DC26" s="1167"/>
      <c r="DD26" s="1167"/>
      <c r="DE26" s="1167"/>
      <c r="DF26" s="1167"/>
      <c r="DG26" s="1167"/>
      <c r="DH26" s="1167"/>
      <c r="DI26" s="1167"/>
      <c r="DJ26" s="1167"/>
      <c r="DK26" s="1163"/>
      <c r="DL26" s="1248" t="str">
        <f aca="false">'Cash Flow'!A48</f>
        <v>Long Term Liability Repay</v>
      </c>
      <c r="DM26" s="1669" t="n">
        <f aca="false">'Cash Flow'!BH48</f>
        <v>-183024.965796823</v>
      </c>
      <c r="DN26" s="1669" t="n">
        <f aca="false">'Cash Flow'!BI48</f>
        <v>-183940.090625808</v>
      </c>
      <c r="DO26" s="1669" t="n">
        <f aca="false">'Cash Flow'!BJ48</f>
        <v>-475966.233419325</v>
      </c>
      <c r="DP26" s="1218" t="n">
        <f aca="false">'Cash Flow'!BK48</f>
        <v>-1786385.03006718</v>
      </c>
      <c r="DQ26" s="1218" t="n">
        <f aca="false">'Cash Flow'!BL48</f>
        <v>-1905562.45864531</v>
      </c>
      <c r="DR26" s="1189"/>
      <c r="DS26" s="1189"/>
      <c r="DT26" s="1167"/>
      <c r="DU26" s="1157"/>
      <c r="DV26" s="1670" t="str">
        <f aca="false">DL26</f>
        <v>Long Term Liability Repay</v>
      </c>
      <c r="DW26" s="1246" t="n">
        <f aca="false">'Cash Flow'!B48</f>
        <v>-0</v>
      </c>
      <c r="DX26" s="1246" t="n">
        <f aca="false">'Cash Flow'!C48</f>
        <v>-0</v>
      </c>
      <c r="DY26" s="1246" t="n">
        <f aca="false">'Cash Flow'!D48</f>
        <v>-0</v>
      </c>
      <c r="DZ26" s="1246" t="n">
        <f aca="false">'Cash Flow'!E48</f>
        <v>-0</v>
      </c>
      <c r="EA26" s="1246" t="n">
        <f aca="false">'Cash Flow'!F48</f>
        <v>-0</v>
      </c>
      <c r="EB26" s="1246" t="n">
        <f aca="false">'Cash Flow'!G48</f>
        <v>-0</v>
      </c>
      <c r="EC26" s="1246" t="n">
        <f aca="false">'Cash Flow'!H48</f>
        <v>-31331.7089679632</v>
      </c>
      <c r="ED26" s="1246" t="n">
        <f aca="false">'Cash Flow'!I48</f>
        <v>-53221.3965332699</v>
      </c>
      <c r="EE26" s="1246" t="n">
        <f aca="false">'Cash Flow'!J48</f>
        <v>-70985.2727948587</v>
      </c>
      <c r="EF26" s="1246" t="n">
        <f aca="false">'Cash Flow'!K48</f>
        <v>-90148.278761689</v>
      </c>
      <c r="EG26" s="1246" t="n">
        <f aca="false">'Cash Flow'!L48</f>
        <v>-105472.068208822</v>
      </c>
      <c r="EH26" s="1222" t="n">
        <f aca="false">'Cash Flow'!M48</f>
        <v>-124807.508152722</v>
      </c>
      <c r="EI26" s="1167"/>
      <c r="EJ26" s="1157"/>
      <c r="EK26" s="1224"/>
      <c r="EL26" s="1217"/>
      <c r="EM26" s="1217"/>
      <c r="EN26" s="1218"/>
      <c r="EO26" s="1218"/>
      <c r="EP26" s="1218"/>
      <c r="EQ26" s="1189"/>
      <c r="ER26" s="1189"/>
      <c r="ES26" s="1167"/>
      <c r="ET26" s="1157"/>
      <c r="EU26" s="1666"/>
      <c r="EV26" s="1246"/>
      <c r="EW26" s="1246"/>
      <c r="EX26" s="1246"/>
      <c r="EY26" s="1246"/>
      <c r="EZ26" s="1246"/>
      <c r="FA26" s="1246"/>
      <c r="FB26" s="1246"/>
      <c r="FC26" s="1246"/>
      <c r="FD26" s="1246"/>
      <c r="FE26" s="1246"/>
      <c r="FF26" s="1246"/>
      <c r="FG26" s="1247"/>
      <c r="FH26" s="1167"/>
      <c r="FI26" s="1700"/>
      <c r="FJ26" s="1689" t="str">
        <f aca="false">'Tables 5Y'!ET21</f>
        <v>Receivables</v>
      </c>
      <c r="FK26" s="1689"/>
      <c r="FL26" s="1689"/>
      <c r="FM26" s="1690"/>
      <c r="FN26" s="1690"/>
      <c r="FO26" s="1318" t="n">
        <f aca="false">'Tables 5Y'!EU21</f>
        <v>30</v>
      </c>
      <c r="FP26" s="1318" t="n">
        <f aca="false">'Tables 5Y'!EV21</f>
        <v>30</v>
      </c>
      <c r="FQ26" s="1319" t="n">
        <f aca="false">'Tables 5Y'!EW21</f>
        <v>30</v>
      </c>
      <c r="FR26" s="1319"/>
      <c r="FS26" s="1319"/>
      <c r="FT26" s="1167"/>
      <c r="FU26" s="1167"/>
      <c r="FV26" s="1167"/>
      <c r="FW26" s="1167"/>
      <c r="FX26" s="1167"/>
      <c r="FY26" s="1167"/>
      <c r="FZ26" s="1167"/>
      <c r="GA26" s="1163"/>
      <c r="GB26" s="1224" t="str">
        <f aca="false">Existing!A24</f>
        <v>Other Current Liabilities</v>
      </c>
      <c r="GC26" s="1217" t="n">
        <f aca="false">Existing!B24</f>
        <v>0</v>
      </c>
      <c r="GD26" s="1217" t="n">
        <f aca="false">Existing!C24</f>
        <v>0</v>
      </c>
      <c r="GE26" s="1218" t="n">
        <f aca="false">Existing!D24</f>
        <v>0</v>
      </c>
      <c r="GF26" s="1167"/>
      <c r="GG26" s="1453"/>
      <c r="GH26" s="1167"/>
      <c r="GI26" s="1167"/>
      <c r="GJ26" s="1167"/>
      <c r="GK26" s="1167"/>
      <c r="GL26" s="1167"/>
      <c r="GM26" s="1167"/>
      <c r="GN26" s="1167"/>
      <c r="GO26" s="1167"/>
      <c r="GP26" s="1167"/>
      <c r="GQ26" s="1167"/>
      <c r="GR26" s="1167"/>
      <c r="GS26" s="1167"/>
      <c r="GT26" s="1167"/>
      <c r="GU26" s="1167"/>
      <c r="GV26" s="1163"/>
      <c r="GW26" s="1224"/>
      <c r="GX26" s="1217"/>
      <c r="GY26" s="1217"/>
      <c r="GZ26" s="1218"/>
      <c r="HA26" s="1218"/>
      <c r="HB26" s="1218"/>
      <c r="HC26" s="1189"/>
      <c r="HD26" s="1189"/>
      <c r="HE26" s="1189"/>
      <c r="HF26" s="1189"/>
      <c r="HG26" s="1167"/>
      <c r="HH26" s="1167"/>
      <c r="HI26" s="1167"/>
      <c r="HJ26" s="1167"/>
      <c r="HK26" s="1167"/>
      <c r="HL26" s="1167"/>
      <c r="HM26" s="1167"/>
      <c r="HN26" s="1167"/>
      <c r="HO26" s="1167"/>
      <c r="HP26" s="1167"/>
      <c r="HQ26" s="1167"/>
      <c r="HR26" s="1167"/>
      <c r="HS26" s="1167"/>
      <c r="HT26" s="1167"/>
      <c r="HU26" s="1167"/>
      <c r="HV26" s="1167"/>
      <c r="HW26" s="1167"/>
      <c r="HX26" s="1167"/>
      <c r="HY26" s="1167"/>
      <c r="HZ26" s="1167"/>
      <c r="IA26" s="1167"/>
      <c r="IB26" s="1167"/>
      <c r="IC26" s="1167"/>
      <c r="ID26" s="1167"/>
      <c r="IE26" s="1167"/>
      <c r="IF26" s="1167"/>
    </row>
    <row r="27" customFormat="false" ht="12.75" hidden="false" customHeight="true" outlineLevel="0" collapsed="false">
      <c r="A27" s="1633"/>
      <c r="B27" s="1300" t="str">
        <f aca="false">'Sources &amp; Uses'!A33</f>
        <v>Other Long-term Assets</v>
      </c>
      <c r="C27" s="1184" t="n">
        <f aca="false">'Sources &amp; Uses'!B33</f>
        <v>0</v>
      </c>
      <c r="D27" s="1167"/>
      <c r="E27" s="1633"/>
      <c r="F27" s="1183"/>
      <c r="G27" s="1184"/>
      <c r="H27" s="1167"/>
      <c r="I27" s="1453"/>
      <c r="J27" s="1167"/>
      <c r="K27" s="1167"/>
      <c r="L27" s="1167"/>
      <c r="M27" s="1167"/>
      <c r="N27" s="1167"/>
      <c r="O27" s="1167"/>
      <c r="P27" s="1189"/>
      <c r="Q27" s="1189"/>
      <c r="R27" s="1189"/>
      <c r="S27" s="1453"/>
      <c r="T27" s="1167"/>
      <c r="U27" s="1167"/>
      <c r="V27" s="1167"/>
      <c r="W27" s="1167"/>
      <c r="X27" s="1167"/>
      <c r="Y27" s="1167"/>
      <c r="Z27" s="1167"/>
      <c r="AA27" s="1167"/>
      <c r="AB27" s="1167"/>
      <c r="AC27" s="1167"/>
      <c r="AD27" s="1167"/>
      <c r="AE27" s="1167"/>
      <c r="AF27" s="1167"/>
      <c r="AG27" s="1167"/>
      <c r="AH27" s="1453"/>
      <c r="AI27" s="1198"/>
      <c r="AJ27" s="1198"/>
      <c r="AK27" s="1198"/>
      <c r="AL27" s="1198"/>
      <c r="AM27" s="1198"/>
      <c r="AN27" s="1198"/>
      <c r="AO27" s="1198"/>
      <c r="AP27" s="1198"/>
      <c r="AQ27" s="1198"/>
      <c r="AR27" s="1198"/>
      <c r="AS27" s="1189"/>
      <c r="AT27" s="1482"/>
      <c r="AU27" s="1198"/>
      <c r="AV27" s="1198"/>
      <c r="AW27" s="1198"/>
      <c r="AX27" s="1198"/>
      <c r="AY27" s="1198"/>
      <c r="AZ27" s="1198"/>
      <c r="BA27" s="1198"/>
      <c r="BB27" s="1198"/>
      <c r="BC27" s="1198"/>
      <c r="BD27" s="1198"/>
      <c r="BE27" s="1198"/>
      <c r="BF27" s="1198"/>
      <c r="BG27" s="1198"/>
      <c r="BH27" s="1189"/>
      <c r="BI27" s="1189"/>
      <c r="BJ27" s="1189"/>
      <c r="BK27" s="1664"/>
      <c r="BL27" s="1217"/>
      <c r="BM27" s="1217"/>
      <c r="BN27" s="1218"/>
      <c r="BO27" s="1218"/>
      <c r="BP27" s="1218"/>
      <c r="BQ27" s="1189"/>
      <c r="BR27" s="1189"/>
      <c r="BS27" s="1198"/>
      <c r="BT27" s="1189"/>
      <c r="BU27" s="1670"/>
      <c r="BV27" s="1221"/>
      <c r="BW27" s="1221"/>
      <c r="BX27" s="1221"/>
      <c r="BY27" s="1221"/>
      <c r="BZ27" s="1221"/>
      <c r="CA27" s="1221"/>
      <c r="CB27" s="1221"/>
      <c r="CC27" s="1221"/>
      <c r="CD27" s="1221"/>
      <c r="CE27" s="1221"/>
      <c r="CF27" s="1221"/>
      <c r="CG27" s="1222"/>
      <c r="CH27" s="1189"/>
      <c r="CI27" s="1189"/>
      <c r="CJ27" s="1700"/>
      <c r="CK27" s="1167"/>
      <c r="CL27" s="1167"/>
      <c r="CM27" s="1167"/>
      <c r="CN27" s="1167"/>
      <c r="CO27" s="1167"/>
      <c r="CP27" s="1167"/>
      <c r="CQ27" s="1167"/>
      <c r="CR27" s="1167"/>
      <c r="CS27" s="1150"/>
      <c r="CT27" s="1150"/>
      <c r="CU27" s="1167"/>
      <c r="CV27" s="1453"/>
      <c r="CW27" s="1167"/>
      <c r="CX27" s="1167"/>
      <c r="CY27" s="1167"/>
      <c r="CZ27" s="1167"/>
      <c r="DA27" s="1167"/>
      <c r="DB27" s="1167"/>
      <c r="DC27" s="1167"/>
      <c r="DD27" s="1167"/>
      <c r="DE27" s="1167"/>
      <c r="DF27" s="1167"/>
      <c r="DG27" s="1167"/>
      <c r="DH27" s="1167"/>
      <c r="DI27" s="1167"/>
      <c r="DJ27" s="1167"/>
      <c r="DK27" s="1163"/>
      <c r="DL27" s="1248" t="str">
        <f aca="false">'Cash Flow'!A49</f>
        <v>Net Cash From Financing Activities</v>
      </c>
      <c r="DM27" s="1669" t="n">
        <f aca="false">'Cash Flow'!BH49</f>
        <v>-183024.965796823</v>
      </c>
      <c r="DN27" s="1669" t="n">
        <f aca="false">'Cash Flow'!BI49</f>
        <v>-183940.090625808</v>
      </c>
      <c r="DO27" s="1669" t="n">
        <f aca="false">'Cash Flow'!BJ49</f>
        <v>29689668.3665807</v>
      </c>
      <c r="DP27" s="1218" t="n">
        <f aca="false">'Cash Flow'!BK49</f>
        <v>1509830.76993282</v>
      </c>
      <c r="DQ27" s="1218" t="n">
        <f aca="false">'Cash Flow'!BL49</f>
        <v>-1905562.45864531</v>
      </c>
      <c r="DR27" s="1150"/>
      <c r="DS27" s="1150"/>
      <c r="DT27" s="1167"/>
      <c r="DU27" s="1157"/>
      <c r="DV27" s="1670" t="str">
        <f aca="false">DL27</f>
        <v>Net Cash From Financing Activities</v>
      </c>
      <c r="DW27" s="1246" t="n">
        <f aca="false">'Cash Flow'!B49</f>
        <v>10000000</v>
      </c>
      <c r="DX27" s="1246" t="n">
        <f aca="false">'Cash Flow'!C49</f>
        <v>0</v>
      </c>
      <c r="DY27" s="1246" t="n">
        <f aca="false">'Cash Flow'!D49</f>
        <v>0</v>
      </c>
      <c r="DZ27" s="1246" t="n">
        <f aca="false">'Cash Flow'!E49</f>
        <v>0</v>
      </c>
      <c r="EA27" s="1246" t="n">
        <f aca="false">'Cash Flow'!F49</f>
        <v>0</v>
      </c>
      <c r="EB27" s="1246" t="n">
        <f aca="false">'Cash Flow'!G49</f>
        <v>0</v>
      </c>
      <c r="EC27" s="1246" t="n">
        <f aca="false">'Cash Flow'!H49</f>
        <v>5103288.29103204</v>
      </c>
      <c r="ED27" s="1246" t="n">
        <f aca="false">'Cash Flow'!I49</f>
        <v>3508373.20346673</v>
      </c>
      <c r="EE27" s="1246" t="n">
        <f aca="false">'Cash Flow'!J49</f>
        <v>2796537.72720514</v>
      </c>
      <c r="EF27" s="1246" t="n">
        <f aca="false">'Cash Flow'!K49</f>
        <v>2992107.52123831</v>
      </c>
      <c r="EG27" s="1246" t="n">
        <f aca="false">'Cash Flow'!L49</f>
        <v>2331913.33179118</v>
      </c>
      <c r="EH27" s="1222" t="n">
        <f aca="false">'Cash Flow'!M49</f>
        <v>2957448.29184728</v>
      </c>
      <c r="EI27" s="1167"/>
      <c r="EJ27" s="1157"/>
      <c r="EK27" s="1224" t="str">
        <f aca="false">'Balance Sheet'!A27</f>
        <v>Paid-in Capital</v>
      </c>
      <c r="EL27" s="1217" t="n">
        <f aca="false">'Balance Sheet'!BJ27</f>
        <v>10000000</v>
      </c>
      <c r="EM27" s="1217" t="n">
        <f aca="false">'Balance Sheet'!BK27</f>
        <v>10000000</v>
      </c>
      <c r="EN27" s="1218" t="n">
        <f aca="false">'Balance Sheet'!BL27</f>
        <v>10000000</v>
      </c>
      <c r="EO27" s="1218" t="n">
        <f aca="false">'Balance Sheet'!BM27</f>
        <v>10000000</v>
      </c>
      <c r="EP27" s="1218" t="n">
        <f aca="false">'Balance Sheet'!BN27</f>
        <v>10000000</v>
      </c>
      <c r="EQ27" s="1189"/>
      <c r="ER27" s="1189"/>
      <c r="ES27" s="1167"/>
      <c r="ET27" s="1157"/>
      <c r="EU27" s="1666" t="str">
        <f aca="false">'Balance Sheet'!A27</f>
        <v>Paid-in Capital</v>
      </c>
      <c r="EV27" s="1246" t="n">
        <f aca="false">'Balance Sheet'!B27</f>
        <v>10000000</v>
      </c>
      <c r="EW27" s="1246" t="n">
        <f aca="false">'Balance Sheet'!C27</f>
        <v>10000000</v>
      </c>
      <c r="EX27" s="1246" t="n">
        <f aca="false">'Balance Sheet'!D27</f>
        <v>10000000</v>
      </c>
      <c r="EY27" s="1246" t="n">
        <f aca="false">'Balance Sheet'!E27</f>
        <v>10000000</v>
      </c>
      <c r="EZ27" s="1246" t="n">
        <f aca="false">'Balance Sheet'!F27</f>
        <v>10000000</v>
      </c>
      <c r="FA27" s="1246" t="n">
        <f aca="false">'Balance Sheet'!G27</f>
        <v>10000000</v>
      </c>
      <c r="FB27" s="1246" t="n">
        <f aca="false">'Balance Sheet'!H27</f>
        <v>10000000</v>
      </c>
      <c r="FC27" s="1246" t="n">
        <f aca="false">'Balance Sheet'!I27</f>
        <v>10000000</v>
      </c>
      <c r="FD27" s="1246" t="n">
        <f aca="false">'Balance Sheet'!J27</f>
        <v>10000000</v>
      </c>
      <c r="FE27" s="1246" t="n">
        <f aca="false">'Balance Sheet'!K27</f>
        <v>10000000</v>
      </c>
      <c r="FF27" s="1246" t="n">
        <f aca="false">'Balance Sheet'!L27</f>
        <v>10000000</v>
      </c>
      <c r="FG27" s="1247" t="n">
        <f aca="false">'Balance Sheet'!M27</f>
        <v>10000000</v>
      </c>
      <c r="FH27" s="1167"/>
      <c r="FI27" s="1700"/>
      <c r="FJ27" s="1689" t="str">
        <f aca="false">'Tables 5Y'!ET22</f>
        <v>Inventory</v>
      </c>
      <c r="FK27" s="1689"/>
      <c r="FL27" s="1689"/>
      <c r="FM27" s="1690"/>
      <c r="FN27" s="1690"/>
      <c r="FO27" s="1318" t="n">
        <f aca="false">'Tables 5Y'!EU22</f>
        <v>0</v>
      </c>
      <c r="FP27" s="1318" t="n">
        <f aca="false">'Tables 5Y'!EV22</f>
        <v>0</v>
      </c>
      <c r="FQ27" s="1319" t="n">
        <f aca="false">'Tables 5Y'!EW22</f>
        <v>0</v>
      </c>
      <c r="FR27" s="1319"/>
      <c r="FS27" s="1319"/>
      <c r="FT27" s="1167"/>
      <c r="FU27" s="1167"/>
      <c r="FV27" s="1167"/>
      <c r="FW27" s="1167"/>
      <c r="FX27" s="1167"/>
      <c r="FY27" s="1167"/>
      <c r="FZ27" s="1167"/>
      <c r="GA27" s="1163"/>
      <c r="GB27" s="1664" t="s">
        <v>1935</v>
      </c>
      <c r="GC27" s="1217" t="n">
        <f aca="false">GC24+GC25+GC26</f>
        <v>0</v>
      </c>
      <c r="GD27" s="1217" t="n">
        <f aca="false">GD24+GD25+GD26</f>
        <v>0</v>
      </c>
      <c r="GE27" s="1218" t="n">
        <f aca="false">GE24+GE25+GE26</f>
        <v>0</v>
      </c>
      <c r="GF27" s="1167"/>
      <c r="GG27" s="1453"/>
      <c r="GH27" s="1167"/>
      <c r="GI27" s="1167"/>
      <c r="GJ27" s="1167"/>
      <c r="GK27" s="1167"/>
      <c r="GL27" s="1167"/>
      <c r="GM27" s="1167"/>
      <c r="GN27" s="1167"/>
      <c r="GO27" s="1167"/>
      <c r="GP27" s="1167"/>
      <c r="GQ27" s="1167"/>
      <c r="GR27" s="1167"/>
      <c r="GS27" s="1167"/>
      <c r="GT27" s="1167"/>
      <c r="GU27" s="1167"/>
      <c r="GV27" s="1163"/>
      <c r="GW27" s="1224"/>
      <c r="GX27" s="1217"/>
      <c r="GY27" s="1217"/>
      <c r="GZ27" s="1218"/>
      <c r="HA27" s="1218"/>
      <c r="HB27" s="1218"/>
      <c r="HC27" s="1189"/>
      <c r="HD27" s="1189"/>
      <c r="HE27" s="1189"/>
      <c r="HF27" s="1189"/>
      <c r="HG27" s="1167"/>
      <c r="HH27" s="1167"/>
      <c r="HI27" s="1167"/>
      <c r="HJ27" s="1167"/>
      <c r="HK27" s="1167"/>
      <c r="HL27" s="1167"/>
      <c r="HM27" s="1167"/>
      <c r="HN27" s="1167"/>
      <c r="HO27" s="1167"/>
      <c r="HP27" s="1167"/>
      <c r="HQ27" s="1167"/>
      <c r="HR27" s="1167"/>
      <c r="HS27" s="1167"/>
      <c r="HT27" s="1167"/>
      <c r="HU27" s="1167"/>
      <c r="HV27" s="1167"/>
      <c r="HW27" s="1167"/>
      <c r="HX27" s="1167"/>
      <c r="HY27" s="1167"/>
      <c r="HZ27" s="1167"/>
      <c r="IA27" s="1167"/>
      <c r="IB27" s="1167"/>
      <c r="IC27" s="1167"/>
      <c r="ID27" s="1167"/>
      <c r="IE27" s="1167"/>
      <c r="IF27" s="1167"/>
    </row>
    <row r="28" customFormat="false" ht="12.75" hidden="false" customHeight="true" outlineLevel="0" collapsed="false">
      <c r="A28" s="1633"/>
      <c r="B28" s="1391" t="str">
        <f aca="false">'Sources &amp; Uses'!A34</f>
        <v>Total Start-up Assets</v>
      </c>
      <c r="C28" s="1392" t="n">
        <f aca="false">'Sources &amp; Uses'!B34</f>
        <v>33461850.4</v>
      </c>
      <c r="D28" s="1167"/>
      <c r="E28" s="1633"/>
      <c r="F28" s="1424" t="s">
        <v>1526</v>
      </c>
      <c r="G28" s="1425" t="n">
        <f aca="false">'Sources &amp; Uses'!F21</f>
        <v>0</v>
      </c>
      <c r="H28" s="1167"/>
      <c r="I28" s="1453"/>
      <c r="J28" s="1167"/>
      <c r="K28" s="1167"/>
      <c r="L28" s="1167"/>
      <c r="M28" s="1167"/>
      <c r="N28" s="1167"/>
      <c r="O28" s="1167"/>
      <c r="P28" s="1189"/>
      <c r="Q28" s="1189"/>
      <c r="R28" s="1189"/>
      <c r="S28" s="1453"/>
      <c r="T28" s="1167"/>
      <c r="U28" s="1167"/>
      <c r="V28" s="1167"/>
      <c r="W28" s="1167"/>
      <c r="X28" s="1167"/>
      <c r="Y28" s="1167"/>
      <c r="Z28" s="1167"/>
      <c r="AA28" s="1167"/>
      <c r="AB28" s="1167"/>
      <c r="AC28" s="1167"/>
      <c r="AD28" s="1167"/>
      <c r="AE28" s="1167"/>
      <c r="AF28" s="1167"/>
      <c r="AG28" s="1167"/>
      <c r="AH28" s="1453"/>
      <c r="AI28" s="1198"/>
      <c r="AJ28" s="1198"/>
      <c r="AK28" s="1198"/>
      <c r="AL28" s="1198"/>
      <c r="AM28" s="1198"/>
      <c r="AN28" s="1198"/>
      <c r="AO28" s="1198"/>
      <c r="AP28" s="1198"/>
      <c r="AQ28" s="1198"/>
      <c r="AR28" s="1198"/>
      <c r="AS28" s="1189"/>
      <c r="AT28" s="1482"/>
      <c r="AU28" s="1198"/>
      <c r="AV28" s="1198"/>
      <c r="AW28" s="1198"/>
      <c r="AX28" s="1198"/>
      <c r="AY28" s="1198"/>
      <c r="AZ28" s="1198"/>
      <c r="BA28" s="1198"/>
      <c r="BB28" s="1198"/>
      <c r="BC28" s="1198"/>
      <c r="BD28" s="1198"/>
      <c r="BE28" s="1198"/>
      <c r="BF28" s="1198"/>
      <c r="BG28" s="1198"/>
      <c r="BH28" s="1189"/>
      <c r="BI28" s="1189"/>
      <c r="BJ28" s="1189"/>
      <c r="BK28" s="1224"/>
      <c r="BL28" s="1217"/>
      <c r="BM28" s="1217"/>
      <c r="BN28" s="1218"/>
      <c r="BO28" s="1218"/>
      <c r="BP28" s="1218"/>
      <c r="BQ28" s="1189"/>
      <c r="BR28" s="1189"/>
      <c r="BS28" s="1198"/>
      <c r="BT28" s="1189"/>
      <c r="BU28" s="1666"/>
      <c r="BV28" s="1221"/>
      <c r="BW28" s="1221"/>
      <c r="BX28" s="1221"/>
      <c r="BY28" s="1221"/>
      <c r="BZ28" s="1221"/>
      <c r="CA28" s="1221"/>
      <c r="CB28" s="1221"/>
      <c r="CC28" s="1221"/>
      <c r="CD28" s="1221"/>
      <c r="CE28" s="1221"/>
      <c r="CF28" s="1221"/>
      <c r="CG28" s="1222"/>
      <c r="CH28" s="1189"/>
      <c r="CI28" s="1189"/>
      <c r="CJ28" s="1700"/>
      <c r="CK28" s="1167"/>
      <c r="CL28" s="1167"/>
      <c r="CM28" s="1167"/>
      <c r="CN28" s="1167"/>
      <c r="CO28" s="1167"/>
      <c r="CP28" s="1167"/>
      <c r="CQ28" s="1167"/>
      <c r="CR28" s="1167"/>
      <c r="CS28" s="1150"/>
      <c r="CT28" s="1150"/>
      <c r="CU28" s="1167"/>
      <c r="CV28" s="1453"/>
      <c r="CW28" s="1167"/>
      <c r="CX28" s="1167"/>
      <c r="CY28" s="1167"/>
      <c r="CZ28" s="1167"/>
      <c r="DA28" s="1167"/>
      <c r="DB28" s="1167"/>
      <c r="DC28" s="1167"/>
      <c r="DD28" s="1167"/>
      <c r="DE28" s="1167"/>
      <c r="DF28" s="1167"/>
      <c r="DG28" s="1167"/>
      <c r="DH28" s="1167"/>
      <c r="DI28" s="1167"/>
      <c r="DJ28" s="1167"/>
      <c r="DK28" s="1163"/>
      <c r="DL28" s="1252" t="str">
        <f aca="false">'Cash Flow'!A50</f>
        <v>NET CASH FLOW</v>
      </c>
      <c r="DM28" s="1685" t="n">
        <f aca="false">'Cash Flow'!BH50</f>
        <v>4586556.63275439</v>
      </c>
      <c r="DN28" s="1685" t="n">
        <f aca="false">'Cash Flow'!BI50</f>
        <v>4586415.54711193</v>
      </c>
      <c r="DO28" s="1685" t="n">
        <f aca="false">'Cash Flow'!BJ50</f>
        <v>6344386.38122366</v>
      </c>
      <c r="DP28" s="1374" t="n">
        <f aca="false">'Cash Flow'!BK50</f>
        <v>7591274.12745243</v>
      </c>
      <c r="DQ28" s="1374" t="n">
        <f aca="false">'Cash Flow'!BL50</f>
        <v>40237740.4209782</v>
      </c>
      <c r="DR28" s="1150"/>
      <c r="DS28" s="1150"/>
      <c r="DT28" s="1167"/>
      <c r="DU28" s="1157"/>
      <c r="DV28" s="1343" t="str">
        <f aca="false">DL28</f>
        <v>NET CASH FLOW</v>
      </c>
      <c r="DW28" s="1442" t="n">
        <f aca="false">'Cash Flow'!B50</f>
        <v>9994578.0003863</v>
      </c>
      <c r="DX28" s="1442" t="n">
        <f aca="false">'Cash Flow'!C50</f>
        <v>-396039.615635617</v>
      </c>
      <c r="DY28" s="1442" t="n">
        <f aca="false">'Cash Flow'!D50</f>
        <v>-412977.020537417</v>
      </c>
      <c r="DZ28" s="1442" t="n">
        <f aca="false">'Cash Flow'!E50</f>
        <v>-420750.180983845</v>
      </c>
      <c r="EA28" s="1442" t="n">
        <f aca="false">'Cash Flow'!F50</f>
        <v>-383492.956529836</v>
      </c>
      <c r="EB28" s="1442" t="n">
        <f aca="false">'Cash Flow'!G50</f>
        <v>-345887.996054194</v>
      </c>
      <c r="EC28" s="1442" t="n">
        <f aca="false">'Cash Flow'!H50</f>
        <v>-324413.659233671</v>
      </c>
      <c r="ED28" s="1442" t="n">
        <f aca="false">'Cash Flow'!I50</f>
        <v>-339444.717646863</v>
      </c>
      <c r="EE28" s="1442" t="n">
        <f aca="false">'Cash Flow'!J50</f>
        <v>-321069.028240363</v>
      </c>
      <c r="EF28" s="1442" t="n">
        <f aca="false">'Cash Flow'!K50</f>
        <v>-279547.246362323</v>
      </c>
      <c r="EG28" s="1442" t="n">
        <f aca="false">'Cash Flow'!L50</f>
        <v>-235112.119820971</v>
      </c>
      <c r="EH28" s="1370" t="n">
        <f aca="false">'Cash Flow'!M50</f>
        <v>-191457.078117546</v>
      </c>
      <c r="EI28" s="1167"/>
      <c r="EJ28" s="1157"/>
      <c r="EK28" s="1224" t="str">
        <f aca="false">EU28</f>
        <v>Retained Earnings</v>
      </c>
      <c r="EL28" s="1217" t="n">
        <f aca="false">'Balance Sheet'!BJ28</f>
        <v>0</v>
      </c>
      <c r="EM28" s="1217" t="n">
        <f aca="false">'Balance Sheet'!BK28</f>
        <v>-3831207.37527624</v>
      </c>
      <c r="EN28" s="1218" t="n">
        <f aca="false">'Balance Sheet'!BL28</f>
        <v>4577509.54154919</v>
      </c>
      <c r="EO28" s="1218" t="n">
        <f aca="false">'Balance Sheet'!BM28</f>
        <v>46672932.1830159</v>
      </c>
      <c r="EP28" s="1218" t="n">
        <f aca="false">'Balance Sheet'!BN28</f>
        <v>95162924.3560846</v>
      </c>
      <c r="EQ28" s="1189"/>
      <c r="ER28" s="1189"/>
      <c r="ES28" s="1167"/>
      <c r="ET28" s="1157"/>
      <c r="EU28" s="1666" t="str">
        <f aca="false">'Balance Sheet'!A28</f>
        <v>Retained Earnings</v>
      </c>
      <c r="EV28" s="1246" t="n">
        <f aca="false">'Balance Sheet'!B28</f>
        <v>0</v>
      </c>
      <c r="EW28" s="1246" t="n">
        <f aca="false">'Balance Sheet'!C28</f>
        <v>0</v>
      </c>
      <c r="EX28" s="1246" t="n">
        <f aca="false">'Balance Sheet'!D28</f>
        <v>0</v>
      </c>
      <c r="EY28" s="1246" t="n">
        <f aca="false">'Balance Sheet'!E28</f>
        <v>0</v>
      </c>
      <c r="EZ28" s="1246" t="n">
        <f aca="false">'Balance Sheet'!F28</f>
        <v>0</v>
      </c>
      <c r="FA28" s="1246" t="n">
        <f aca="false">'Balance Sheet'!G28</f>
        <v>0</v>
      </c>
      <c r="FB28" s="1246" t="n">
        <f aca="false">'Balance Sheet'!H28</f>
        <v>0</v>
      </c>
      <c r="FC28" s="1246" t="n">
        <f aca="false">'Balance Sheet'!I28</f>
        <v>0</v>
      </c>
      <c r="FD28" s="1246" t="n">
        <f aca="false">'Balance Sheet'!J28</f>
        <v>0</v>
      </c>
      <c r="FE28" s="1246" t="n">
        <f aca="false">'Balance Sheet'!K28</f>
        <v>0</v>
      </c>
      <c r="FF28" s="1246" t="n">
        <f aca="false">'Balance Sheet'!L28</f>
        <v>0</v>
      </c>
      <c r="FG28" s="1247" t="n">
        <f aca="false">'Balance Sheet'!M28</f>
        <v>0</v>
      </c>
      <c r="FH28" s="1167"/>
      <c r="FI28" s="1700"/>
      <c r="FJ28" s="1689" t="str">
        <f aca="false">'Tables 5Y'!ET23</f>
        <v>Payables</v>
      </c>
      <c r="FK28" s="1689"/>
      <c r="FL28" s="1689"/>
      <c r="FM28" s="1690"/>
      <c r="FN28" s="1690"/>
      <c r="FO28" s="1318" t="n">
        <f aca="false">'Tables 5Y'!EU23</f>
        <v>30</v>
      </c>
      <c r="FP28" s="1318" t="n">
        <f aca="false">'Tables 5Y'!EV23</f>
        <v>30</v>
      </c>
      <c r="FQ28" s="1319" t="n">
        <f aca="false">'Tables 5Y'!EW23</f>
        <v>30</v>
      </c>
      <c r="FR28" s="1319"/>
      <c r="FS28" s="1319"/>
      <c r="FT28" s="1167"/>
      <c r="FU28" s="1167"/>
      <c r="FV28" s="1167"/>
      <c r="FW28" s="1167"/>
      <c r="FX28" s="1167"/>
      <c r="FY28" s="1167"/>
      <c r="FZ28" s="1167"/>
      <c r="GA28" s="1163"/>
      <c r="GB28" s="1664"/>
      <c r="GC28" s="1217"/>
      <c r="GD28" s="1217"/>
      <c r="GE28" s="1218"/>
      <c r="GF28" s="1167"/>
      <c r="GG28" s="1453"/>
      <c r="GH28" s="1167"/>
      <c r="GI28" s="1167"/>
      <c r="GJ28" s="1167"/>
      <c r="GK28" s="1167"/>
      <c r="GL28" s="1167"/>
      <c r="GM28" s="1167"/>
      <c r="GN28" s="1167"/>
      <c r="GO28" s="1167"/>
      <c r="GP28" s="1167"/>
      <c r="GQ28" s="1167"/>
      <c r="GR28" s="1167"/>
      <c r="GS28" s="1167"/>
      <c r="GT28" s="1167"/>
      <c r="GU28" s="1167"/>
      <c r="GV28" s="1163"/>
      <c r="GW28" s="1224"/>
      <c r="GX28" s="1217"/>
      <c r="GY28" s="1217"/>
      <c r="GZ28" s="1218"/>
      <c r="HA28" s="1218"/>
      <c r="HB28" s="1218"/>
      <c r="HC28" s="1189"/>
      <c r="HD28" s="1189"/>
      <c r="HE28" s="1189"/>
      <c r="HF28" s="1189"/>
      <c r="HG28" s="1167"/>
      <c r="HH28" s="1167"/>
      <c r="HI28" s="1167"/>
      <c r="HJ28" s="1167"/>
      <c r="HK28" s="1167"/>
      <c r="HL28" s="1167"/>
      <c r="HM28" s="1167"/>
      <c r="HN28" s="1167"/>
      <c r="HO28" s="1167"/>
      <c r="HP28" s="1167"/>
      <c r="HQ28" s="1167"/>
      <c r="HR28" s="1167"/>
      <c r="HS28" s="1167"/>
      <c r="HT28" s="1167"/>
      <c r="HU28" s="1167"/>
      <c r="HV28" s="1167"/>
      <c r="HW28" s="1167"/>
      <c r="HX28" s="1167"/>
      <c r="HY28" s="1167"/>
      <c r="HZ28" s="1167"/>
      <c r="IA28" s="1167"/>
      <c r="IB28" s="1167"/>
      <c r="IC28" s="1167"/>
      <c r="ID28" s="1167"/>
      <c r="IE28" s="1167"/>
      <c r="IF28" s="1167"/>
    </row>
    <row r="29" customFormat="false" ht="12.75" hidden="false" customHeight="true" outlineLevel="0" collapsed="false">
      <c r="A29" s="1633"/>
      <c r="B29" s="1183"/>
      <c r="C29" s="1184"/>
      <c r="D29" s="1167"/>
      <c r="E29" s="1453"/>
      <c r="F29" s="1167"/>
      <c r="G29" s="1167"/>
      <c r="H29" s="1167"/>
      <c r="I29" s="1453"/>
      <c r="J29" s="1167"/>
      <c r="K29" s="1167"/>
      <c r="L29" s="1167"/>
      <c r="M29" s="1167"/>
      <c r="N29" s="1167"/>
      <c r="O29" s="1167"/>
      <c r="P29" s="1189"/>
      <c r="Q29" s="1189"/>
      <c r="R29" s="1189"/>
      <c r="S29" s="1453"/>
      <c r="T29" s="1167"/>
      <c r="U29" s="1167"/>
      <c r="V29" s="1167"/>
      <c r="W29" s="1167"/>
      <c r="X29" s="1167"/>
      <c r="Y29" s="1167"/>
      <c r="Z29" s="1167"/>
      <c r="AA29" s="1167"/>
      <c r="AB29" s="1167"/>
      <c r="AC29" s="1167"/>
      <c r="AD29" s="1167"/>
      <c r="AE29" s="1167"/>
      <c r="AF29" s="1167"/>
      <c r="AG29" s="1167"/>
      <c r="AH29" s="1453"/>
      <c r="AI29" s="1198"/>
      <c r="AJ29" s="1198"/>
      <c r="AK29" s="1198"/>
      <c r="AL29" s="1198"/>
      <c r="AM29" s="1198"/>
      <c r="AN29" s="1198"/>
      <c r="AO29" s="1198"/>
      <c r="AP29" s="1198"/>
      <c r="AQ29" s="1198"/>
      <c r="AR29" s="1198"/>
      <c r="AS29" s="1189"/>
      <c r="AT29" s="1482"/>
      <c r="AU29" s="1198"/>
      <c r="AV29" s="1198"/>
      <c r="AW29" s="1198"/>
      <c r="AX29" s="1198"/>
      <c r="AY29" s="1198"/>
      <c r="AZ29" s="1198"/>
      <c r="BA29" s="1198"/>
      <c r="BB29" s="1198"/>
      <c r="BC29" s="1198"/>
      <c r="BD29" s="1198"/>
      <c r="BE29" s="1198"/>
      <c r="BF29" s="1198"/>
      <c r="BG29" s="1198"/>
      <c r="BH29" s="1189"/>
      <c r="BI29" s="1189"/>
      <c r="BJ29" s="1189"/>
      <c r="BK29" s="1224"/>
      <c r="BL29" s="1217"/>
      <c r="BM29" s="1217"/>
      <c r="BN29" s="1218"/>
      <c r="BO29" s="1218"/>
      <c r="BP29" s="1218"/>
      <c r="BQ29" s="1189"/>
      <c r="BR29" s="1189"/>
      <c r="BS29" s="1198"/>
      <c r="BT29" s="1189"/>
      <c r="BU29" s="1666"/>
      <c r="BV29" s="1221"/>
      <c r="BW29" s="1221"/>
      <c r="BX29" s="1221"/>
      <c r="BY29" s="1221"/>
      <c r="BZ29" s="1221"/>
      <c r="CA29" s="1221"/>
      <c r="CB29" s="1221"/>
      <c r="CC29" s="1221"/>
      <c r="CD29" s="1221"/>
      <c r="CE29" s="1221"/>
      <c r="CF29" s="1221"/>
      <c r="CG29" s="1222"/>
      <c r="CH29" s="1189"/>
      <c r="CI29" s="1189"/>
      <c r="CJ29" s="1700"/>
      <c r="CK29" s="1652" t="str">
        <f aca="false">'P&amp;L'!A23</f>
        <v>Total Direct Cost of Revenue</v>
      </c>
      <c r="CL29" s="1667"/>
      <c r="CM29" s="1654"/>
      <c r="CN29" s="1217" t="n">
        <f aca="false">'3Y Tbls'!AL22</f>
        <v>6087649.67781669</v>
      </c>
      <c r="CO29" s="1217" t="n">
        <f aca="false">'3Y Tbls'!AM22</f>
        <v>31915417.3897659</v>
      </c>
      <c r="CP29" s="1218" t="n">
        <f aca="false">'3Y Tbls'!AN22</f>
        <v>81368910.4966181</v>
      </c>
      <c r="CQ29" s="1218" t="n">
        <f aca="false">'3Y Tbls'!AO22</f>
        <v>0</v>
      </c>
      <c r="CR29" s="1218" t="n">
        <f aca="false">'3Y Tbls'!AP22</f>
        <v>0</v>
      </c>
      <c r="CS29" s="1167"/>
      <c r="CT29" s="1167"/>
      <c r="CU29" s="1167"/>
      <c r="CV29" s="1702"/>
      <c r="CW29" s="1653" t="str">
        <f aca="false">CK29</f>
        <v>Total Direct Cost of Revenue</v>
      </c>
      <c r="CX29" s="1221" t="n">
        <f aca="false">'3Y Tbls'!AV22</f>
        <v>0</v>
      </c>
      <c r="CY29" s="1221" t="n">
        <f aca="false">'3Y Tbls'!AW22</f>
        <v>0</v>
      </c>
      <c r="CZ29" s="1221" t="n">
        <f aca="false">'3Y Tbls'!AX22</f>
        <v>695.983831428571</v>
      </c>
      <c r="DA29" s="1221" t="n">
        <f aca="false">'3Y Tbls'!AY22</f>
        <v>83392.4613399547</v>
      </c>
      <c r="DB29" s="1221" t="n">
        <f aca="false">'3Y Tbls'!AZ22</f>
        <v>166784.922679909</v>
      </c>
      <c r="DC29" s="1221" t="n">
        <f aca="false">'3Y Tbls'!BA22</f>
        <v>333569.845359819</v>
      </c>
      <c r="DD29" s="1221" t="n">
        <f aca="false">'3Y Tbls'!BB22</f>
        <v>500354.768039728</v>
      </c>
      <c r="DE29" s="1221" t="n">
        <f aca="false">'3Y Tbls'!BC22</f>
        <v>667139.690719637</v>
      </c>
      <c r="DF29" s="1221" t="n">
        <f aca="false">'3Y Tbls'!BD22</f>
        <v>833924.613399547</v>
      </c>
      <c r="DG29" s="1221" t="n">
        <f aca="false">'3Y Tbls'!BE22</f>
        <v>1000709.53607946</v>
      </c>
      <c r="DH29" s="1221" t="n">
        <f aca="false">'3Y Tbls'!BF22</f>
        <v>1167494.45875937</v>
      </c>
      <c r="DI29" s="1222" t="n">
        <f aca="false">'3Y Tbls'!BG22</f>
        <v>1334279.38143928</v>
      </c>
      <c r="DJ29" s="1167"/>
      <c r="DK29" s="1163"/>
      <c r="DL29" s="1252" t="str">
        <f aca="false">'Cash Flow'!A51</f>
        <v>Beginning Cash</v>
      </c>
      <c r="DM29" s="1685" t="n">
        <f aca="false">'Cash Flow'!BH51</f>
        <v>147819268.778245</v>
      </c>
      <c r="DN29" s="1685" t="n">
        <f aca="false">'Cash Flow'!BI51</f>
        <v>152405825.410999</v>
      </c>
      <c r="DO29" s="1685" t="n">
        <f aca="false">'Cash Flow'!BJ51</f>
        <v>0</v>
      </c>
      <c r="DP29" s="1374" t="n">
        <f aca="false">'Cash Flow'!BK51</f>
        <v>6344386.38122366</v>
      </c>
      <c r="DQ29" s="1374" t="n">
        <f aca="false">'Cash Flow'!BL51</f>
        <v>13935660.5086761</v>
      </c>
      <c r="DR29" s="1167"/>
      <c r="DS29" s="1167"/>
      <c r="DT29" s="1167"/>
      <c r="DU29" s="1157"/>
      <c r="DV29" s="1343" t="str">
        <f aca="false">DL29</f>
        <v>Beginning Cash</v>
      </c>
      <c r="DW29" s="1442" t="n">
        <f aca="false">'Cash Flow'!B51</f>
        <v>0</v>
      </c>
      <c r="DX29" s="1442" t="n">
        <f aca="false">'Cash Flow'!C51</f>
        <v>9994578.0003863</v>
      </c>
      <c r="DY29" s="1442" t="n">
        <f aca="false">'Cash Flow'!D51</f>
        <v>9598538.38475069</v>
      </c>
      <c r="DZ29" s="1442" t="n">
        <f aca="false">'Cash Flow'!E51</f>
        <v>9185561.36421327</v>
      </c>
      <c r="EA29" s="1442" t="n">
        <f aca="false">'Cash Flow'!F51</f>
        <v>8764811.18322942</v>
      </c>
      <c r="EB29" s="1442" t="n">
        <f aca="false">'Cash Flow'!G51</f>
        <v>8381318.22669959</v>
      </c>
      <c r="EC29" s="1442" t="n">
        <f aca="false">'Cash Flow'!H51</f>
        <v>8035430.23064539</v>
      </c>
      <c r="ED29" s="1442" t="n">
        <f aca="false">'Cash Flow'!I51</f>
        <v>7711016.57141172</v>
      </c>
      <c r="EE29" s="1442" t="n">
        <f aca="false">'Cash Flow'!J51</f>
        <v>7371571.85376486</v>
      </c>
      <c r="EF29" s="1442" t="n">
        <f aca="false">'Cash Flow'!K51</f>
        <v>7050502.8255245</v>
      </c>
      <c r="EG29" s="1442" t="n">
        <f aca="false">'Cash Flow'!L51</f>
        <v>6770955.57916217</v>
      </c>
      <c r="EH29" s="1370" t="n">
        <f aca="false">'Cash Flow'!M51</f>
        <v>6535843.4593412</v>
      </c>
      <c r="EI29" s="1167"/>
      <c r="EJ29" s="1157"/>
      <c r="EK29" s="1224" t="str">
        <f aca="false">EU29</f>
        <v>Earnings</v>
      </c>
      <c r="EL29" s="1217" t="n">
        <f aca="false">'Balance Sheet'!BJ29</f>
        <v>-3831207.37527624</v>
      </c>
      <c r="EM29" s="1217" t="n">
        <f aca="false">'Balance Sheet'!BK29</f>
        <v>8408716.91682543</v>
      </c>
      <c r="EN29" s="1218" t="n">
        <f aca="false">'Balance Sheet'!BL29</f>
        <v>42095422.6414667</v>
      </c>
      <c r="EO29" s="1218" t="n">
        <f aca="false">'Balance Sheet'!BM29</f>
        <v>48489992.1730687</v>
      </c>
      <c r="EP29" s="1218" t="n">
        <f aca="false">'Balance Sheet'!BN29</f>
        <v>54856792.4462355</v>
      </c>
      <c r="EQ29" s="1475"/>
      <c r="ER29" s="1475"/>
      <c r="ES29" s="1167"/>
      <c r="ET29" s="1157"/>
      <c r="EU29" s="1666" t="str">
        <f aca="false">'Balance Sheet'!A29</f>
        <v>Earnings</v>
      </c>
      <c r="EV29" s="1246" t="n">
        <f aca="false">'Balance Sheet'!B29</f>
        <v>-395805.9718</v>
      </c>
      <c r="EW29" s="1246" t="n">
        <f aca="false">'Balance Sheet'!C29</f>
        <v>-808667.9436</v>
      </c>
      <c r="EX29" s="1246" t="n">
        <f aca="false">'Balance Sheet'!D29</f>
        <v>-1229928.47323143</v>
      </c>
      <c r="EY29" s="1246" t="n">
        <f aca="false">'Balance Sheet'!E29</f>
        <v>-1613933.55158924</v>
      </c>
      <c r="EZ29" s="1246" t="n">
        <f aca="false">'Balance Sheet'!F29</f>
        <v>-1960553.73650486</v>
      </c>
      <c r="FA29" s="1246" t="n">
        <f aca="false">'Balance Sheet'!G29</f>
        <v>-2253724.13453611</v>
      </c>
      <c r="FB29" s="1246" t="n">
        <f aca="false">'Balance Sheet'!H29</f>
        <v>-2583226.34568298</v>
      </c>
      <c r="FC29" s="1246" t="n">
        <f aca="false">'Balance Sheet'!I29</f>
        <v>-2906610.03940064</v>
      </c>
      <c r="FD29" s="1246" t="n">
        <f aca="false">'Balance Sheet'!J29</f>
        <v>-3193191.47925125</v>
      </c>
      <c r="FE29" s="1246" t="n">
        <f aca="false">'Balance Sheet'!K29</f>
        <v>-3445744.94985351</v>
      </c>
      <c r="FF29" s="1246" t="n">
        <f aca="false">'Balance Sheet'!L29</f>
        <v>-3655576.36417759</v>
      </c>
      <c r="FG29" s="1247" t="n">
        <f aca="false">'Balance Sheet'!M29</f>
        <v>-3831207.37527624</v>
      </c>
      <c r="FH29" s="1167"/>
      <c r="FI29" s="1465"/>
      <c r="FJ29" s="1699"/>
      <c r="FK29" s="1699"/>
      <c r="FL29" s="1699"/>
      <c r="FM29" s="1699"/>
      <c r="FN29" s="1699"/>
      <c r="FO29" s="1167"/>
      <c r="FP29" s="1167"/>
      <c r="FQ29" s="1167"/>
      <c r="FR29" s="1167"/>
      <c r="FS29" s="1167"/>
      <c r="FT29" s="1167"/>
      <c r="FU29" s="1167"/>
      <c r="FV29" s="1167"/>
      <c r="FW29" s="1167"/>
      <c r="FX29" s="1167"/>
      <c r="FY29" s="1167"/>
      <c r="FZ29" s="1167"/>
      <c r="GA29" s="1163"/>
      <c r="GB29" s="1664" t="str">
        <f aca="false">Existing!A26</f>
        <v>Long-term Liabilities</v>
      </c>
      <c r="GC29" s="1217" t="n">
        <f aca="false">Existing!B26</f>
        <v>0</v>
      </c>
      <c r="GD29" s="1217" t="n">
        <f aca="false">Existing!C26</f>
        <v>0</v>
      </c>
      <c r="GE29" s="1218" t="n">
        <f aca="false">Existing!D26</f>
        <v>0</v>
      </c>
      <c r="GF29" s="1167"/>
      <c r="GG29" s="1453"/>
      <c r="GH29" s="1167"/>
      <c r="GI29" s="1167"/>
      <c r="GJ29" s="1167"/>
      <c r="GK29" s="1167"/>
      <c r="GL29" s="1167"/>
      <c r="GM29" s="1167"/>
      <c r="GN29" s="1167"/>
      <c r="GO29" s="1167"/>
      <c r="GP29" s="1167"/>
      <c r="GQ29" s="1167"/>
      <c r="GR29" s="1167"/>
      <c r="GS29" s="1167"/>
      <c r="GT29" s="1167"/>
      <c r="GU29" s="1167"/>
      <c r="GV29" s="1163"/>
      <c r="GW29" s="1224"/>
      <c r="GX29" s="1217"/>
      <c r="GY29" s="1217"/>
      <c r="GZ29" s="1218"/>
      <c r="HA29" s="1218"/>
      <c r="HB29" s="1218"/>
      <c r="HC29" s="1189"/>
      <c r="HD29" s="1189"/>
      <c r="HE29" s="1189"/>
      <c r="HF29" s="1189"/>
      <c r="HG29" s="1167"/>
      <c r="HH29" s="1167"/>
      <c r="HI29" s="1167"/>
      <c r="HJ29" s="1167"/>
      <c r="HK29" s="1167"/>
      <c r="HL29" s="1167"/>
      <c r="HM29" s="1167"/>
      <c r="HN29" s="1167"/>
      <c r="HO29" s="1167"/>
      <c r="HP29" s="1167"/>
      <c r="HQ29" s="1167"/>
      <c r="HR29" s="1167"/>
      <c r="HS29" s="1167"/>
      <c r="HT29" s="1167"/>
      <c r="HU29" s="1167"/>
      <c r="HV29" s="1167"/>
      <c r="HW29" s="1167"/>
      <c r="HX29" s="1167"/>
      <c r="HY29" s="1167"/>
      <c r="HZ29" s="1167"/>
      <c r="IA29" s="1167"/>
      <c r="IB29" s="1167"/>
      <c r="IC29" s="1167"/>
      <c r="ID29" s="1167"/>
      <c r="IE29" s="1167"/>
      <c r="IF29" s="1167"/>
    </row>
    <row r="30" customFormat="false" ht="12.75" hidden="false" customHeight="true" outlineLevel="0" collapsed="false">
      <c r="A30" s="1633"/>
      <c r="B30" s="1424" t="s">
        <v>1526</v>
      </c>
      <c r="C30" s="1425" t="n">
        <f aca="false">'Sources &amp; Uses'!B34+'Sources &amp; Uses'!B24</f>
        <v>33461850.4</v>
      </c>
      <c r="D30" s="1167"/>
      <c r="E30" s="1453"/>
      <c r="F30" s="1167"/>
      <c r="G30" s="1167"/>
      <c r="H30" s="1167"/>
      <c r="I30" s="1453"/>
      <c r="J30" s="1167"/>
      <c r="K30" s="1167"/>
      <c r="L30" s="1167"/>
      <c r="M30" s="1167"/>
      <c r="N30" s="1167"/>
      <c r="O30" s="1167"/>
      <c r="P30" s="1189"/>
      <c r="Q30" s="1189"/>
      <c r="R30" s="1189"/>
      <c r="S30" s="1453"/>
      <c r="T30" s="1167"/>
      <c r="U30" s="1167"/>
      <c r="V30" s="1167"/>
      <c r="W30" s="1167"/>
      <c r="X30" s="1167"/>
      <c r="Y30" s="1167"/>
      <c r="Z30" s="1167"/>
      <c r="AA30" s="1167"/>
      <c r="AB30" s="1167"/>
      <c r="AC30" s="1167"/>
      <c r="AD30" s="1167"/>
      <c r="AE30" s="1167"/>
      <c r="AF30" s="1167"/>
      <c r="AG30" s="1167"/>
      <c r="AH30" s="1453"/>
      <c r="AI30" s="1198"/>
      <c r="AJ30" s="1198"/>
      <c r="AK30" s="1198"/>
      <c r="AL30" s="1198"/>
      <c r="AM30" s="1198"/>
      <c r="AN30" s="1198"/>
      <c r="AO30" s="1198"/>
      <c r="AP30" s="1198"/>
      <c r="AQ30" s="1198"/>
      <c r="AR30" s="1198"/>
      <c r="AS30" s="1189"/>
      <c r="AT30" s="1482"/>
      <c r="AU30" s="1198"/>
      <c r="AV30" s="1198"/>
      <c r="AW30" s="1198"/>
      <c r="AX30" s="1198"/>
      <c r="AY30" s="1198"/>
      <c r="AZ30" s="1198"/>
      <c r="BA30" s="1198"/>
      <c r="BB30" s="1198"/>
      <c r="BC30" s="1198"/>
      <c r="BD30" s="1198"/>
      <c r="BE30" s="1198"/>
      <c r="BF30" s="1198"/>
      <c r="BG30" s="1198"/>
      <c r="BH30" s="1189"/>
      <c r="BI30" s="1189"/>
      <c r="BJ30" s="1189"/>
      <c r="BK30" s="1224"/>
      <c r="BL30" s="1217"/>
      <c r="BM30" s="1217"/>
      <c r="BN30" s="1218"/>
      <c r="BO30" s="1218"/>
      <c r="BP30" s="1218"/>
      <c r="BQ30" s="1189"/>
      <c r="BR30" s="1189"/>
      <c r="BS30" s="1198"/>
      <c r="BT30" s="1189"/>
      <c r="BU30" s="1666"/>
      <c r="BV30" s="1221"/>
      <c r="BW30" s="1221"/>
      <c r="BX30" s="1221"/>
      <c r="BY30" s="1221"/>
      <c r="BZ30" s="1221"/>
      <c r="CA30" s="1221"/>
      <c r="CB30" s="1221"/>
      <c r="CC30" s="1221"/>
      <c r="CD30" s="1221"/>
      <c r="CE30" s="1221"/>
      <c r="CF30" s="1221"/>
      <c r="CG30" s="1222"/>
      <c r="CH30" s="1189"/>
      <c r="CI30" s="1189"/>
      <c r="CJ30" s="1703"/>
      <c r="CK30" s="1652" t="str">
        <f aca="false">'P&amp;L'!A25</f>
        <v>Gross Margin</v>
      </c>
      <c r="CL30" s="1667"/>
      <c r="CM30" s="1654"/>
      <c r="CN30" s="1217"/>
      <c r="CO30" s="1217"/>
      <c r="CP30" s="1218"/>
      <c r="CQ30" s="1218"/>
      <c r="CR30" s="1218"/>
      <c r="CS30" s="1167"/>
      <c r="CT30" s="1167"/>
      <c r="CU30" s="1167"/>
      <c r="CV30" s="1702"/>
      <c r="CW30" s="1653" t="str">
        <f aca="false">CK30</f>
        <v>Gross Margin</v>
      </c>
      <c r="CX30" s="1221" t="n">
        <f aca="false">'P&amp;L'!B25</f>
        <v>0</v>
      </c>
      <c r="CY30" s="1221" t="n">
        <f aca="false">'P&amp;L'!C25</f>
        <v>0</v>
      </c>
      <c r="CZ30" s="1221" t="n">
        <f aca="false">'P&amp;L'!D25</f>
        <v>221.156168571428</v>
      </c>
      <c r="DA30" s="1221" t="n">
        <f aca="false">'P&amp;L'!E25</f>
        <v>50804.599529093</v>
      </c>
      <c r="DB30" s="1221" t="n">
        <f aca="false">'P&amp;L'!F25</f>
        <v>101609.199058186</v>
      </c>
      <c r="DC30" s="1221" t="n">
        <f aca="false">'P&amp;L'!G25</f>
        <v>203218.398116372</v>
      </c>
      <c r="DD30" s="1221" t="n">
        <f aca="false">'P&amp;L'!H25</f>
        <v>304827.597174558</v>
      </c>
      <c r="DE30" s="1221" t="n">
        <f aca="false">'P&amp;L'!I25</f>
        <v>406436.796232744</v>
      </c>
      <c r="DF30" s="1221" t="n">
        <f aca="false">'P&amp;L'!J25</f>
        <v>508045.99529093</v>
      </c>
      <c r="DG30" s="1221" t="n">
        <f aca="false">'P&amp;L'!K25</f>
        <v>609655.194349116</v>
      </c>
      <c r="DH30" s="1221" t="n">
        <f aca="false">'P&amp;L'!L25</f>
        <v>711264.393407302</v>
      </c>
      <c r="DI30" s="1222" t="n">
        <f aca="false">'P&amp;L'!M25</f>
        <v>812873.592465487</v>
      </c>
      <c r="DJ30" s="1167"/>
      <c r="DK30" s="1163"/>
      <c r="DL30" s="1312" t="str">
        <f aca="false">'Cash Flow'!A52</f>
        <v>Ending Cash</v>
      </c>
      <c r="DM30" s="1697" t="n">
        <f aca="false">'Cash Flow'!BH52</f>
        <v>152405825.410999</v>
      </c>
      <c r="DN30" s="1697" t="n">
        <f aca="false">'Cash Flow'!BI52</f>
        <v>156992240.958111</v>
      </c>
      <c r="DO30" s="1697" t="n">
        <f aca="false">'Cash Flow'!BJ52</f>
        <v>6344386.38122366</v>
      </c>
      <c r="DP30" s="1342" t="n">
        <f aca="false">'Cash Flow'!BK52</f>
        <v>13935660.5086761</v>
      </c>
      <c r="DQ30" s="1342" t="n">
        <f aca="false">'Cash Flow'!BL52</f>
        <v>54173400.9296542</v>
      </c>
      <c r="DR30" s="1167"/>
      <c r="DS30" s="1167"/>
      <c r="DT30" s="1167"/>
      <c r="DU30" s="1157"/>
      <c r="DV30" s="1704" t="str">
        <f aca="false">DL30</f>
        <v>Ending Cash</v>
      </c>
      <c r="DW30" s="1451" t="n">
        <f aca="false">'Cash Flow'!B52</f>
        <v>9994578.0003863</v>
      </c>
      <c r="DX30" s="1451" t="n">
        <f aca="false">'Cash Flow'!C52</f>
        <v>9598538.38475069</v>
      </c>
      <c r="DY30" s="1451" t="n">
        <f aca="false">'Cash Flow'!D52</f>
        <v>9185561.36421327</v>
      </c>
      <c r="DZ30" s="1451" t="n">
        <f aca="false">'Cash Flow'!E52</f>
        <v>8764811.18322942</v>
      </c>
      <c r="EA30" s="1451" t="n">
        <f aca="false">'Cash Flow'!F52</f>
        <v>8381318.22669959</v>
      </c>
      <c r="EB30" s="1451" t="n">
        <f aca="false">'Cash Flow'!G52</f>
        <v>8035430.23064539</v>
      </c>
      <c r="EC30" s="1451" t="n">
        <f aca="false">'Cash Flow'!H52</f>
        <v>7711016.57141172</v>
      </c>
      <c r="ED30" s="1451" t="n">
        <f aca="false">'Cash Flow'!I52</f>
        <v>7371571.85376486</v>
      </c>
      <c r="EE30" s="1451" t="n">
        <f aca="false">'Cash Flow'!J52</f>
        <v>7050502.8255245</v>
      </c>
      <c r="EF30" s="1451" t="n">
        <f aca="false">'Cash Flow'!K52</f>
        <v>6770955.57916217</v>
      </c>
      <c r="EG30" s="1451" t="n">
        <f aca="false">'Cash Flow'!L52</f>
        <v>6535843.4593412</v>
      </c>
      <c r="EH30" s="1705" t="n">
        <f aca="false">'Cash Flow'!M52</f>
        <v>6344386.38122366</v>
      </c>
      <c r="EI30" s="1167"/>
      <c r="EJ30" s="1157"/>
      <c r="EK30" s="1672" t="s">
        <v>1806</v>
      </c>
      <c r="EL30" s="1217" t="n">
        <f aca="false">'Balance Sheet'!BJ30</f>
        <v>6168792.62472376</v>
      </c>
      <c r="EM30" s="1217" t="n">
        <f aca="false">'Balance Sheet'!BK30</f>
        <v>14577509.5415492</v>
      </c>
      <c r="EN30" s="1218" t="n">
        <f aca="false">'Balance Sheet'!BL30</f>
        <v>56672932.1830159</v>
      </c>
      <c r="EO30" s="1218" t="n">
        <f aca="false">'Balance Sheet'!BM30</f>
        <v>105162924.356085</v>
      </c>
      <c r="EP30" s="1218" t="n">
        <f aca="false">'Balance Sheet'!BN30</f>
        <v>160019716.80232</v>
      </c>
      <c r="EQ30" s="1475"/>
      <c r="ER30" s="1475"/>
      <c r="ES30" s="1167"/>
      <c r="ET30" s="1157"/>
      <c r="EU30" s="1674" t="str">
        <f aca="false">'Balance Sheet'!A30</f>
        <v>Total Capital</v>
      </c>
      <c r="EV30" s="1246" t="n">
        <f aca="false">'Balance Sheet'!B30</f>
        <v>9604194.0282</v>
      </c>
      <c r="EW30" s="1246" t="n">
        <f aca="false">'Balance Sheet'!C30</f>
        <v>9191332.0564</v>
      </c>
      <c r="EX30" s="1246" t="n">
        <f aca="false">'Balance Sheet'!D30</f>
        <v>8770071.52676857</v>
      </c>
      <c r="EY30" s="1246" t="n">
        <f aca="false">'Balance Sheet'!E30</f>
        <v>8386066.44841076</v>
      </c>
      <c r="EZ30" s="1246" t="n">
        <f aca="false">'Balance Sheet'!F30</f>
        <v>8039446.26349514</v>
      </c>
      <c r="FA30" s="1246" t="n">
        <f aca="false">'Balance Sheet'!G30</f>
        <v>7746275.86546389</v>
      </c>
      <c r="FB30" s="1246" t="n">
        <f aca="false">'Balance Sheet'!H30</f>
        <v>7416773.65431702</v>
      </c>
      <c r="FC30" s="1246" t="n">
        <f aca="false">'Balance Sheet'!I30</f>
        <v>7093389.96059936</v>
      </c>
      <c r="FD30" s="1246" t="n">
        <f aca="false">'Balance Sheet'!J30</f>
        <v>6806808.52074875</v>
      </c>
      <c r="FE30" s="1246" t="n">
        <f aca="false">'Balance Sheet'!K30</f>
        <v>6554255.05014649</v>
      </c>
      <c r="FF30" s="1246" t="n">
        <f aca="false">'Balance Sheet'!L30</f>
        <v>6344423.63582241</v>
      </c>
      <c r="FG30" s="1247" t="n">
        <f aca="false">'Balance Sheet'!M30</f>
        <v>6168792.62472376</v>
      </c>
      <c r="FH30" s="1167"/>
      <c r="FI30" s="1465"/>
      <c r="FJ30" s="1699"/>
      <c r="FK30" s="1699"/>
      <c r="FL30" s="1699"/>
      <c r="FM30" s="1699"/>
      <c r="FN30" s="1699"/>
      <c r="FO30" s="1167"/>
      <c r="FP30" s="1167"/>
      <c r="FQ30" s="1167"/>
      <c r="FR30" s="1167"/>
      <c r="FS30" s="1167"/>
      <c r="FT30" s="1167"/>
      <c r="FU30" s="1167"/>
      <c r="FV30" s="1167"/>
      <c r="FW30" s="1167"/>
      <c r="FX30" s="1167"/>
      <c r="FY30" s="1167"/>
      <c r="FZ30" s="1167"/>
      <c r="GA30" s="1163"/>
      <c r="GB30" s="1664" t="s">
        <v>1805</v>
      </c>
      <c r="GC30" s="1217" t="n">
        <f aca="false">GC29+GC27</f>
        <v>0</v>
      </c>
      <c r="GD30" s="1217" t="n">
        <f aca="false">GD29+GD27</f>
        <v>0</v>
      </c>
      <c r="GE30" s="1218" t="n">
        <f aca="false">GE29+GE27</f>
        <v>0</v>
      </c>
      <c r="GF30" s="1167"/>
      <c r="GG30" s="1453"/>
      <c r="GH30" s="1167"/>
      <c r="GI30" s="1167"/>
      <c r="GJ30" s="1167"/>
      <c r="GK30" s="1167"/>
      <c r="GL30" s="1167"/>
      <c r="GM30" s="1167"/>
      <c r="GN30" s="1167"/>
      <c r="GO30" s="1167"/>
      <c r="GP30" s="1167"/>
      <c r="GQ30" s="1167"/>
      <c r="GR30" s="1167"/>
      <c r="GS30" s="1167"/>
      <c r="GT30" s="1167"/>
      <c r="GU30" s="1167"/>
      <c r="GV30" s="1163"/>
      <c r="GW30" s="1224"/>
      <c r="GX30" s="1217"/>
      <c r="GY30" s="1217"/>
      <c r="GZ30" s="1218"/>
      <c r="HA30" s="1218"/>
      <c r="HB30" s="1218"/>
      <c r="HC30" s="1189"/>
      <c r="HD30" s="1189"/>
      <c r="HE30" s="1189"/>
      <c r="HF30" s="1189"/>
      <c r="HG30" s="1167"/>
      <c r="HH30" s="1167"/>
      <c r="HI30" s="1167"/>
      <c r="HJ30" s="1167"/>
      <c r="HK30" s="1167"/>
      <c r="HL30" s="1167"/>
      <c r="HM30" s="1167"/>
      <c r="HN30" s="1167"/>
      <c r="HO30" s="1167"/>
      <c r="HP30" s="1167"/>
      <c r="HQ30" s="1167"/>
      <c r="HR30" s="1167"/>
      <c r="HS30" s="1167"/>
      <c r="HT30" s="1167"/>
      <c r="HU30" s="1167"/>
      <c r="HV30" s="1167"/>
      <c r="HW30" s="1167"/>
      <c r="HX30" s="1167"/>
      <c r="HY30" s="1167"/>
      <c r="HZ30" s="1167"/>
      <c r="IA30" s="1167"/>
      <c r="IB30" s="1167"/>
      <c r="IC30" s="1167"/>
      <c r="ID30" s="1167"/>
      <c r="IE30" s="1167"/>
      <c r="IF30" s="1167"/>
    </row>
    <row r="31" customFormat="false" ht="12.75" hidden="false" customHeight="true" outlineLevel="0" collapsed="false">
      <c r="A31" s="1453"/>
      <c r="B31" s="1167"/>
      <c r="C31" s="1167"/>
      <c r="D31" s="1167"/>
      <c r="E31" s="1453"/>
      <c r="F31" s="1167"/>
      <c r="G31" s="1167"/>
      <c r="H31" s="1167"/>
      <c r="I31" s="1453"/>
      <c r="J31" s="1167"/>
      <c r="K31" s="1167"/>
      <c r="L31" s="1167"/>
      <c r="M31" s="1167"/>
      <c r="N31" s="1167"/>
      <c r="O31" s="1167"/>
      <c r="P31" s="1189"/>
      <c r="Q31" s="1189"/>
      <c r="R31" s="1189"/>
      <c r="S31" s="1453"/>
      <c r="T31" s="1167"/>
      <c r="U31" s="1167"/>
      <c r="V31" s="1167"/>
      <c r="W31" s="1167"/>
      <c r="X31" s="1167"/>
      <c r="Y31" s="1167"/>
      <c r="Z31" s="1167"/>
      <c r="AA31" s="1167"/>
      <c r="AB31" s="1167"/>
      <c r="AC31" s="1167"/>
      <c r="AD31" s="1167"/>
      <c r="AE31" s="1167"/>
      <c r="AF31" s="1167"/>
      <c r="AG31" s="1167"/>
      <c r="AH31" s="1453"/>
      <c r="AI31" s="1198"/>
      <c r="AJ31" s="1198"/>
      <c r="AK31" s="1198"/>
      <c r="AL31" s="1198"/>
      <c r="AM31" s="1198"/>
      <c r="AN31" s="1198"/>
      <c r="AO31" s="1198"/>
      <c r="AP31" s="1198"/>
      <c r="AQ31" s="1198"/>
      <c r="AR31" s="1198"/>
      <c r="AS31" s="1189"/>
      <c r="AT31" s="1482"/>
      <c r="AU31" s="1198"/>
      <c r="AV31" s="1198"/>
      <c r="AW31" s="1198"/>
      <c r="AX31" s="1198"/>
      <c r="AY31" s="1198"/>
      <c r="AZ31" s="1198"/>
      <c r="BA31" s="1198"/>
      <c r="BB31" s="1198"/>
      <c r="BC31" s="1198"/>
      <c r="BD31" s="1198"/>
      <c r="BE31" s="1198"/>
      <c r="BF31" s="1198"/>
      <c r="BG31" s="1198"/>
      <c r="BH31" s="1189"/>
      <c r="BI31" s="1189"/>
      <c r="BJ31" s="1189"/>
      <c r="BK31" s="1224"/>
      <c r="BL31" s="1217"/>
      <c r="BM31" s="1217"/>
      <c r="BN31" s="1218"/>
      <c r="BO31" s="1218"/>
      <c r="BP31" s="1218"/>
      <c r="BQ31" s="1189"/>
      <c r="BR31" s="1189"/>
      <c r="BS31" s="1198"/>
      <c r="BT31" s="1189"/>
      <c r="BU31" s="1666"/>
      <c r="BV31" s="1221"/>
      <c r="BW31" s="1221"/>
      <c r="BX31" s="1221"/>
      <c r="BY31" s="1221"/>
      <c r="BZ31" s="1221"/>
      <c r="CA31" s="1221"/>
      <c r="CB31" s="1221"/>
      <c r="CC31" s="1221"/>
      <c r="CD31" s="1221"/>
      <c r="CE31" s="1221"/>
      <c r="CF31" s="1221"/>
      <c r="CG31" s="1222"/>
      <c r="CH31" s="1189"/>
      <c r="CI31" s="1189"/>
      <c r="CJ31" s="1700"/>
      <c r="CK31" s="1652" t="str">
        <f aca="false">'P&amp;L'!A26</f>
        <v>Gross Margin/Revenue</v>
      </c>
      <c r="CL31" s="1667"/>
      <c r="CM31" s="1667"/>
      <c r="CN31" s="1217"/>
      <c r="CO31" s="1217"/>
      <c r="CP31" s="1218"/>
      <c r="CQ31" s="1218"/>
      <c r="CR31" s="1218"/>
      <c r="CS31" s="1189"/>
      <c r="CT31" s="1189"/>
      <c r="CU31" s="1167"/>
      <c r="CV31" s="1702"/>
      <c r="CW31" s="1653" t="str">
        <f aca="false">CK31</f>
        <v>Gross Margin/Revenue</v>
      </c>
      <c r="CX31" s="1221" t="str">
        <f aca="false">IF(CX2=0,"N/A",1-CX29/CX2)</f>
        <v>N/A</v>
      </c>
      <c r="CY31" s="1221" t="str">
        <f aca="false">IF(CY2=0,"N/A",1-CY29/CY2)</f>
        <v>N/A</v>
      </c>
      <c r="CZ31" s="1221" t="n">
        <f aca="false">IF(CZ2=0,"N/A",1-CZ29/CZ2)</f>
        <v>0.241136760550656</v>
      </c>
      <c r="DA31" s="1221" t="n">
        <f aca="false">IF(DA2=0,"N/A",1-DA29/DA2)</f>
        <v>0.378582058355728</v>
      </c>
      <c r="DB31" s="1221" t="n">
        <f aca="false">IF(DB2=0,"N/A",1-DB29/DB2)</f>
        <v>0.378582058355728</v>
      </c>
      <c r="DC31" s="1221" t="n">
        <f aca="false">IF(DC2=0,"N/A",1-DC29/DC2)</f>
        <v>0.378582058355728</v>
      </c>
      <c r="DD31" s="1221" t="n">
        <f aca="false">IF(DD2=0,"N/A",1-DD29/DD2)</f>
        <v>0.378582058355728</v>
      </c>
      <c r="DE31" s="1221" t="n">
        <f aca="false">IF(DE2=0,"N/A",1-DE29/DE2)</f>
        <v>0.378582058355728</v>
      </c>
      <c r="DF31" s="1221" t="n">
        <f aca="false">IF(DF2=0,"N/A",1-DF29/DF2)</f>
        <v>0.378582058355728</v>
      </c>
      <c r="DG31" s="1221" t="n">
        <f aca="false">IF(DG2=0,"N/A",1-DG29/DG2)</f>
        <v>0.378582058355728</v>
      </c>
      <c r="DH31" s="1221" t="n">
        <f aca="false">IF(DH2=0,"N/A",1-DH29/DH2)</f>
        <v>0.378582058355728</v>
      </c>
      <c r="DI31" s="1222" t="n">
        <f aca="false">IF(DI2=0,"N/A",1-DI29/DI2)</f>
        <v>0.378582058355728</v>
      </c>
      <c r="DJ31" s="1167"/>
      <c r="DK31" s="1167"/>
      <c r="DL31" s="1167"/>
      <c r="DM31" s="1167"/>
      <c r="DN31" s="1167"/>
      <c r="DO31" s="1167"/>
      <c r="DP31" s="1167"/>
      <c r="DQ31" s="1167"/>
      <c r="DR31" s="1167"/>
      <c r="DS31" s="1167"/>
      <c r="DT31" s="1167"/>
      <c r="DU31" s="1453"/>
      <c r="DV31" s="1167"/>
      <c r="DW31" s="1167"/>
      <c r="DX31" s="1167"/>
      <c r="DY31" s="1167"/>
      <c r="DZ31" s="1167"/>
      <c r="EA31" s="1167"/>
      <c r="EB31" s="1167"/>
      <c r="EC31" s="1167"/>
      <c r="ED31" s="1167"/>
      <c r="EE31" s="1167"/>
      <c r="EF31" s="1167"/>
      <c r="EG31" s="1167"/>
      <c r="EH31" s="1167"/>
      <c r="EI31" s="1167"/>
      <c r="EJ31" s="1157"/>
      <c r="EK31" s="1693" t="s">
        <v>1807</v>
      </c>
      <c r="EL31" s="1277" t="n">
        <f aca="false">'Balance Sheet'!BJ31</f>
        <v>27983681.0756914</v>
      </c>
      <c r="EM31" s="1277" t="n">
        <f aca="false">'Balance Sheet'!BK31</f>
        <v>41614784.1368189</v>
      </c>
      <c r="EN31" s="1278" t="n">
        <f aca="false">'Balance Sheet'!BL31</f>
        <v>86048055.6206542</v>
      </c>
      <c r="EO31" s="1278" t="n">
        <f aca="false">'Balance Sheet'!BM31</f>
        <v>133133946.564165</v>
      </c>
      <c r="EP31" s="1278" t="n">
        <f aca="false">'Balance Sheet'!BN31</f>
        <v>186464126.205111</v>
      </c>
      <c r="EQ31" s="1475"/>
      <c r="ER31" s="1475"/>
      <c r="ES31" s="1167"/>
      <c r="ET31" s="1157"/>
      <c r="EU31" s="1688" t="str">
        <f aca="false">'Balance Sheet'!A31</f>
        <v>Total Liabilities and Capital</v>
      </c>
      <c r="EV31" s="1297" t="n">
        <f aca="false">'Balance Sheet'!B31</f>
        <v>9994578.0003863</v>
      </c>
      <c r="EW31" s="1297" t="n">
        <f aca="false">'Balance Sheet'!C31</f>
        <v>9598538.38475069</v>
      </c>
      <c r="EX31" s="1297" t="n">
        <f aca="false">'Balance Sheet'!D31</f>
        <v>9186465.94065162</v>
      </c>
      <c r="EY31" s="1297" t="n">
        <f aca="false">'Balance Sheet'!E31</f>
        <v>8897169.92819616</v>
      </c>
      <c r="EZ31" s="1297" t="n">
        <f aca="false">'Balance Sheet'!F31</f>
        <v>8646035.71663305</v>
      </c>
      <c r="FA31" s="1297" t="n">
        <f aca="false">'Balance Sheet'!G31</f>
        <v>8564865.21051232</v>
      </c>
      <c r="FB31" s="1297" t="n">
        <f aca="false">'Balance Sheet'!H31</f>
        <v>13597000.5412121</v>
      </c>
      <c r="FC31" s="1297" t="n">
        <f aca="false">'Balance Sheet'!I31</f>
        <v>17011399.4584987</v>
      </c>
      <c r="FD31" s="1297" t="n">
        <f aca="false">'Balance Sheet'!J31</f>
        <v>19726206.4401918</v>
      </c>
      <c r="FE31" s="1297" t="n">
        <f aca="false">'Balance Sheet'!K31</f>
        <v>22671582.538763</v>
      </c>
      <c r="FF31" s="1297" t="n">
        <f aca="false">'Balance Sheet'!L31</f>
        <v>24996211.8188754</v>
      </c>
      <c r="FG31" s="1298" t="n">
        <f aca="false">'Balance Sheet'!M31</f>
        <v>27983681.0756914</v>
      </c>
      <c r="FH31" s="1167"/>
      <c r="FI31" s="1465"/>
      <c r="FJ31" s="1699"/>
      <c r="FK31" s="1699"/>
      <c r="FL31" s="1699"/>
      <c r="FM31" s="1699"/>
      <c r="FN31" s="1699"/>
      <c r="FO31" s="1167"/>
      <c r="FP31" s="1167"/>
      <c r="FQ31" s="1167"/>
      <c r="FR31" s="1167"/>
      <c r="FS31" s="1167"/>
      <c r="FT31" s="1167"/>
      <c r="FU31" s="1167"/>
      <c r="FV31" s="1167"/>
      <c r="FW31" s="1167"/>
      <c r="FX31" s="1167"/>
      <c r="FY31" s="1167"/>
      <c r="FZ31" s="1167"/>
      <c r="GA31" s="1163"/>
      <c r="GB31" s="1664"/>
      <c r="GC31" s="1217"/>
      <c r="GD31" s="1217"/>
      <c r="GE31" s="1218"/>
      <c r="GF31" s="1167"/>
      <c r="GG31" s="1453"/>
      <c r="GH31" s="1167"/>
      <c r="GI31" s="1167"/>
      <c r="GJ31" s="1167"/>
      <c r="GK31" s="1167"/>
      <c r="GL31" s="1167"/>
      <c r="GM31" s="1167"/>
      <c r="GN31" s="1167"/>
      <c r="GO31" s="1167"/>
      <c r="GP31" s="1167"/>
      <c r="GQ31" s="1167"/>
      <c r="GR31" s="1167"/>
      <c r="GS31" s="1167"/>
      <c r="GT31" s="1167"/>
      <c r="GU31" s="1167"/>
      <c r="GV31" s="1163"/>
      <c r="GW31" s="1265"/>
      <c r="GX31" s="1373"/>
      <c r="GY31" s="1373"/>
      <c r="GZ31" s="1374"/>
      <c r="HA31" s="1374"/>
      <c r="HB31" s="1374"/>
      <c r="HC31" s="1150"/>
      <c r="HD31" s="1150"/>
      <c r="HE31" s="1373"/>
      <c r="HF31" s="1150"/>
      <c r="HG31" s="1167"/>
      <c r="HH31" s="1167"/>
      <c r="HI31" s="1167"/>
      <c r="HJ31" s="1167"/>
      <c r="HK31" s="1167"/>
      <c r="HL31" s="1167"/>
      <c r="HM31" s="1167"/>
      <c r="HN31" s="1167"/>
      <c r="HO31" s="1167"/>
      <c r="HP31" s="1167"/>
      <c r="HQ31" s="1167"/>
      <c r="HR31" s="1167"/>
      <c r="HS31" s="1167"/>
      <c r="HT31" s="1167"/>
      <c r="HU31" s="1167"/>
      <c r="HV31" s="1167"/>
      <c r="HW31" s="1167"/>
      <c r="HX31" s="1167"/>
      <c r="HY31" s="1167"/>
      <c r="HZ31" s="1167"/>
      <c r="IA31" s="1167"/>
      <c r="IB31" s="1167"/>
      <c r="IC31" s="1167"/>
      <c r="ID31" s="1167"/>
      <c r="IE31" s="1167"/>
      <c r="IF31" s="1167"/>
    </row>
    <row r="32" customFormat="false" ht="12.75" hidden="false" customHeight="true" outlineLevel="0" collapsed="false">
      <c r="A32" s="1453"/>
      <c r="B32" s="1167"/>
      <c r="C32" s="1167"/>
      <c r="D32" s="1167"/>
      <c r="E32" s="1453"/>
      <c r="F32" s="1167"/>
      <c r="G32" s="1167"/>
      <c r="H32" s="1167"/>
      <c r="I32" s="1453"/>
      <c r="J32" s="1167"/>
      <c r="K32" s="1167"/>
      <c r="L32" s="1167"/>
      <c r="M32" s="1167"/>
      <c r="N32" s="1167"/>
      <c r="O32" s="1167"/>
      <c r="P32" s="1189"/>
      <c r="Q32" s="1189"/>
      <c r="R32" s="1189"/>
      <c r="S32" s="1453"/>
      <c r="T32" s="1167"/>
      <c r="U32" s="1167"/>
      <c r="V32" s="1167"/>
      <c r="W32" s="1167"/>
      <c r="X32" s="1167"/>
      <c r="Y32" s="1167"/>
      <c r="Z32" s="1167"/>
      <c r="AA32" s="1167"/>
      <c r="AB32" s="1167"/>
      <c r="AC32" s="1167"/>
      <c r="AD32" s="1167"/>
      <c r="AE32" s="1167"/>
      <c r="AF32" s="1167"/>
      <c r="AG32" s="1167"/>
      <c r="AH32" s="1453"/>
      <c r="AI32" s="1198"/>
      <c r="AJ32" s="1198"/>
      <c r="AK32" s="1198"/>
      <c r="AL32" s="1198"/>
      <c r="AM32" s="1198"/>
      <c r="AN32" s="1198"/>
      <c r="AO32" s="1198"/>
      <c r="AP32" s="1198"/>
      <c r="AQ32" s="1198"/>
      <c r="AR32" s="1198"/>
      <c r="AS32" s="1189"/>
      <c r="AT32" s="1482"/>
      <c r="AU32" s="1198"/>
      <c r="AV32" s="1198"/>
      <c r="AW32" s="1198"/>
      <c r="AX32" s="1198"/>
      <c r="AY32" s="1198"/>
      <c r="AZ32" s="1198"/>
      <c r="BA32" s="1198"/>
      <c r="BB32" s="1198"/>
      <c r="BC32" s="1198"/>
      <c r="BD32" s="1198"/>
      <c r="BE32" s="1198"/>
      <c r="BF32" s="1198"/>
      <c r="BG32" s="1198"/>
      <c r="BH32" s="1189"/>
      <c r="BI32" s="1189"/>
      <c r="BJ32" s="1189"/>
      <c r="BK32" s="1224"/>
      <c r="BL32" s="1217"/>
      <c r="BM32" s="1217"/>
      <c r="BN32" s="1218"/>
      <c r="BO32" s="1218"/>
      <c r="BP32" s="1218"/>
      <c r="BQ32" s="1189"/>
      <c r="BR32" s="1189"/>
      <c r="BS32" s="1198"/>
      <c r="BT32" s="1189"/>
      <c r="BU32" s="1666"/>
      <c r="BV32" s="1221"/>
      <c r="BW32" s="1221"/>
      <c r="BX32" s="1221"/>
      <c r="BY32" s="1221"/>
      <c r="BZ32" s="1221"/>
      <c r="CA32" s="1221"/>
      <c r="CB32" s="1221"/>
      <c r="CC32" s="1221"/>
      <c r="CD32" s="1221"/>
      <c r="CE32" s="1221"/>
      <c r="CF32" s="1221"/>
      <c r="CG32" s="1222"/>
      <c r="CH32" s="1189"/>
      <c r="CI32" s="1189"/>
      <c r="CJ32" s="1453"/>
      <c r="CK32" s="1167"/>
      <c r="CL32" s="1167"/>
      <c r="CM32" s="1167"/>
      <c r="CN32" s="1167"/>
      <c r="CO32" s="1167"/>
      <c r="CP32" s="1167"/>
      <c r="CQ32" s="1167"/>
      <c r="CR32" s="1167"/>
      <c r="CS32" s="1189"/>
      <c r="CT32" s="1189"/>
      <c r="CU32" s="1167"/>
      <c r="CV32" s="1453"/>
      <c r="CW32" s="1167"/>
      <c r="CX32" s="1167"/>
      <c r="CY32" s="1167"/>
      <c r="CZ32" s="1167"/>
      <c r="DA32" s="1167"/>
      <c r="DB32" s="1167"/>
      <c r="DC32" s="1167"/>
      <c r="DD32" s="1167"/>
      <c r="DE32" s="1167"/>
      <c r="DF32" s="1167"/>
      <c r="DG32" s="1167"/>
      <c r="DH32" s="1167"/>
      <c r="DI32" s="1167"/>
      <c r="DJ32" s="1167"/>
      <c r="DK32" s="1167"/>
      <c r="DL32" s="1167"/>
      <c r="DM32" s="1167"/>
      <c r="DN32" s="1167"/>
      <c r="DO32" s="1167"/>
      <c r="DP32" s="1167"/>
      <c r="DQ32" s="1167"/>
      <c r="DR32" s="1167"/>
      <c r="DS32" s="1167"/>
      <c r="DT32" s="1167"/>
      <c r="DU32" s="1453"/>
      <c r="DV32" s="1167"/>
      <c r="DW32" s="1167"/>
      <c r="DX32" s="1167"/>
      <c r="DY32" s="1167"/>
      <c r="DZ32" s="1167"/>
      <c r="EA32" s="1167"/>
      <c r="EB32" s="1167"/>
      <c r="EC32" s="1167"/>
      <c r="ED32" s="1167"/>
      <c r="EE32" s="1167"/>
      <c r="EF32" s="1167"/>
      <c r="EG32" s="1167"/>
      <c r="EH32" s="1167"/>
      <c r="EI32" s="1167"/>
      <c r="EJ32" s="1453"/>
      <c r="EK32" s="1167"/>
      <c r="EL32" s="1475"/>
      <c r="EM32" s="1475"/>
      <c r="EN32" s="1475"/>
      <c r="EO32" s="1475"/>
      <c r="EP32" s="1475"/>
      <c r="EQ32" s="1475"/>
      <c r="ER32" s="1475"/>
      <c r="ES32" s="1167"/>
      <c r="ET32" s="1453"/>
      <c r="EU32" s="1517"/>
      <c r="EV32" s="1262"/>
      <c r="EW32" s="1262"/>
      <c r="EX32" s="1262"/>
      <c r="EY32" s="1262"/>
      <c r="EZ32" s="1262"/>
      <c r="FA32" s="1262"/>
      <c r="FB32" s="1262"/>
      <c r="FC32" s="1262"/>
      <c r="FD32" s="1262"/>
      <c r="FE32" s="1262"/>
      <c r="FF32" s="1262"/>
      <c r="FG32" s="1262"/>
      <c r="FH32" s="1167"/>
      <c r="FI32" s="1465"/>
      <c r="FJ32" s="1699"/>
      <c r="FK32" s="1699"/>
      <c r="FL32" s="1699"/>
      <c r="FM32" s="1699"/>
      <c r="FN32" s="1699"/>
      <c r="FO32" s="1167"/>
      <c r="FP32" s="1167"/>
      <c r="FQ32" s="1167"/>
      <c r="FR32" s="1167"/>
      <c r="FS32" s="1167"/>
      <c r="FT32" s="1167"/>
      <c r="FU32" s="1167"/>
      <c r="FV32" s="1167"/>
      <c r="FW32" s="1167"/>
      <c r="FX32" s="1167"/>
      <c r="FY32" s="1167"/>
      <c r="FZ32" s="1167"/>
      <c r="GA32" s="1163"/>
      <c r="GB32" s="1224" t="str">
        <f aca="false">Existing!A28</f>
        <v>Paid-in Capital</v>
      </c>
      <c r="GC32" s="1217" t="n">
        <f aca="false">Existing!B28</f>
        <v>0</v>
      </c>
      <c r="GD32" s="1217" t="n">
        <f aca="false">Existing!C28</f>
        <v>0</v>
      </c>
      <c r="GE32" s="1218" t="n">
        <f aca="false">Existing!D28</f>
        <v>0</v>
      </c>
      <c r="GF32" s="1167"/>
      <c r="GG32" s="1453"/>
      <c r="GH32" s="1167"/>
      <c r="GI32" s="1167"/>
      <c r="GJ32" s="1167"/>
      <c r="GK32" s="1167"/>
      <c r="GL32" s="1167"/>
      <c r="GM32" s="1167"/>
      <c r="GN32" s="1167"/>
      <c r="GO32" s="1167"/>
      <c r="GP32" s="1167"/>
      <c r="GQ32" s="1167"/>
      <c r="GR32" s="1167"/>
      <c r="GS32" s="1167"/>
      <c r="GT32" s="1167"/>
      <c r="GU32" s="1167"/>
      <c r="GV32" s="1163"/>
      <c r="GW32" s="1224"/>
      <c r="GX32" s="1217"/>
      <c r="GY32" s="1217"/>
      <c r="GZ32" s="1218"/>
      <c r="HA32" s="1218"/>
      <c r="HB32" s="1218"/>
      <c r="HC32" s="1189"/>
      <c r="HD32" s="1189"/>
      <c r="HE32" s="1189"/>
      <c r="HF32" s="1189"/>
      <c r="HG32" s="1167"/>
      <c r="HH32" s="1167"/>
      <c r="HI32" s="1167"/>
      <c r="HJ32" s="1167"/>
      <c r="HK32" s="1167"/>
      <c r="HL32" s="1167"/>
      <c r="HM32" s="1167"/>
      <c r="HN32" s="1167"/>
      <c r="HO32" s="1167"/>
      <c r="HP32" s="1167"/>
      <c r="HQ32" s="1167"/>
      <c r="HR32" s="1167"/>
      <c r="HS32" s="1167"/>
      <c r="HT32" s="1167"/>
      <c r="HU32" s="1167"/>
      <c r="HV32" s="1167"/>
      <c r="HW32" s="1167"/>
      <c r="HX32" s="1167"/>
      <c r="HY32" s="1167"/>
      <c r="HZ32" s="1167"/>
      <c r="IA32" s="1167"/>
      <c r="IB32" s="1167"/>
      <c r="IC32" s="1167"/>
      <c r="ID32" s="1167"/>
      <c r="IE32" s="1167"/>
      <c r="IF32" s="1167"/>
    </row>
    <row r="33" customFormat="false" ht="12.75" hidden="false" customHeight="true" outlineLevel="0" collapsed="false">
      <c r="A33" s="1453"/>
      <c r="B33" s="1167"/>
      <c r="C33" s="1167"/>
      <c r="D33" s="1167"/>
      <c r="E33" s="1453"/>
      <c r="F33" s="1167"/>
      <c r="G33" s="1167"/>
      <c r="H33" s="1167"/>
      <c r="I33" s="1453"/>
      <c r="J33" s="1167"/>
      <c r="K33" s="1167"/>
      <c r="L33" s="1167"/>
      <c r="M33" s="1167"/>
      <c r="N33" s="1167"/>
      <c r="O33" s="1167"/>
      <c r="P33" s="1189"/>
      <c r="Q33" s="1189"/>
      <c r="R33" s="1189"/>
      <c r="S33" s="1453"/>
      <c r="T33" s="1167"/>
      <c r="U33" s="1167"/>
      <c r="V33" s="1167"/>
      <c r="W33" s="1167"/>
      <c r="X33" s="1167"/>
      <c r="Y33" s="1167"/>
      <c r="Z33" s="1167"/>
      <c r="AA33" s="1167"/>
      <c r="AB33" s="1167"/>
      <c r="AC33" s="1167"/>
      <c r="AD33" s="1167"/>
      <c r="AE33" s="1167"/>
      <c r="AF33" s="1167"/>
      <c r="AG33" s="1167"/>
      <c r="AH33" s="1453"/>
      <c r="AI33" s="1198"/>
      <c r="AJ33" s="1198"/>
      <c r="AK33" s="1198"/>
      <c r="AL33" s="1198"/>
      <c r="AM33" s="1198"/>
      <c r="AN33" s="1198"/>
      <c r="AO33" s="1198"/>
      <c r="AP33" s="1198"/>
      <c r="AQ33" s="1198"/>
      <c r="AR33" s="1198"/>
      <c r="AS33" s="1150"/>
      <c r="AT33" s="1486"/>
      <c r="AU33" s="1198"/>
      <c r="AV33" s="1198"/>
      <c r="AW33" s="1198"/>
      <c r="AX33" s="1198"/>
      <c r="AY33" s="1198"/>
      <c r="AZ33" s="1198"/>
      <c r="BA33" s="1198"/>
      <c r="BB33" s="1198"/>
      <c r="BC33" s="1198"/>
      <c r="BD33" s="1198"/>
      <c r="BE33" s="1198"/>
      <c r="BF33" s="1198"/>
      <c r="BG33" s="1198"/>
      <c r="BH33" s="1189"/>
      <c r="BI33" s="1189"/>
      <c r="BJ33" s="1189"/>
      <c r="BK33" s="1224"/>
      <c r="BL33" s="1217"/>
      <c r="BM33" s="1217"/>
      <c r="BN33" s="1218"/>
      <c r="BO33" s="1218"/>
      <c r="BP33" s="1218"/>
      <c r="BQ33" s="1189"/>
      <c r="BR33" s="1189"/>
      <c r="BS33" s="1198"/>
      <c r="BT33" s="1189"/>
      <c r="BU33" s="1666"/>
      <c r="BV33" s="1221"/>
      <c r="BW33" s="1221"/>
      <c r="BX33" s="1221"/>
      <c r="BY33" s="1221"/>
      <c r="BZ33" s="1221"/>
      <c r="CA33" s="1221"/>
      <c r="CB33" s="1221"/>
      <c r="CC33" s="1221"/>
      <c r="CD33" s="1221"/>
      <c r="CE33" s="1221"/>
      <c r="CF33" s="1221"/>
      <c r="CG33" s="1222"/>
      <c r="CH33" s="1189"/>
      <c r="CI33" s="1189"/>
      <c r="CJ33" s="1453"/>
      <c r="CK33" s="1167"/>
      <c r="CL33" s="1167"/>
      <c r="CM33" s="1167"/>
      <c r="CN33" s="1167"/>
      <c r="CO33" s="1167"/>
      <c r="CP33" s="1167"/>
      <c r="CQ33" s="1167"/>
      <c r="CR33" s="1167"/>
      <c r="CS33" s="1189"/>
      <c r="CT33" s="1189"/>
      <c r="CU33" s="1167"/>
      <c r="CV33" s="1453"/>
      <c r="CW33" s="1167"/>
      <c r="CX33" s="1167"/>
      <c r="CY33" s="1167"/>
      <c r="CZ33" s="1167"/>
      <c r="DA33" s="1167"/>
      <c r="DB33" s="1167"/>
      <c r="DC33" s="1167"/>
      <c r="DD33" s="1167"/>
      <c r="DE33" s="1167"/>
      <c r="DF33" s="1167"/>
      <c r="DG33" s="1167"/>
      <c r="DH33" s="1167"/>
      <c r="DI33" s="1167"/>
      <c r="DJ33" s="1167"/>
      <c r="DK33" s="1167"/>
      <c r="DL33" s="1167"/>
      <c r="DM33" s="1167"/>
      <c r="DN33" s="1167"/>
      <c r="DO33" s="1167"/>
      <c r="DP33" s="1167"/>
      <c r="DQ33" s="1167"/>
      <c r="DR33" s="1167"/>
      <c r="DS33" s="1167"/>
      <c r="DT33" s="1167"/>
      <c r="DU33" s="1453"/>
      <c r="DV33" s="1167"/>
      <c r="DW33" s="1167"/>
      <c r="DX33" s="1167"/>
      <c r="DY33" s="1167"/>
      <c r="DZ33" s="1167"/>
      <c r="EA33" s="1167"/>
      <c r="EB33" s="1167"/>
      <c r="EC33" s="1167"/>
      <c r="ED33" s="1167"/>
      <c r="EE33" s="1167"/>
      <c r="EF33" s="1167"/>
      <c r="EG33" s="1167"/>
      <c r="EH33" s="1167"/>
      <c r="EI33" s="1167"/>
      <c r="EJ33" s="1453"/>
      <c r="EK33" s="1167"/>
      <c r="EL33" s="1475"/>
      <c r="EM33" s="1475"/>
      <c r="EN33" s="1475"/>
      <c r="EO33" s="1475"/>
      <c r="EP33" s="1475"/>
      <c r="EQ33" s="1475"/>
      <c r="ER33" s="1475"/>
      <c r="ES33" s="1167"/>
      <c r="ET33" s="1453"/>
      <c r="EU33" s="1517"/>
      <c r="EV33" s="1262"/>
      <c r="EW33" s="1262"/>
      <c r="EX33" s="1262"/>
      <c r="EY33" s="1262"/>
      <c r="EZ33" s="1262"/>
      <c r="FA33" s="1262"/>
      <c r="FB33" s="1262"/>
      <c r="FC33" s="1262"/>
      <c r="FD33" s="1262"/>
      <c r="FE33" s="1262"/>
      <c r="FF33" s="1262"/>
      <c r="FG33" s="1262"/>
      <c r="FH33" s="1167"/>
      <c r="FI33" s="1465"/>
      <c r="FJ33" s="1699"/>
      <c r="FK33" s="1699"/>
      <c r="FL33" s="1699"/>
      <c r="FM33" s="1699"/>
      <c r="FN33" s="1699"/>
      <c r="FO33" s="1167"/>
      <c r="FP33" s="1167"/>
      <c r="FQ33" s="1167"/>
      <c r="FR33" s="1167"/>
      <c r="FS33" s="1167"/>
      <c r="FT33" s="1167"/>
      <c r="FU33" s="1167"/>
      <c r="FV33" s="1167"/>
      <c r="FW33" s="1167"/>
      <c r="FX33" s="1167"/>
      <c r="FY33" s="1167"/>
      <c r="FZ33" s="1167"/>
      <c r="GA33" s="1163"/>
      <c r="GB33" s="1224" t="str">
        <f aca="false">Existing!A29</f>
        <v>Retained Earnings</v>
      </c>
      <c r="GC33" s="1217" t="n">
        <f aca="false">Existing!B29</f>
        <v>-50744159.8678398</v>
      </c>
      <c r="GD33" s="1217" t="n">
        <f aca="false">Existing!C29</f>
        <v>-8408716.91682543</v>
      </c>
      <c r="GE33" s="1218" t="n">
        <f aca="false">Existing!D29</f>
        <v>3831206.37527624</v>
      </c>
      <c r="GF33" s="1167"/>
      <c r="GG33" s="1453"/>
      <c r="GH33" s="1167"/>
      <c r="GI33" s="1167"/>
      <c r="GJ33" s="1167"/>
      <c r="GK33" s="1167"/>
      <c r="GL33" s="1167"/>
      <c r="GM33" s="1167"/>
      <c r="GN33" s="1167"/>
      <c r="GO33" s="1167"/>
      <c r="GP33" s="1167"/>
      <c r="GQ33" s="1167"/>
      <c r="GR33" s="1167"/>
      <c r="GS33" s="1167"/>
      <c r="GT33" s="1167"/>
      <c r="GU33" s="1167"/>
      <c r="GV33" s="1163"/>
      <c r="GW33" s="1664"/>
      <c r="GX33" s="1217"/>
      <c r="GY33" s="1217"/>
      <c r="GZ33" s="1218"/>
      <c r="HA33" s="1218"/>
      <c r="HB33" s="1218"/>
      <c r="HC33" s="1189"/>
      <c r="HD33" s="1189"/>
      <c r="HE33" s="1189"/>
      <c r="HF33" s="1189"/>
      <c r="HG33" s="1167"/>
      <c r="HH33" s="1167"/>
      <c r="HI33" s="1167"/>
      <c r="HJ33" s="1167"/>
      <c r="HK33" s="1167"/>
      <c r="HL33" s="1167"/>
      <c r="HM33" s="1167"/>
      <c r="HN33" s="1167"/>
      <c r="HO33" s="1167"/>
      <c r="HP33" s="1167"/>
      <c r="HQ33" s="1167"/>
      <c r="HR33" s="1167"/>
      <c r="HS33" s="1167"/>
      <c r="HT33" s="1167"/>
      <c r="HU33" s="1167"/>
      <c r="HV33" s="1167"/>
      <c r="HW33" s="1167"/>
      <c r="HX33" s="1167"/>
      <c r="HY33" s="1167"/>
      <c r="HZ33" s="1167"/>
      <c r="IA33" s="1167"/>
      <c r="IB33" s="1167"/>
      <c r="IC33" s="1167"/>
      <c r="ID33" s="1167"/>
      <c r="IE33" s="1167"/>
      <c r="IF33" s="1167"/>
    </row>
    <row r="34" customFormat="false" ht="12.75" hidden="false" customHeight="true" outlineLevel="0" collapsed="false">
      <c r="A34" s="1453"/>
      <c r="B34" s="1167"/>
      <c r="C34" s="1167"/>
      <c r="D34" s="1167"/>
      <c r="E34" s="1453"/>
      <c r="F34" s="1167"/>
      <c r="G34" s="1167"/>
      <c r="H34" s="1167"/>
      <c r="I34" s="1453"/>
      <c r="J34" s="1167"/>
      <c r="K34" s="1167"/>
      <c r="L34" s="1167"/>
      <c r="M34" s="1167"/>
      <c r="N34" s="1167"/>
      <c r="O34" s="1167"/>
      <c r="P34" s="1189"/>
      <c r="Q34" s="1189"/>
      <c r="R34" s="1189"/>
      <c r="S34" s="1453"/>
      <c r="T34" s="1167"/>
      <c r="U34" s="1167"/>
      <c r="V34" s="1167"/>
      <c r="W34" s="1167"/>
      <c r="X34" s="1167"/>
      <c r="Y34" s="1167"/>
      <c r="Z34" s="1167"/>
      <c r="AA34" s="1167"/>
      <c r="AB34" s="1167"/>
      <c r="AC34" s="1167"/>
      <c r="AD34" s="1167"/>
      <c r="AE34" s="1167"/>
      <c r="AF34" s="1167"/>
      <c r="AG34" s="1167"/>
      <c r="AH34" s="1453"/>
      <c r="AI34" s="1198"/>
      <c r="AJ34" s="1198"/>
      <c r="AK34" s="1198"/>
      <c r="AL34" s="1198"/>
      <c r="AM34" s="1198"/>
      <c r="AN34" s="1198"/>
      <c r="AO34" s="1198"/>
      <c r="AP34" s="1198"/>
      <c r="AQ34" s="1198"/>
      <c r="AR34" s="1198"/>
      <c r="AS34" s="1198"/>
      <c r="AT34" s="1481"/>
      <c r="AU34" s="1198"/>
      <c r="AV34" s="1198"/>
      <c r="AW34" s="1198"/>
      <c r="AX34" s="1198"/>
      <c r="AY34" s="1198"/>
      <c r="AZ34" s="1198"/>
      <c r="BA34" s="1198"/>
      <c r="BB34" s="1198"/>
      <c r="BC34" s="1198"/>
      <c r="BD34" s="1198"/>
      <c r="BE34" s="1198"/>
      <c r="BF34" s="1198"/>
      <c r="BG34" s="1198"/>
      <c r="BH34" s="1189"/>
      <c r="BI34" s="1189"/>
      <c r="BJ34" s="1189"/>
      <c r="BK34" s="1224"/>
      <c r="BL34" s="1217"/>
      <c r="BM34" s="1217"/>
      <c r="BN34" s="1218"/>
      <c r="BO34" s="1218"/>
      <c r="BP34" s="1218"/>
      <c r="BQ34" s="1189"/>
      <c r="BR34" s="1189"/>
      <c r="BS34" s="1198"/>
      <c r="BT34" s="1189"/>
      <c r="BU34" s="1666"/>
      <c r="BV34" s="1221"/>
      <c r="BW34" s="1221"/>
      <c r="BX34" s="1221"/>
      <c r="BY34" s="1221"/>
      <c r="BZ34" s="1221"/>
      <c r="CA34" s="1221"/>
      <c r="CB34" s="1221"/>
      <c r="CC34" s="1221"/>
      <c r="CD34" s="1221"/>
      <c r="CE34" s="1221"/>
      <c r="CF34" s="1221"/>
      <c r="CG34" s="1222"/>
      <c r="CH34" s="1189"/>
      <c r="CI34" s="1189"/>
      <c r="CJ34" s="1482"/>
      <c r="CK34" s="1167"/>
      <c r="CL34" s="1167"/>
      <c r="CM34" s="1167"/>
      <c r="CN34" s="1167"/>
      <c r="CO34" s="1167"/>
      <c r="CP34" s="1167"/>
      <c r="CQ34" s="1167"/>
      <c r="CR34" s="1167"/>
      <c r="CS34" s="1167"/>
      <c r="CT34" s="1167"/>
      <c r="CU34" s="1167"/>
      <c r="CV34" s="1453"/>
      <c r="CW34" s="1167"/>
      <c r="CX34" s="1167"/>
      <c r="CY34" s="1167"/>
      <c r="CZ34" s="1167"/>
      <c r="DA34" s="1167"/>
      <c r="DB34" s="1167"/>
      <c r="DC34" s="1167"/>
      <c r="DD34" s="1167"/>
      <c r="DE34" s="1167"/>
      <c r="DF34" s="1167"/>
      <c r="DG34" s="1167"/>
      <c r="DH34" s="1167"/>
      <c r="DI34" s="1167"/>
      <c r="DJ34" s="1167"/>
      <c r="DK34" s="1167"/>
      <c r="DL34" s="1167"/>
      <c r="DM34" s="1167"/>
      <c r="DN34" s="1167"/>
      <c r="DO34" s="1167"/>
      <c r="DP34" s="1167"/>
      <c r="DQ34" s="1167"/>
      <c r="DR34" s="1167"/>
      <c r="DS34" s="1167"/>
      <c r="DT34" s="1167"/>
      <c r="DU34" s="1453"/>
      <c r="DV34" s="1167"/>
      <c r="DW34" s="1167"/>
      <c r="DX34" s="1167"/>
      <c r="DY34" s="1167"/>
      <c r="DZ34" s="1167"/>
      <c r="EA34" s="1167"/>
      <c r="EB34" s="1167"/>
      <c r="EC34" s="1167"/>
      <c r="ED34" s="1167"/>
      <c r="EE34" s="1167"/>
      <c r="EF34" s="1167"/>
      <c r="EG34" s="1167"/>
      <c r="EH34" s="1167"/>
      <c r="EI34" s="1167"/>
      <c r="EJ34" s="1453"/>
      <c r="EK34" s="1167"/>
      <c r="EL34" s="1475"/>
      <c r="EM34" s="1475"/>
      <c r="EN34" s="1475"/>
      <c r="EO34" s="1475"/>
      <c r="EP34" s="1475"/>
      <c r="EQ34" s="1475"/>
      <c r="ER34" s="1475"/>
      <c r="ES34" s="1167"/>
      <c r="ET34" s="1453"/>
      <c r="EU34" s="1517"/>
      <c r="EV34" s="1262"/>
      <c r="EW34" s="1262"/>
      <c r="EX34" s="1262"/>
      <c r="EY34" s="1262"/>
      <c r="EZ34" s="1262"/>
      <c r="FA34" s="1262"/>
      <c r="FB34" s="1262"/>
      <c r="FC34" s="1262"/>
      <c r="FD34" s="1262"/>
      <c r="FE34" s="1262"/>
      <c r="FF34" s="1262"/>
      <c r="FG34" s="1262"/>
      <c r="FH34" s="1167"/>
      <c r="FI34" s="1465"/>
      <c r="FJ34" s="1699"/>
      <c r="FK34" s="1699"/>
      <c r="FL34" s="1699"/>
      <c r="FM34" s="1699"/>
      <c r="FN34" s="1699"/>
      <c r="FO34" s="1167"/>
      <c r="FP34" s="1167"/>
      <c r="FQ34" s="1167"/>
      <c r="FR34" s="1167"/>
      <c r="FS34" s="1167"/>
      <c r="FT34" s="1167"/>
      <c r="FU34" s="1167"/>
      <c r="FV34" s="1167"/>
      <c r="FW34" s="1167"/>
      <c r="FX34" s="1167"/>
      <c r="FY34" s="1167"/>
      <c r="FZ34" s="1167"/>
      <c r="GA34" s="1163"/>
      <c r="GB34" s="1224" t="str">
        <f aca="false">Existing!A30</f>
        <v>Current Year Earnings</v>
      </c>
      <c r="GC34" s="1217" t="n">
        <f aca="false">Existing!B30</f>
        <v>50744159.8678398</v>
      </c>
      <c r="GD34" s="1217" t="n">
        <f aca="false">Existing!C30</f>
        <v>8408716.91682543</v>
      </c>
      <c r="GE34" s="1218" t="n">
        <f aca="false">Existing!D30</f>
        <v>-3831207.37527624</v>
      </c>
      <c r="GF34" s="1167"/>
      <c r="GG34" s="1453"/>
      <c r="GH34" s="1167"/>
      <c r="GI34" s="1167"/>
      <c r="GJ34" s="1167"/>
      <c r="GK34" s="1167"/>
      <c r="GL34" s="1167"/>
      <c r="GM34" s="1167"/>
      <c r="GN34" s="1167"/>
      <c r="GO34" s="1167"/>
      <c r="GP34" s="1167"/>
      <c r="GQ34" s="1167"/>
      <c r="GR34" s="1167"/>
      <c r="GS34" s="1167"/>
      <c r="GT34" s="1167"/>
      <c r="GU34" s="1167"/>
      <c r="GV34" s="1163"/>
      <c r="GW34" s="1664"/>
      <c r="GX34" s="1217"/>
      <c r="GY34" s="1217"/>
      <c r="GZ34" s="1218"/>
      <c r="HA34" s="1218"/>
      <c r="HB34" s="1218"/>
      <c r="HC34" s="1189"/>
      <c r="HD34" s="1189"/>
      <c r="HE34" s="1189"/>
      <c r="HF34" s="1189"/>
      <c r="HG34" s="1167"/>
      <c r="HH34" s="1167"/>
      <c r="HI34" s="1167"/>
      <c r="HJ34" s="1167"/>
      <c r="HK34" s="1167"/>
      <c r="HL34" s="1167"/>
      <c r="HM34" s="1167"/>
      <c r="HN34" s="1167"/>
      <c r="HO34" s="1167"/>
      <c r="HP34" s="1167"/>
      <c r="HQ34" s="1167"/>
      <c r="HR34" s="1167"/>
      <c r="HS34" s="1167"/>
      <c r="HT34" s="1167"/>
      <c r="HU34" s="1167"/>
      <c r="HV34" s="1167"/>
      <c r="HW34" s="1167"/>
      <c r="HX34" s="1167"/>
      <c r="HY34" s="1167"/>
      <c r="HZ34" s="1167"/>
      <c r="IA34" s="1167"/>
      <c r="IB34" s="1167"/>
      <c r="IC34" s="1167"/>
      <c r="ID34" s="1167"/>
      <c r="IE34" s="1167"/>
      <c r="IF34" s="1167"/>
    </row>
    <row r="35" customFormat="false" ht="12.75" hidden="false" customHeight="true" outlineLevel="0" collapsed="false">
      <c r="A35" s="1453"/>
      <c r="B35" s="1167"/>
      <c r="C35" s="1167"/>
      <c r="D35" s="1167"/>
      <c r="E35" s="1453"/>
      <c r="F35" s="1167"/>
      <c r="G35" s="1167"/>
      <c r="H35" s="1167"/>
      <c r="I35" s="1453"/>
      <c r="J35" s="1167"/>
      <c r="K35" s="1167"/>
      <c r="L35" s="1167"/>
      <c r="M35" s="1167"/>
      <c r="N35" s="1167"/>
      <c r="O35" s="1167"/>
      <c r="P35" s="1189"/>
      <c r="Q35" s="1189"/>
      <c r="R35" s="1189"/>
      <c r="S35" s="1453"/>
      <c r="T35" s="1167"/>
      <c r="U35" s="1167"/>
      <c r="V35" s="1167"/>
      <c r="W35" s="1167"/>
      <c r="X35" s="1167"/>
      <c r="Y35" s="1167"/>
      <c r="Z35" s="1167"/>
      <c r="AA35" s="1167"/>
      <c r="AB35" s="1167"/>
      <c r="AC35" s="1167"/>
      <c r="AD35" s="1167"/>
      <c r="AE35" s="1167"/>
      <c r="AF35" s="1167"/>
      <c r="AG35" s="1167"/>
      <c r="AH35" s="1453"/>
      <c r="AI35" s="1198"/>
      <c r="AJ35" s="1198"/>
      <c r="AK35" s="1198"/>
      <c r="AL35" s="1198"/>
      <c r="AM35" s="1198"/>
      <c r="AN35" s="1198"/>
      <c r="AO35" s="1198"/>
      <c r="AP35" s="1198"/>
      <c r="AQ35" s="1198"/>
      <c r="AR35" s="1198"/>
      <c r="AS35" s="1198"/>
      <c r="AT35" s="1481"/>
      <c r="AU35" s="1198"/>
      <c r="AV35" s="1198"/>
      <c r="AW35" s="1198"/>
      <c r="AX35" s="1198"/>
      <c r="AY35" s="1198"/>
      <c r="AZ35" s="1198"/>
      <c r="BA35" s="1198"/>
      <c r="BB35" s="1198"/>
      <c r="BC35" s="1198"/>
      <c r="BD35" s="1198"/>
      <c r="BE35" s="1198"/>
      <c r="BF35" s="1198"/>
      <c r="BG35" s="1198"/>
      <c r="BH35" s="1189"/>
      <c r="BI35" s="1189"/>
      <c r="BJ35" s="1189"/>
      <c r="BK35" s="1224"/>
      <c r="BL35" s="1217"/>
      <c r="BM35" s="1217"/>
      <c r="BN35" s="1218"/>
      <c r="BO35" s="1218"/>
      <c r="BP35" s="1218"/>
      <c r="BQ35" s="1189"/>
      <c r="BR35" s="1189"/>
      <c r="BS35" s="1198"/>
      <c r="BT35" s="1189"/>
      <c r="BU35" s="1666"/>
      <c r="BV35" s="1221"/>
      <c r="BW35" s="1221"/>
      <c r="BX35" s="1221"/>
      <c r="BY35" s="1221"/>
      <c r="BZ35" s="1221"/>
      <c r="CA35" s="1221"/>
      <c r="CB35" s="1221"/>
      <c r="CC35" s="1221"/>
      <c r="CD35" s="1221"/>
      <c r="CE35" s="1221"/>
      <c r="CF35" s="1221"/>
      <c r="CG35" s="1222"/>
      <c r="CH35" s="1189"/>
      <c r="CI35" s="1189"/>
      <c r="CJ35" s="1482"/>
      <c r="CK35" s="1167"/>
      <c r="CL35" s="1167"/>
      <c r="CM35" s="1167"/>
      <c r="CN35" s="1167"/>
      <c r="CO35" s="1167"/>
      <c r="CP35" s="1167"/>
      <c r="CQ35" s="1167"/>
      <c r="CR35" s="1167"/>
      <c r="CS35" s="1167"/>
      <c r="CT35" s="1167"/>
      <c r="CU35" s="1167"/>
      <c r="CV35" s="1453"/>
      <c r="CW35" s="1167"/>
      <c r="CX35" s="1167"/>
      <c r="CY35" s="1167"/>
      <c r="CZ35" s="1167"/>
      <c r="DA35" s="1167"/>
      <c r="DB35" s="1167"/>
      <c r="DC35" s="1167"/>
      <c r="DD35" s="1167"/>
      <c r="DE35" s="1167"/>
      <c r="DF35" s="1167"/>
      <c r="DG35" s="1167"/>
      <c r="DH35" s="1167"/>
      <c r="DI35" s="1167"/>
      <c r="DJ35" s="1167"/>
      <c r="DK35" s="1167"/>
      <c r="DL35" s="1167"/>
      <c r="DM35" s="1167"/>
      <c r="DN35" s="1167"/>
      <c r="DO35" s="1167"/>
      <c r="DP35" s="1167"/>
      <c r="DQ35" s="1167"/>
      <c r="DR35" s="1167"/>
      <c r="DS35" s="1167"/>
      <c r="DT35" s="1167"/>
      <c r="DU35" s="1453"/>
      <c r="DV35" s="1167"/>
      <c r="DW35" s="1167"/>
      <c r="DX35" s="1167"/>
      <c r="DY35" s="1167"/>
      <c r="DZ35" s="1167"/>
      <c r="EA35" s="1167"/>
      <c r="EB35" s="1167"/>
      <c r="EC35" s="1167"/>
      <c r="ED35" s="1167"/>
      <c r="EE35" s="1167"/>
      <c r="EF35" s="1167"/>
      <c r="EG35" s="1167"/>
      <c r="EH35" s="1167"/>
      <c r="EI35" s="1167"/>
      <c r="EJ35" s="1453"/>
      <c r="EK35" s="1167"/>
      <c r="EL35" s="1475"/>
      <c r="EM35" s="1475"/>
      <c r="EN35" s="1475"/>
      <c r="EO35" s="1475"/>
      <c r="EP35" s="1475"/>
      <c r="EQ35" s="1475"/>
      <c r="ER35" s="1475"/>
      <c r="ES35" s="1167"/>
      <c r="ET35" s="1453"/>
      <c r="EU35" s="1517"/>
      <c r="EV35" s="1262"/>
      <c r="EW35" s="1262"/>
      <c r="EX35" s="1262"/>
      <c r="EY35" s="1262"/>
      <c r="EZ35" s="1262"/>
      <c r="FA35" s="1262"/>
      <c r="FB35" s="1262"/>
      <c r="FC35" s="1262"/>
      <c r="FD35" s="1262"/>
      <c r="FE35" s="1262"/>
      <c r="FF35" s="1262"/>
      <c r="FG35" s="1262"/>
      <c r="FH35" s="1167"/>
      <c r="FI35" s="1465"/>
      <c r="FJ35" s="1699"/>
      <c r="FK35" s="1699"/>
      <c r="FL35" s="1699"/>
      <c r="FM35" s="1699"/>
      <c r="FN35" s="1699"/>
      <c r="FO35" s="1167"/>
      <c r="FP35" s="1167"/>
      <c r="FQ35" s="1167"/>
      <c r="FR35" s="1167"/>
      <c r="FS35" s="1167"/>
      <c r="FT35" s="1167"/>
      <c r="FU35" s="1167"/>
      <c r="FV35" s="1167"/>
      <c r="FW35" s="1167"/>
      <c r="FX35" s="1167"/>
      <c r="FY35" s="1167"/>
      <c r="FZ35" s="1167"/>
      <c r="GA35" s="1163"/>
      <c r="GB35" s="1664" t="s">
        <v>1806</v>
      </c>
      <c r="GC35" s="1217" t="n">
        <f aca="false">GC34+GC33+GC32</f>
        <v>0</v>
      </c>
      <c r="GD35" s="1217" t="n">
        <f aca="false">GD34+GD33+GD32</f>
        <v>0</v>
      </c>
      <c r="GE35" s="1218" t="n">
        <f aca="false">GE34+GE33+GE32</f>
        <v>-1</v>
      </c>
      <c r="GF35" s="1167"/>
      <c r="GG35" s="1453"/>
      <c r="GH35" s="1167"/>
      <c r="GI35" s="1167"/>
      <c r="GJ35" s="1167"/>
      <c r="GK35" s="1167"/>
      <c r="GL35" s="1167"/>
      <c r="GM35" s="1167"/>
      <c r="GN35" s="1167"/>
      <c r="GO35" s="1167"/>
      <c r="GP35" s="1167"/>
      <c r="GQ35" s="1167"/>
      <c r="GR35" s="1167"/>
      <c r="GS35" s="1167"/>
      <c r="GT35" s="1167"/>
      <c r="GU35" s="1167"/>
      <c r="GV35" s="1163"/>
      <c r="GW35" s="1664"/>
      <c r="GX35" s="1217"/>
      <c r="GY35" s="1217"/>
      <c r="GZ35" s="1218"/>
      <c r="HA35" s="1218"/>
      <c r="HB35" s="1218"/>
      <c r="HC35" s="1189"/>
      <c r="HD35" s="1189"/>
      <c r="HE35" s="1189"/>
      <c r="HF35" s="1189"/>
      <c r="HG35" s="1167"/>
      <c r="HH35" s="1167"/>
      <c r="HI35" s="1167"/>
      <c r="HJ35" s="1167"/>
      <c r="HK35" s="1167"/>
      <c r="HL35" s="1167"/>
      <c r="HM35" s="1167"/>
      <c r="HN35" s="1167"/>
      <c r="HO35" s="1167"/>
      <c r="HP35" s="1167"/>
      <c r="HQ35" s="1167"/>
      <c r="HR35" s="1167"/>
      <c r="HS35" s="1167"/>
      <c r="HT35" s="1167"/>
      <c r="HU35" s="1167"/>
      <c r="HV35" s="1167"/>
      <c r="HW35" s="1167"/>
      <c r="HX35" s="1167"/>
      <c r="HY35" s="1167"/>
      <c r="HZ35" s="1167"/>
      <c r="IA35" s="1167"/>
      <c r="IB35" s="1167"/>
      <c r="IC35" s="1167"/>
      <c r="ID35" s="1167"/>
      <c r="IE35" s="1167"/>
      <c r="IF35" s="1167"/>
    </row>
    <row r="36" customFormat="false" ht="12.75" hidden="false" customHeight="true" outlineLevel="0" collapsed="false">
      <c r="A36" s="1453"/>
      <c r="B36" s="1167"/>
      <c r="C36" s="1167"/>
      <c r="D36" s="1167"/>
      <c r="E36" s="1453"/>
      <c r="F36" s="1167"/>
      <c r="G36" s="1167"/>
      <c r="H36" s="1167"/>
      <c r="I36" s="1453"/>
      <c r="J36" s="1167"/>
      <c r="K36" s="1167"/>
      <c r="L36" s="1167"/>
      <c r="M36" s="1167"/>
      <c r="N36" s="1167"/>
      <c r="O36" s="1167"/>
      <c r="P36" s="1189"/>
      <c r="Q36" s="1189"/>
      <c r="R36" s="1189"/>
      <c r="S36" s="1453"/>
      <c r="T36" s="1167"/>
      <c r="U36" s="1167"/>
      <c r="V36" s="1167"/>
      <c r="W36" s="1167"/>
      <c r="X36" s="1167"/>
      <c r="Y36" s="1167"/>
      <c r="Z36" s="1167"/>
      <c r="AA36" s="1167"/>
      <c r="AB36" s="1167"/>
      <c r="AC36" s="1167"/>
      <c r="AD36" s="1167"/>
      <c r="AE36" s="1167"/>
      <c r="AF36" s="1167"/>
      <c r="AG36" s="1167"/>
      <c r="AH36" s="1453"/>
      <c r="AI36" s="1198"/>
      <c r="AJ36" s="1198"/>
      <c r="AK36" s="1198"/>
      <c r="AL36" s="1198"/>
      <c r="AM36" s="1198"/>
      <c r="AN36" s="1198"/>
      <c r="AO36" s="1198"/>
      <c r="AP36" s="1198"/>
      <c r="AQ36" s="1198"/>
      <c r="AR36" s="1198"/>
      <c r="AS36" s="1198"/>
      <c r="AT36" s="1481"/>
      <c r="AU36" s="1198"/>
      <c r="AV36" s="1198"/>
      <c r="AW36" s="1198"/>
      <c r="AX36" s="1198"/>
      <c r="AY36" s="1198"/>
      <c r="AZ36" s="1198"/>
      <c r="BA36" s="1198"/>
      <c r="BB36" s="1198"/>
      <c r="BC36" s="1198"/>
      <c r="BD36" s="1198"/>
      <c r="BE36" s="1198"/>
      <c r="BF36" s="1198"/>
      <c r="BG36" s="1198"/>
      <c r="BH36" s="1189"/>
      <c r="BI36" s="1189"/>
      <c r="BJ36" s="1189"/>
      <c r="BK36" s="1224"/>
      <c r="BL36" s="1217"/>
      <c r="BM36" s="1217"/>
      <c r="BN36" s="1218"/>
      <c r="BO36" s="1218"/>
      <c r="BP36" s="1218"/>
      <c r="BQ36" s="1189"/>
      <c r="BR36" s="1189"/>
      <c r="BS36" s="1198"/>
      <c r="BT36" s="1189"/>
      <c r="BU36" s="1666"/>
      <c r="BV36" s="1221"/>
      <c r="BW36" s="1221"/>
      <c r="BX36" s="1221"/>
      <c r="BY36" s="1221"/>
      <c r="BZ36" s="1221"/>
      <c r="CA36" s="1221"/>
      <c r="CB36" s="1221"/>
      <c r="CC36" s="1221"/>
      <c r="CD36" s="1221"/>
      <c r="CE36" s="1221"/>
      <c r="CF36" s="1221"/>
      <c r="CG36" s="1222"/>
      <c r="CH36" s="1189"/>
      <c r="CI36" s="1189"/>
      <c r="CJ36" s="1482"/>
      <c r="CK36" s="1167"/>
      <c r="CL36" s="1167"/>
      <c r="CM36" s="1167"/>
      <c r="CN36" s="1167"/>
      <c r="CO36" s="1167"/>
      <c r="CP36" s="1167"/>
      <c r="CQ36" s="1167"/>
      <c r="CR36" s="1167"/>
      <c r="CS36" s="1167"/>
      <c r="CT36" s="1167"/>
      <c r="CU36" s="1167"/>
      <c r="CV36" s="1453"/>
      <c r="CW36" s="1167"/>
      <c r="CX36" s="1167"/>
      <c r="CY36" s="1167"/>
      <c r="CZ36" s="1167"/>
      <c r="DA36" s="1167"/>
      <c r="DB36" s="1167"/>
      <c r="DC36" s="1167"/>
      <c r="DD36" s="1167"/>
      <c r="DE36" s="1167"/>
      <c r="DF36" s="1167"/>
      <c r="DG36" s="1167"/>
      <c r="DH36" s="1167"/>
      <c r="DI36" s="1167"/>
      <c r="DJ36" s="1167"/>
      <c r="DK36" s="1167"/>
      <c r="DL36" s="1167"/>
      <c r="DM36" s="1167"/>
      <c r="DN36" s="1167"/>
      <c r="DO36" s="1167"/>
      <c r="DP36" s="1167"/>
      <c r="DQ36" s="1167"/>
      <c r="DR36" s="1167"/>
      <c r="DS36" s="1167"/>
      <c r="DT36" s="1167"/>
      <c r="DU36" s="1453"/>
      <c r="DV36" s="1167"/>
      <c r="DW36" s="1167"/>
      <c r="DX36" s="1167"/>
      <c r="DY36" s="1167"/>
      <c r="DZ36" s="1167"/>
      <c r="EA36" s="1167"/>
      <c r="EB36" s="1167"/>
      <c r="EC36" s="1167"/>
      <c r="ED36" s="1167"/>
      <c r="EE36" s="1167"/>
      <c r="EF36" s="1167"/>
      <c r="EG36" s="1167"/>
      <c r="EH36" s="1167"/>
      <c r="EI36" s="1167"/>
      <c r="EJ36" s="1453"/>
      <c r="EK36" s="1167"/>
      <c r="EL36" s="1475"/>
      <c r="EM36" s="1475"/>
      <c r="EN36" s="1475"/>
      <c r="EO36" s="1475"/>
      <c r="EP36" s="1475"/>
      <c r="EQ36" s="1475"/>
      <c r="ER36" s="1475"/>
      <c r="ES36" s="1167"/>
      <c r="ET36" s="1453"/>
      <c r="EU36" s="1517"/>
      <c r="EV36" s="1262"/>
      <c r="EW36" s="1262"/>
      <c r="EX36" s="1262"/>
      <c r="EY36" s="1262"/>
      <c r="EZ36" s="1262"/>
      <c r="FA36" s="1262"/>
      <c r="FB36" s="1262"/>
      <c r="FC36" s="1262"/>
      <c r="FD36" s="1262"/>
      <c r="FE36" s="1262"/>
      <c r="FF36" s="1262"/>
      <c r="FG36" s="1262"/>
      <c r="FH36" s="1167"/>
      <c r="FI36" s="1465"/>
      <c r="FJ36" s="1699"/>
      <c r="FK36" s="1699"/>
      <c r="FL36" s="1699"/>
      <c r="FM36" s="1699"/>
      <c r="FN36" s="1699"/>
      <c r="FO36" s="1167"/>
      <c r="FP36" s="1167"/>
      <c r="FQ36" s="1167"/>
      <c r="FR36" s="1167"/>
      <c r="FS36" s="1167"/>
      <c r="FT36" s="1167"/>
      <c r="FU36" s="1167"/>
      <c r="FV36" s="1167"/>
      <c r="FW36" s="1167"/>
      <c r="FX36" s="1167"/>
      <c r="FY36" s="1167"/>
      <c r="FZ36" s="1167"/>
      <c r="GA36" s="1163"/>
      <c r="GB36" s="1684" t="s">
        <v>1936</v>
      </c>
      <c r="GC36" s="1277" t="n">
        <f aca="false">GC30+GC35</f>
        <v>0</v>
      </c>
      <c r="GD36" s="1277" t="n">
        <f aca="false">GD30+GD35</f>
        <v>0</v>
      </c>
      <c r="GE36" s="1278" t="n">
        <f aca="false">GE30+GE35</f>
        <v>-1</v>
      </c>
      <c r="GF36" s="1167"/>
      <c r="GG36" s="1453"/>
      <c r="GH36" s="1167"/>
      <c r="GI36" s="1167"/>
      <c r="GJ36" s="1167"/>
      <c r="GK36" s="1167"/>
      <c r="GL36" s="1167"/>
      <c r="GM36" s="1167"/>
      <c r="GN36" s="1167"/>
      <c r="GO36" s="1167"/>
      <c r="GP36" s="1167"/>
      <c r="GQ36" s="1167"/>
      <c r="GR36" s="1167"/>
      <c r="GS36" s="1167"/>
      <c r="GT36" s="1167"/>
      <c r="GU36" s="1167"/>
      <c r="GV36" s="1163"/>
      <c r="GW36" s="1664"/>
      <c r="GX36" s="1217"/>
      <c r="GY36" s="1217"/>
      <c r="GZ36" s="1218"/>
      <c r="HA36" s="1218"/>
      <c r="HB36" s="1218"/>
      <c r="HC36" s="1189"/>
      <c r="HD36" s="1189"/>
      <c r="HE36" s="1189"/>
      <c r="HF36" s="1189"/>
      <c r="HG36" s="1167"/>
      <c r="HH36" s="1167"/>
      <c r="HI36" s="1167"/>
      <c r="HJ36" s="1167"/>
      <c r="HK36" s="1167"/>
      <c r="HL36" s="1167"/>
      <c r="HM36" s="1167"/>
      <c r="HN36" s="1167"/>
      <c r="HO36" s="1167"/>
      <c r="HP36" s="1167"/>
      <c r="HQ36" s="1167"/>
      <c r="HR36" s="1167"/>
      <c r="HS36" s="1167"/>
      <c r="HT36" s="1167"/>
      <c r="HU36" s="1167"/>
      <c r="HV36" s="1167"/>
      <c r="HW36" s="1167"/>
      <c r="HX36" s="1167"/>
      <c r="HY36" s="1167"/>
      <c r="HZ36" s="1167"/>
      <c r="IA36" s="1167"/>
      <c r="IB36" s="1167"/>
      <c r="IC36" s="1167"/>
      <c r="ID36" s="1167"/>
      <c r="IE36" s="1167"/>
      <c r="IF36" s="1167"/>
    </row>
    <row r="37" customFormat="false" ht="12.75" hidden="false" customHeight="true" outlineLevel="0" collapsed="false">
      <c r="A37" s="1453"/>
      <c r="B37" s="1167"/>
      <c r="C37" s="1167"/>
      <c r="D37" s="1167"/>
      <c r="E37" s="1453"/>
      <c r="F37" s="1167"/>
      <c r="G37" s="1167"/>
      <c r="H37" s="1167"/>
      <c r="I37" s="1453"/>
      <c r="J37" s="1167"/>
      <c r="K37" s="1167"/>
      <c r="L37" s="1167"/>
      <c r="M37" s="1167"/>
      <c r="N37" s="1167"/>
      <c r="O37" s="1167"/>
      <c r="P37" s="1189"/>
      <c r="Q37" s="1189"/>
      <c r="R37" s="1189"/>
      <c r="S37" s="1453"/>
      <c r="T37" s="1167"/>
      <c r="U37" s="1167"/>
      <c r="V37" s="1167"/>
      <c r="W37" s="1167"/>
      <c r="X37" s="1167"/>
      <c r="Y37" s="1167"/>
      <c r="Z37" s="1167"/>
      <c r="AA37" s="1167"/>
      <c r="AB37" s="1167"/>
      <c r="AC37" s="1167"/>
      <c r="AD37" s="1167"/>
      <c r="AE37" s="1167"/>
      <c r="AF37" s="1167"/>
      <c r="AG37" s="1167"/>
      <c r="AH37" s="1453"/>
      <c r="AI37" s="1198"/>
      <c r="AJ37" s="1198"/>
      <c r="AK37" s="1198"/>
      <c r="AL37" s="1198"/>
      <c r="AM37" s="1198"/>
      <c r="AN37" s="1198"/>
      <c r="AO37" s="1198"/>
      <c r="AP37" s="1198"/>
      <c r="AQ37" s="1198"/>
      <c r="AR37" s="1198"/>
      <c r="AS37" s="1198"/>
      <c r="AT37" s="1481"/>
      <c r="AU37" s="1198"/>
      <c r="AV37" s="1198"/>
      <c r="AW37" s="1198"/>
      <c r="AX37" s="1198"/>
      <c r="AY37" s="1198"/>
      <c r="AZ37" s="1198"/>
      <c r="BA37" s="1198"/>
      <c r="BB37" s="1198"/>
      <c r="BC37" s="1198"/>
      <c r="BD37" s="1198"/>
      <c r="BE37" s="1198"/>
      <c r="BF37" s="1198"/>
      <c r="BG37" s="1198"/>
      <c r="BH37" s="1189"/>
      <c r="BI37" s="1189"/>
      <c r="BJ37" s="1189"/>
      <c r="BK37" s="1706"/>
      <c r="BL37" s="1277"/>
      <c r="BM37" s="1277"/>
      <c r="BN37" s="1278"/>
      <c r="BO37" s="1278"/>
      <c r="BP37" s="1278"/>
      <c r="BQ37" s="1189"/>
      <c r="BR37" s="1189"/>
      <c r="BS37" s="1198"/>
      <c r="BT37" s="1189"/>
      <c r="BU37" s="1707"/>
      <c r="BV37" s="1338"/>
      <c r="BW37" s="1338"/>
      <c r="BX37" s="1338"/>
      <c r="BY37" s="1338"/>
      <c r="BZ37" s="1338"/>
      <c r="CA37" s="1338"/>
      <c r="CB37" s="1338"/>
      <c r="CC37" s="1338"/>
      <c r="CD37" s="1338"/>
      <c r="CE37" s="1338"/>
      <c r="CF37" s="1338"/>
      <c r="CG37" s="1339"/>
      <c r="CH37" s="1189"/>
      <c r="CI37" s="1189"/>
      <c r="CJ37" s="1482"/>
      <c r="CK37" s="1167"/>
      <c r="CL37" s="1167"/>
      <c r="CM37" s="1167"/>
      <c r="CN37" s="1167"/>
      <c r="CO37" s="1167"/>
      <c r="CP37" s="1167"/>
      <c r="CQ37" s="1167"/>
      <c r="CR37" s="1167"/>
      <c r="CS37" s="1167"/>
      <c r="CT37" s="1167"/>
      <c r="CU37" s="1167"/>
      <c r="CV37" s="1453"/>
      <c r="CW37" s="1167"/>
      <c r="CX37" s="1167"/>
      <c r="CY37" s="1167"/>
      <c r="CZ37" s="1167"/>
      <c r="DA37" s="1167"/>
      <c r="DB37" s="1167"/>
      <c r="DC37" s="1167"/>
      <c r="DD37" s="1167"/>
      <c r="DE37" s="1167"/>
      <c r="DF37" s="1167"/>
      <c r="DG37" s="1167"/>
      <c r="DH37" s="1167"/>
      <c r="DI37" s="1167"/>
      <c r="DJ37" s="1167"/>
      <c r="DK37" s="1167"/>
      <c r="DL37" s="1167"/>
      <c r="DM37" s="1167"/>
      <c r="DN37" s="1167"/>
      <c r="DO37" s="1167"/>
      <c r="DP37" s="1167"/>
      <c r="DQ37" s="1167"/>
      <c r="DR37" s="1167"/>
      <c r="DS37" s="1167"/>
      <c r="DT37" s="1167"/>
      <c r="DU37" s="1453"/>
      <c r="DV37" s="1167"/>
      <c r="DW37" s="1167"/>
      <c r="DX37" s="1167"/>
      <c r="DY37" s="1167"/>
      <c r="DZ37" s="1167"/>
      <c r="EA37" s="1167"/>
      <c r="EB37" s="1167"/>
      <c r="EC37" s="1167"/>
      <c r="ED37" s="1167"/>
      <c r="EE37" s="1167"/>
      <c r="EF37" s="1167"/>
      <c r="EG37" s="1167"/>
      <c r="EH37" s="1167"/>
      <c r="EI37" s="1167"/>
      <c r="EJ37" s="1453"/>
      <c r="EK37" s="1167"/>
      <c r="EL37" s="1475"/>
      <c r="EM37" s="1475"/>
      <c r="EN37" s="1475"/>
      <c r="EO37" s="1475"/>
      <c r="EP37" s="1475"/>
      <c r="EQ37" s="1475"/>
      <c r="ER37" s="1475"/>
      <c r="ES37" s="1167"/>
      <c r="ET37" s="1453"/>
      <c r="EU37" s="1517"/>
      <c r="EV37" s="1262"/>
      <c r="EW37" s="1262"/>
      <c r="EX37" s="1262"/>
      <c r="EY37" s="1262"/>
      <c r="EZ37" s="1262"/>
      <c r="FA37" s="1262"/>
      <c r="FB37" s="1262"/>
      <c r="FC37" s="1262"/>
      <c r="FD37" s="1262"/>
      <c r="FE37" s="1262"/>
      <c r="FF37" s="1262"/>
      <c r="FG37" s="1262"/>
      <c r="FH37" s="1167"/>
      <c r="FI37" s="1465"/>
      <c r="FJ37" s="1699"/>
      <c r="FK37" s="1699"/>
      <c r="FL37" s="1699"/>
      <c r="FM37" s="1699"/>
      <c r="FN37" s="1699"/>
      <c r="FO37" s="1167"/>
      <c r="FP37" s="1167"/>
      <c r="FQ37" s="1167"/>
      <c r="FR37" s="1167"/>
      <c r="FS37" s="1167"/>
      <c r="FT37" s="1167"/>
      <c r="FU37" s="1167"/>
      <c r="FV37" s="1167"/>
      <c r="FW37" s="1167"/>
      <c r="FX37" s="1167"/>
      <c r="FY37" s="1167"/>
      <c r="FZ37" s="1167"/>
      <c r="GA37" s="1708"/>
      <c r="GB37" s="1167"/>
      <c r="GC37" s="1167"/>
      <c r="GD37" s="1167"/>
      <c r="GE37" s="1167"/>
      <c r="GF37" s="1167"/>
      <c r="GG37" s="1453"/>
      <c r="GH37" s="1167"/>
      <c r="GI37" s="1167"/>
      <c r="GJ37" s="1167"/>
      <c r="GK37" s="1167"/>
      <c r="GL37" s="1167"/>
      <c r="GM37" s="1167"/>
      <c r="GN37" s="1167"/>
      <c r="GO37" s="1167"/>
      <c r="GP37" s="1167"/>
      <c r="GQ37" s="1167"/>
      <c r="GR37" s="1167"/>
      <c r="GS37" s="1167"/>
      <c r="GT37" s="1167"/>
      <c r="GU37" s="1167"/>
      <c r="GV37" s="1163"/>
      <c r="GW37" s="1664"/>
      <c r="GX37" s="1217"/>
      <c r="GY37" s="1217"/>
      <c r="GZ37" s="1218"/>
      <c r="HA37" s="1218"/>
      <c r="HB37" s="1218"/>
      <c r="HC37" s="1189"/>
      <c r="HD37" s="1189"/>
      <c r="HE37" s="1189"/>
      <c r="HF37" s="1189"/>
      <c r="HG37" s="1167"/>
      <c r="HH37" s="1167"/>
      <c r="HI37" s="1167"/>
      <c r="HJ37" s="1167"/>
      <c r="HK37" s="1167"/>
      <c r="HL37" s="1167"/>
      <c r="HM37" s="1167"/>
      <c r="HN37" s="1167"/>
      <c r="HO37" s="1167"/>
      <c r="HP37" s="1167"/>
      <c r="HQ37" s="1167"/>
      <c r="HR37" s="1167"/>
      <c r="HS37" s="1167"/>
      <c r="HT37" s="1167"/>
      <c r="HU37" s="1167"/>
      <c r="HV37" s="1167"/>
      <c r="HW37" s="1167"/>
      <c r="HX37" s="1167"/>
      <c r="HY37" s="1167"/>
      <c r="HZ37" s="1167"/>
      <c r="IA37" s="1167"/>
      <c r="IB37" s="1167"/>
      <c r="IC37" s="1167"/>
      <c r="ID37" s="1167"/>
      <c r="IE37" s="1167"/>
      <c r="IF37" s="1167"/>
    </row>
    <row r="38" customFormat="false" ht="12.75" hidden="false" customHeight="true" outlineLevel="0" collapsed="false">
      <c r="A38" s="1453"/>
      <c r="B38" s="1167"/>
      <c r="C38" s="1167"/>
      <c r="D38" s="1167"/>
      <c r="E38" s="1453"/>
      <c r="F38" s="1167"/>
      <c r="G38" s="1167"/>
      <c r="H38" s="1167"/>
      <c r="I38" s="1453"/>
      <c r="J38" s="1167"/>
      <c r="K38" s="1167"/>
      <c r="L38" s="1167"/>
      <c r="M38" s="1167"/>
      <c r="N38" s="1167"/>
      <c r="O38" s="1167"/>
      <c r="P38" s="1189"/>
      <c r="Q38" s="1189"/>
      <c r="R38" s="1189"/>
      <c r="S38" s="1453"/>
      <c r="T38" s="1167"/>
      <c r="U38" s="1167"/>
      <c r="V38" s="1167"/>
      <c r="W38" s="1167"/>
      <c r="X38" s="1167"/>
      <c r="Y38" s="1167"/>
      <c r="Z38" s="1167"/>
      <c r="AA38" s="1167"/>
      <c r="AB38" s="1167"/>
      <c r="AC38" s="1167"/>
      <c r="AD38" s="1167"/>
      <c r="AE38" s="1167"/>
      <c r="AF38" s="1167"/>
      <c r="AG38" s="1167"/>
      <c r="AH38" s="1453"/>
      <c r="AI38" s="1198"/>
      <c r="AJ38" s="1198"/>
      <c r="AK38" s="1198"/>
      <c r="AL38" s="1198"/>
      <c r="AM38" s="1198"/>
      <c r="AN38" s="1198"/>
      <c r="AO38" s="1198"/>
      <c r="AP38" s="1198"/>
      <c r="AQ38" s="1198"/>
      <c r="AR38" s="1198"/>
      <c r="AS38" s="1198"/>
      <c r="AT38" s="1481"/>
      <c r="AU38" s="1198"/>
      <c r="AV38" s="1198"/>
      <c r="AW38" s="1198"/>
      <c r="AX38" s="1198"/>
      <c r="AY38" s="1198"/>
      <c r="AZ38" s="1198"/>
      <c r="BA38" s="1198"/>
      <c r="BB38" s="1198"/>
      <c r="BC38" s="1198"/>
      <c r="BD38" s="1198"/>
      <c r="BE38" s="1198"/>
      <c r="BF38" s="1198"/>
      <c r="BG38" s="1198"/>
      <c r="BH38" s="1189"/>
      <c r="BI38" s="1189"/>
      <c r="BJ38" s="1189"/>
      <c r="BK38" s="1189"/>
      <c r="BL38" s="1189"/>
      <c r="BM38" s="1189"/>
      <c r="BN38" s="1189"/>
      <c r="BO38" s="1189"/>
      <c r="BP38" s="1189"/>
      <c r="BQ38" s="1189"/>
      <c r="BR38" s="1189"/>
      <c r="BS38" s="1189"/>
      <c r="BT38" s="1189"/>
      <c r="BU38" s="1189"/>
      <c r="BV38" s="1189"/>
      <c r="BW38" s="1189"/>
      <c r="BX38" s="1189"/>
      <c r="BY38" s="1189"/>
      <c r="BZ38" s="1189"/>
      <c r="CA38" s="1189"/>
      <c r="CB38" s="1189"/>
      <c r="CC38" s="1189"/>
      <c r="CD38" s="1189"/>
      <c r="CE38" s="1189"/>
      <c r="CF38" s="1189"/>
      <c r="CG38" s="1189"/>
      <c r="CH38" s="1189"/>
      <c r="CI38" s="1189"/>
      <c r="CJ38" s="1482"/>
      <c r="CK38" s="1167"/>
      <c r="CL38" s="1167"/>
      <c r="CM38" s="1167"/>
      <c r="CN38" s="1167"/>
      <c r="CO38" s="1167"/>
      <c r="CP38" s="1167"/>
      <c r="CQ38" s="1167"/>
      <c r="CR38" s="1167"/>
      <c r="CS38" s="1167"/>
      <c r="CT38" s="1167"/>
      <c r="CU38" s="1167"/>
      <c r="CV38" s="1453"/>
      <c r="CW38" s="1167"/>
      <c r="CX38" s="1167"/>
      <c r="CY38" s="1167"/>
      <c r="CZ38" s="1167"/>
      <c r="DA38" s="1167"/>
      <c r="DB38" s="1167"/>
      <c r="DC38" s="1167"/>
      <c r="DD38" s="1167"/>
      <c r="DE38" s="1167"/>
      <c r="DF38" s="1167"/>
      <c r="DG38" s="1167"/>
      <c r="DH38" s="1167"/>
      <c r="DI38" s="1167"/>
      <c r="DJ38" s="1167"/>
      <c r="DK38" s="1167"/>
      <c r="DL38" s="1167"/>
      <c r="DM38" s="1167"/>
      <c r="DN38" s="1167"/>
      <c r="DO38" s="1167"/>
      <c r="DP38" s="1167"/>
      <c r="DQ38" s="1167"/>
      <c r="DR38" s="1167"/>
      <c r="DS38" s="1167"/>
      <c r="DT38" s="1167"/>
      <c r="DU38" s="1453"/>
      <c r="DV38" s="1167"/>
      <c r="DW38" s="1167"/>
      <c r="DX38" s="1167"/>
      <c r="DY38" s="1167"/>
      <c r="DZ38" s="1167"/>
      <c r="EA38" s="1167"/>
      <c r="EB38" s="1167"/>
      <c r="EC38" s="1167"/>
      <c r="ED38" s="1167"/>
      <c r="EE38" s="1167"/>
      <c r="EF38" s="1167"/>
      <c r="EG38" s="1167"/>
      <c r="EH38" s="1167"/>
      <c r="EI38" s="1167"/>
      <c r="EJ38" s="1453"/>
      <c r="EK38" s="1167"/>
      <c r="EL38" s="1475"/>
      <c r="EM38" s="1475"/>
      <c r="EN38" s="1475"/>
      <c r="EO38" s="1475"/>
      <c r="EP38" s="1475"/>
      <c r="EQ38" s="1475"/>
      <c r="ER38" s="1475"/>
      <c r="ES38" s="1167"/>
      <c r="ET38" s="1453"/>
      <c r="EU38" s="1517"/>
      <c r="EV38" s="1262"/>
      <c r="EW38" s="1262"/>
      <c r="EX38" s="1262"/>
      <c r="EY38" s="1262"/>
      <c r="EZ38" s="1262"/>
      <c r="FA38" s="1262"/>
      <c r="FB38" s="1262"/>
      <c r="FC38" s="1262"/>
      <c r="FD38" s="1262"/>
      <c r="FE38" s="1262"/>
      <c r="FF38" s="1262"/>
      <c r="FG38" s="1262"/>
      <c r="FH38" s="1167"/>
      <c r="FI38" s="1465"/>
      <c r="FJ38" s="1699"/>
      <c r="FK38" s="1699"/>
      <c r="FL38" s="1699"/>
      <c r="FM38" s="1699"/>
      <c r="FN38" s="1699"/>
      <c r="FO38" s="1167"/>
      <c r="FP38" s="1167"/>
      <c r="FQ38" s="1167"/>
      <c r="FR38" s="1167"/>
      <c r="FS38" s="1167"/>
      <c r="FT38" s="1167"/>
      <c r="FU38" s="1167"/>
      <c r="FV38" s="1167"/>
      <c r="FW38" s="1167"/>
      <c r="FX38" s="1167"/>
      <c r="FY38" s="1167"/>
      <c r="FZ38" s="1167"/>
      <c r="GA38" s="1453"/>
      <c r="GB38" s="1167"/>
      <c r="GC38" s="1167"/>
      <c r="GD38" s="1167"/>
      <c r="GE38" s="1167"/>
      <c r="GF38" s="1167"/>
      <c r="GG38" s="1453"/>
      <c r="GH38" s="1167"/>
      <c r="GI38" s="1167"/>
      <c r="GJ38" s="1167"/>
      <c r="GK38" s="1167"/>
      <c r="GL38" s="1167"/>
      <c r="GM38" s="1167"/>
      <c r="GN38" s="1167"/>
      <c r="GO38" s="1167"/>
      <c r="GP38" s="1167"/>
      <c r="GQ38" s="1167"/>
      <c r="GR38" s="1167"/>
      <c r="GS38" s="1167"/>
      <c r="GT38" s="1167"/>
      <c r="GU38" s="1167"/>
      <c r="GV38" s="1163"/>
      <c r="GW38" s="1224"/>
      <c r="GX38" s="1217"/>
      <c r="GY38" s="1217"/>
      <c r="GZ38" s="1218"/>
      <c r="HA38" s="1218"/>
      <c r="HB38" s="1218"/>
      <c r="HC38" s="1471"/>
      <c r="HD38" s="1167"/>
      <c r="HE38" s="1189"/>
      <c r="HF38" s="1167"/>
      <c r="HG38" s="1167"/>
      <c r="HH38" s="1167"/>
      <c r="HI38" s="1167"/>
      <c r="HJ38" s="1167"/>
      <c r="HK38" s="1167"/>
      <c r="HL38" s="1167"/>
      <c r="HM38" s="1167"/>
      <c r="HN38" s="1167"/>
      <c r="HO38" s="1167"/>
      <c r="HP38" s="1167"/>
      <c r="HQ38" s="1167"/>
      <c r="HR38" s="1167"/>
      <c r="HS38" s="1167"/>
      <c r="HT38" s="1167"/>
      <c r="HU38" s="1167"/>
      <c r="HV38" s="1167"/>
      <c r="HW38" s="1167"/>
      <c r="HX38" s="1167"/>
      <c r="HY38" s="1167"/>
      <c r="HZ38" s="1167"/>
      <c r="IA38" s="1167"/>
      <c r="IB38" s="1167"/>
      <c r="IC38" s="1167"/>
      <c r="ID38" s="1167"/>
      <c r="IE38" s="1167"/>
      <c r="IF38" s="1167"/>
    </row>
    <row r="39" customFormat="false" ht="12.75" hidden="false" customHeight="true" outlineLevel="0" collapsed="false">
      <c r="A39" s="1453"/>
      <c r="B39" s="1167"/>
      <c r="C39" s="1167"/>
      <c r="D39" s="1167"/>
      <c r="E39" s="1453"/>
      <c r="F39" s="1167"/>
      <c r="G39" s="1167"/>
      <c r="H39" s="1167"/>
      <c r="I39" s="1453"/>
      <c r="J39" s="1167"/>
      <c r="K39" s="1167"/>
      <c r="L39" s="1167"/>
      <c r="M39" s="1167"/>
      <c r="N39" s="1167"/>
      <c r="O39" s="1167"/>
      <c r="P39" s="1189"/>
      <c r="Q39" s="1189"/>
      <c r="R39" s="1189"/>
      <c r="S39" s="1453"/>
      <c r="T39" s="1167"/>
      <c r="U39" s="1167"/>
      <c r="V39" s="1167"/>
      <c r="W39" s="1167"/>
      <c r="X39" s="1167"/>
      <c r="Y39" s="1167"/>
      <c r="Z39" s="1167"/>
      <c r="AA39" s="1167"/>
      <c r="AB39" s="1167"/>
      <c r="AC39" s="1167"/>
      <c r="AD39" s="1167"/>
      <c r="AE39" s="1167"/>
      <c r="AF39" s="1167"/>
      <c r="AG39" s="1167"/>
      <c r="AH39" s="1453"/>
      <c r="AI39" s="1198"/>
      <c r="AJ39" s="1198"/>
      <c r="AK39" s="1198"/>
      <c r="AL39" s="1198"/>
      <c r="AM39" s="1198"/>
      <c r="AN39" s="1198"/>
      <c r="AO39" s="1198"/>
      <c r="AP39" s="1198"/>
      <c r="AQ39" s="1198"/>
      <c r="AR39" s="1198"/>
      <c r="AS39" s="1198"/>
      <c r="AT39" s="1481"/>
      <c r="AU39" s="1198"/>
      <c r="AV39" s="1198"/>
      <c r="AW39" s="1198"/>
      <c r="AX39" s="1198"/>
      <c r="AY39" s="1198"/>
      <c r="AZ39" s="1198"/>
      <c r="BA39" s="1198"/>
      <c r="BB39" s="1198"/>
      <c r="BC39" s="1198"/>
      <c r="BD39" s="1198"/>
      <c r="BE39" s="1198"/>
      <c r="BF39" s="1198"/>
      <c r="BG39" s="1198"/>
      <c r="BH39" s="1189"/>
      <c r="BI39" s="1189"/>
      <c r="BJ39" s="1189"/>
      <c r="BK39" s="1189"/>
      <c r="BL39" s="1189"/>
      <c r="BM39" s="1189"/>
      <c r="BN39" s="1189"/>
      <c r="BO39" s="1189"/>
      <c r="BP39" s="1189"/>
      <c r="BQ39" s="1189"/>
      <c r="BR39" s="1189"/>
      <c r="BS39" s="1189"/>
      <c r="BT39" s="1189"/>
      <c r="BU39" s="1189"/>
      <c r="BV39" s="1189"/>
      <c r="BW39" s="1189"/>
      <c r="BX39" s="1189"/>
      <c r="BY39" s="1189"/>
      <c r="BZ39" s="1189"/>
      <c r="CA39" s="1189"/>
      <c r="CB39" s="1189"/>
      <c r="CC39" s="1189"/>
      <c r="CD39" s="1189"/>
      <c r="CE39" s="1189"/>
      <c r="CF39" s="1189"/>
      <c r="CG39" s="1189"/>
      <c r="CH39" s="1189"/>
      <c r="CI39" s="1189"/>
      <c r="CJ39" s="1482"/>
      <c r="CK39" s="1167"/>
      <c r="CL39" s="1167"/>
      <c r="CM39" s="1167"/>
      <c r="CN39" s="1167"/>
      <c r="CO39" s="1167"/>
      <c r="CP39" s="1167"/>
      <c r="CQ39" s="1167"/>
      <c r="CR39" s="1167"/>
      <c r="CS39" s="1167"/>
      <c r="CT39" s="1167"/>
      <c r="CU39" s="1167"/>
      <c r="CV39" s="1453"/>
      <c r="CW39" s="1167"/>
      <c r="CX39" s="1167"/>
      <c r="CY39" s="1167"/>
      <c r="CZ39" s="1167"/>
      <c r="DA39" s="1167"/>
      <c r="DB39" s="1167"/>
      <c r="DC39" s="1167"/>
      <c r="DD39" s="1167"/>
      <c r="DE39" s="1167"/>
      <c r="DF39" s="1167"/>
      <c r="DG39" s="1167"/>
      <c r="DH39" s="1167"/>
      <c r="DI39" s="1167"/>
      <c r="DJ39" s="1167"/>
      <c r="DK39" s="1167"/>
      <c r="DL39" s="1167"/>
      <c r="DM39" s="1167"/>
      <c r="DN39" s="1167"/>
      <c r="DO39" s="1167"/>
      <c r="DP39" s="1167"/>
      <c r="DQ39" s="1167"/>
      <c r="DR39" s="1167"/>
      <c r="DS39" s="1167"/>
      <c r="DT39" s="1167"/>
      <c r="DU39" s="1453"/>
      <c r="DV39" s="1167"/>
      <c r="DW39" s="1167"/>
      <c r="DX39" s="1167"/>
      <c r="DY39" s="1167"/>
      <c r="DZ39" s="1167"/>
      <c r="EA39" s="1167"/>
      <c r="EB39" s="1167"/>
      <c r="EC39" s="1167"/>
      <c r="ED39" s="1167"/>
      <c r="EE39" s="1167"/>
      <c r="EF39" s="1167"/>
      <c r="EG39" s="1167"/>
      <c r="EH39" s="1167"/>
      <c r="EI39" s="1167"/>
      <c r="EJ39" s="1453"/>
      <c r="EK39" s="1167"/>
      <c r="EL39" s="1475"/>
      <c r="EM39" s="1475"/>
      <c r="EN39" s="1475"/>
      <c r="EO39" s="1475"/>
      <c r="EP39" s="1475"/>
      <c r="EQ39" s="1475"/>
      <c r="ER39" s="1475"/>
      <c r="ES39" s="1167"/>
      <c r="ET39" s="1453"/>
      <c r="EU39" s="1517"/>
      <c r="EV39" s="1262"/>
      <c r="EW39" s="1262"/>
      <c r="EX39" s="1262"/>
      <c r="EY39" s="1262"/>
      <c r="EZ39" s="1262"/>
      <c r="FA39" s="1262"/>
      <c r="FB39" s="1262"/>
      <c r="FC39" s="1262"/>
      <c r="FD39" s="1262"/>
      <c r="FE39" s="1262"/>
      <c r="FF39" s="1262"/>
      <c r="FG39" s="1262"/>
      <c r="FH39" s="1167"/>
      <c r="FI39" s="1465"/>
      <c r="FJ39" s="1699"/>
      <c r="FK39" s="1699"/>
      <c r="FL39" s="1699"/>
      <c r="FM39" s="1699"/>
      <c r="FN39" s="1699"/>
      <c r="FO39" s="1167"/>
      <c r="FP39" s="1167"/>
      <c r="FQ39" s="1167"/>
      <c r="FR39" s="1167"/>
      <c r="FS39" s="1167"/>
      <c r="FT39" s="1167"/>
      <c r="FU39" s="1167"/>
      <c r="FV39" s="1167"/>
      <c r="FW39" s="1167"/>
      <c r="FX39" s="1167"/>
      <c r="FY39" s="1167"/>
      <c r="FZ39" s="1167"/>
      <c r="GA39" s="1453"/>
      <c r="GB39" s="1167"/>
      <c r="GC39" s="1167"/>
      <c r="GD39" s="1167"/>
      <c r="GE39" s="1167"/>
      <c r="GF39" s="1167"/>
      <c r="GG39" s="1453"/>
      <c r="GH39" s="1167"/>
      <c r="GI39" s="1167"/>
      <c r="GJ39" s="1167"/>
      <c r="GK39" s="1167"/>
      <c r="GL39" s="1167"/>
      <c r="GM39" s="1167"/>
      <c r="GN39" s="1167"/>
      <c r="GO39" s="1167"/>
      <c r="GP39" s="1167"/>
      <c r="GQ39" s="1167"/>
      <c r="GR39" s="1167"/>
      <c r="GS39" s="1167"/>
      <c r="GT39" s="1167"/>
      <c r="GU39" s="1167"/>
      <c r="GV39" s="1163"/>
      <c r="GW39" s="1224"/>
      <c r="GX39" s="1217"/>
      <c r="GY39" s="1217"/>
      <c r="GZ39" s="1218"/>
      <c r="HA39" s="1218"/>
      <c r="HB39" s="1218"/>
      <c r="HC39" s="1189"/>
      <c r="HD39" s="1189"/>
      <c r="HE39" s="1189"/>
      <c r="HF39" s="1189"/>
      <c r="HG39" s="1167"/>
      <c r="HH39" s="1167"/>
      <c r="HI39" s="1167"/>
      <c r="HJ39" s="1167"/>
      <c r="HK39" s="1167"/>
      <c r="HL39" s="1167"/>
      <c r="HM39" s="1167"/>
      <c r="HN39" s="1167"/>
      <c r="HO39" s="1167"/>
      <c r="HP39" s="1167"/>
      <c r="HQ39" s="1167"/>
      <c r="HR39" s="1167"/>
      <c r="HS39" s="1167"/>
      <c r="HT39" s="1167"/>
      <c r="HU39" s="1167"/>
      <c r="HV39" s="1167"/>
      <c r="HW39" s="1167"/>
      <c r="HX39" s="1167"/>
      <c r="HY39" s="1167"/>
      <c r="HZ39" s="1167"/>
      <c r="IA39" s="1167"/>
      <c r="IB39" s="1167"/>
      <c r="IC39" s="1167"/>
      <c r="ID39" s="1167"/>
      <c r="IE39" s="1167"/>
      <c r="IF39" s="1167"/>
    </row>
    <row r="40" customFormat="false" ht="12.75" hidden="false" customHeight="true" outlineLevel="0" collapsed="false">
      <c r="A40" s="1453"/>
      <c r="B40" s="1167"/>
      <c r="C40" s="1167"/>
      <c r="D40" s="1167"/>
      <c r="E40" s="1453"/>
      <c r="F40" s="1167"/>
      <c r="G40" s="1167"/>
      <c r="H40" s="1167"/>
      <c r="I40" s="1453"/>
      <c r="J40" s="1167"/>
      <c r="K40" s="1167"/>
      <c r="L40" s="1167"/>
      <c r="M40" s="1167"/>
      <c r="N40" s="1167"/>
      <c r="O40" s="1167"/>
      <c r="P40" s="1189"/>
      <c r="Q40" s="1189"/>
      <c r="R40" s="1189"/>
      <c r="S40" s="1453"/>
      <c r="T40" s="1167"/>
      <c r="U40" s="1167"/>
      <c r="V40" s="1167"/>
      <c r="W40" s="1167"/>
      <c r="X40" s="1167"/>
      <c r="Y40" s="1167"/>
      <c r="Z40" s="1167"/>
      <c r="AA40" s="1167"/>
      <c r="AB40" s="1167"/>
      <c r="AC40" s="1167"/>
      <c r="AD40" s="1167"/>
      <c r="AE40" s="1167"/>
      <c r="AF40" s="1167"/>
      <c r="AG40" s="1167"/>
      <c r="AH40" s="1453"/>
      <c r="AI40" s="1198"/>
      <c r="AJ40" s="1198"/>
      <c r="AK40" s="1198"/>
      <c r="AL40" s="1198"/>
      <c r="AM40" s="1198"/>
      <c r="AN40" s="1198"/>
      <c r="AO40" s="1198"/>
      <c r="AP40" s="1198"/>
      <c r="AQ40" s="1198"/>
      <c r="AR40" s="1198"/>
      <c r="AS40" s="1198"/>
      <c r="AT40" s="1481"/>
      <c r="AU40" s="1198"/>
      <c r="AV40" s="1198"/>
      <c r="AW40" s="1198"/>
      <c r="AX40" s="1198"/>
      <c r="AY40" s="1198"/>
      <c r="AZ40" s="1198"/>
      <c r="BA40" s="1198"/>
      <c r="BB40" s="1198"/>
      <c r="BC40" s="1198"/>
      <c r="BD40" s="1198"/>
      <c r="BE40" s="1198"/>
      <c r="BF40" s="1198"/>
      <c r="BG40" s="1198"/>
      <c r="BH40" s="1189"/>
      <c r="BI40" s="1189"/>
      <c r="BJ40" s="1189"/>
      <c r="BK40" s="1189"/>
      <c r="BL40" s="1189"/>
      <c r="BM40" s="1189"/>
      <c r="BN40" s="1189"/>
      <c r="BO40" s="1189"/>
      <c r="BP40" s="1189"/>
      <c r="BQ40" s="1189"/>
      <c r="BR40" s="1189"/>
      <c r="BS40" s="1189"/>
      <c r="BT40" s="1189"/>
      <c r="BU40" s="1189"/>
      <c r="BV40" s="1189"/>
      <c r="BW40" s="1189"/>
      <c r="BX40" s="1189"/>
      <c r="BY40" s="1189"/>
      <c r="BZ40" s="1189"/>
      <c r="CA40" s="1189"/>
      <c r="CB40" s="1189"/>
      <c r="CC40" s="1189"/>
      <c r="CD40" s="1189"/>
      <c r="CE40" s="1189"/>
      <c r="CF40" s="1189"/>
      <c r="CG40" s="1189"/>
      <c r="CH40" s="1189"/>
      <c r="CI40" s="1189"/>
      <c r="CJ40" s="1482"/>
      <c r="CK40" s="1167"/>
      <c r="CL40" s="1167"/>
      <c r="CM40" s="1167"/>
      <c r="CN40" s="1167"/>
      <c r="CO40" s="1167"/>
      <c r="CP40" s="1167"/>
      <c r="CQ40" s="1167"/>
      <c r="CR40" s="1167"/>
      <c r="CS40" s="1167"/>
      <c r="CT40" s="1167"/>
      <c r="CU40" s="1167"/>
      <c r="CV40" s="1453"/>
      <c r="CW40" s="1167"/>
      <c r="CX40" s="1167"/>
      <c r="CY40" s="1167"/>
      <c r="CZ40" s="1167"/>
      <c r="DA40" s="1167"/>
      <c r="DB40" s="1167"/>
      <c r="DC40" s="1167"/>
      <c r="DD40" s="1167"/>
      <c r="DE40" s="1167"/>
      <c r="DF40" s="1167"/>
      <c r="DG40" s="1167"/>
      <c r="DH40" s="1167"/>
      <c r="DI40" s="1167"/>
      <c r="DJ40" s="1167"/>
      <c r="DK40" s="1167"/>
      <c r="DL40" s="1167"/>
      <c r="DM40" s="1167"/>
      <c r="DN40" s="1167"/>
      <c r="DO40" s="1167"/>
      <c r="DP40" s="1167"/>
      <c r="DQ40" s="1167"/>
      <c r="DR40" s="1167"/>
      <c r="DS40" s="1167"/>
      <c r="DT40" s="1167"/>
      <c r="DU40" s="1453"/>
      <c r="DV40" s="1167"/>
      <c r="DW40" s="1167"/>
      <c r="DX40" s="1167"/>
      <c r="DY40" s="1167"/>
      <c r="DZ40" s="1167"/>
      <c r="EA40" s="1167"/>
      <c r="EB40" s="1167"/>
      <c r="EC40" s="1167"/>
      <c r="ED40" s="1167"/>
      <c r="EE40" s="1167"/>
      <c r="EF40" s="1167"/>
      <c r="EG40" s="1167"/>
      <c r="EH40" s="1167"/>
      <c r="EI40" s="1167"/>
      <c r="EJ40" s="1453"/>
      <c r="EK40" s="1167"/>
      <c r="EL40" s="1475"/>
      <c r="EM40" s="1475"/>
      <c r="EN40" s="1475"/>
      <c r="EO40" s="1475"/>
      <c r="EP40" s="1475"/>
      <c r="EQ40" s="1475"/>
      <c r="ER40" s="1475"/>
      <c r="ES40" s="1167"/>
      <c r="ET40" s="1453"/>
      <c r="EU40" s="1517"/>
      <c r="EV40" s="1262"/>
      <c r="EW40" s="1262"/>
      <c r="EX40" s="1262"/>
      <c r="EY40" s="1262"/>
      <c r="EZ40" s="1262"/>
      <c r="FA40" s="1262"/>
      <c r="FB40" s="1262"/>
      <c r="FC40" s="1262"/>
      <c r="FD40" s="1262"/>
      <c r="FE40" s="1262"/>
      <c r="FF40" s="1262"/>
      <c r="FG40" s="1262"/>
      <c r="FH40" s="1475"/>
      <c r="FI40" s="1465"/>
      <c r="FJ40" s="1699"/>
      <c r="FK40" s="1699"/>
      <c r="FL40" s="1699"/>
      <c r="FM40" s="1699"/>
      <c r="FN40" s="1699"/>
      <c r="FO40" s="1167"/>
      <c r="FP40" s="1167"/>
      <c r="FQ40" s="1167"/>
      <c r="FR40" s="1167"/>
      <c r="FS40" s="1167"/>
      <c r="FT40" s="1167"/>
      <c r="FU40" s="1167"/>
      <c r="FV40" s="1167"/>
      <c r="FW40" s="1167"/>
      <c r="FX40" s="1167"/>
      <c r="FY40" s="1167"/>
      <c r="FZ40" s="1167"/>
      <c r="GA40" s="1453"/>
      <c r="GB40" s="1167"/>
      <c r="GC40" s="1167"/>
      <c r="GD40" s="1167"/>
      <c r="GE40" s="1167"/>
      <c r="GF40" s="1167"/>
      <c r="GG40" s="1453"/>
      <c r="GH40" s="1167"/>
      <c r="GI40" s="1167"/>
      <c r="GJ40" s="1167"/>
      <c r="GK40" s="1167"/>
      <c r="GL40" s="1167"/>
      <c r="GM40" s="1167"/>
      <c r="GN40" s="1167"/>
      <c r="GO40" s="1167"/>
      <c r="GP40" s="1167"/>
      <c r="GQ40" s="1167"/>
      <c r="GR40" s="1167"/>
      <c r="GS40" s="1167"/>
      <c r="GT40" s="1167"/>
      <c r="GU40" s="1167"/>
      <c r="GV40" s="1163"/>
      <c r="GW40" s="1224"/>
      <c r="GX40" s="1217"/>
      <c r="GY40" s="1217"/>
      <c r="GZ40" s="1218"/>
      <c r="HA40" s="1218"/>
      <c r="HB40" s="1218"/>
      <c r="HC40" s="1189"/>
      <c r="HD40" s="1189"/>
      <c r="HE40" s="1167"/>
      <c r="HF40" s="1167"/>
      <c r="HG40" s="1167"/>
      <c r="HH40" s="1167"/>
      <c r="HI40" s="1167"/>
      <c r="HJ40" s="1167"/>
      <c r="HK40" s="1167"/>
      <c r="HL40" s="1167"/>
      <c r="HM40" s="1167"/>
      <c r="HN40" s="1167"/>
      <c r="HO40" s="1167"/>
      <c r="HP40" s="1167"/>
      <c r="HQ40" s="1167"/>
      <c r="HR40" s="1167"/>
      <c r="HS40" s="1167"/>
      <c r="HT40" s="1167"/>
      <c r="HU40" s="1167"/>
      <c r="HV40" s="1167"/>
      <c r="HW40" s="1167"/>
      <c r="HX40" s="1167"/>
      <c r="HY40" s="1167"/>
      <c r="HZ40" s="1167"/>
      <c r="IA40" s="1167"/>
      <c r="IB40" s="1167"/>
      <c r="IC40" s="1167"/>
      <c r="ID40" s="1167"/>
      <c r="IE40" s="1167"/>
      <c r="IF40" s="1167"/>
    </row>
    <row r="41" customFormat="false" ht="12.75" hidden="false" customHeight="true" outlineLevel="0" collapsed="false">
      <c r="A41" s="1453"/>
      <c r="B41" s="1167"/>
      <c r="C41" s="1167"/>
      <c r="D41" s="1167"/>
      <c r="E41" s="1453"/>
      <c r="F41" s="1167"/>
      <c r="G41" s="1167"/>
      <c r="H41" s="1167"/>
      <c r="I41" s="1453"/>
      <c r="J41" s="1167"/>
      <c r="K41" s="1167"/>
      <c r="L41" s="1167"/>
      <c r="M41" s="1167"/>
      <c r="N41" s="1167"/>
      <c r="O41" s="1167"/>
      <c r="P41" s="1150"/>
      <c r="Q41" s="1150"/>
      <c r="R41" s="1150"/>
      <c r="S41" s="1453"/>
      <c r="T41" s="1167"/>
      <c r="U41" s="1167"/>
      <c r="V41" s="1167"/>
      <c r="W41" s="1167"/>
      <c r="X41" s="1167"/>
      <c r="Y41" s="1167"/>
      <c r="Z41" s="1167"/>
      <c r="AA41" s="1167"/>
      <c r="AB41" s="1167"/>
      <c r="AC41" s="1167"/>
      <c r="AD41" s="1167"/>
      <c r="AE41" s="1167"/>
      <c r="AF41" s="1167"/>
      <c r="AG41" s="1167"/>
      <c r="AH41" s="1453"/>
      <c r="AI41" s="1198"/>
      <c r="AJ41" s="1198"/>
      <c r="AK41" s="1198"/>
      <c r="AL41" s="1198"/>
      <c r="AM41" s="1198"/>
      <c r="AN41" s="1198"/>
      <c r="AO41" s="1198"/>
      <c r="AP41" s="1198"/>
      <c r="AQ41" s="1198"/>
      <c r="AR41" s="1198"/>
      <c r="AS41" s="1198"/>
      <c r="AT41" s="1481"/>
      <c r="AU41" s="1198"/>
      <c r="AV41" s="1198"/>
      <c r="AW41" s="1198"/>
      <c r="AX41" s="1198"/>
      <c r="AY41" s="1198"/>
      <c r="AZ41" s="1198"/>
      <c r="BA41" s="1198"/>
      <c r="BB41" s="1198"/>
      <c r="BC41" s="1198"/>
      <c r="BD41" s="1198"/>
      <c r="BE41" s="1198"/>
      <c r="BF41" s="1198"/>
      <c r="BG41" s="1198"/>
      <c r="BH41" s="1167"/>
      <c r="BI41" s="1167"/>
      <c r="BJ41" s="1167"/>
      <c r="BK41" s="1167"/>
      <c r="BL41" s="1167"/>
      <c r="BM41" s="1167"/>
      <c r="BN41" s="1167"/>
      <c r="BO41" s="1167"/>
      <c r="BP41" s="1167"/>
      <c r="BQ41" s="1167"/>
      <c r="BR41" s="1167"/>
      <c r="BS41" s="1167"/>
      <c r="BT41" s="1167"/>
      <c r="BU41" s="1167"/>
      <c r="BV41" s="1167"/>
      <c r="BW41" s="1167"/>
      <c r="BX41" s="1167"/>
      <c r="BY41" s="1167"/>
      <c r="BZ41" s="1167"/>
      <c r="CA41" s="1167"/>
      <c r="CB41" s="1167"/>
      <c r="CC41" s="1167"/>
      <c r="CD41" s="1167"/>
      <c r="CE41" s="1167"/>
      <c r="CF41" s="1167"/>
      <c r="CG41" s="1167"/>
      <c r="CH41" s="1167"/>
      <c r="CI41" s="1167"/>
      <c r="CJ41" s="1482"/>
      <c r="CK41" s="1167"/>
      <c r="CL41" s="1167"/>
      <c r="CM41" s="1167"/>
      <c r="CN41" s="1167"/>
      <c r="CO41" s="1167"/>
      <c r="CP41" s="1167"/>
      <c r="CQ41" s="1167"/>
      <c r="CR41" s="1167"/>
      <c r="CS41" s="1167"/>
      <c r="CT41" s="1167"/>
      <c r="CU41" s="1167"/>
      <c r="CV41" s="1453"/>
      <c r="CW41" s="1167"/>
      <c r="CX41" s="1167"/>
      <c r="CY41" s="1167"/>
      <c r="CZ41" s="1167"/>
      <c r="DA41" s="1167"/>
      <c r="DB41" s="1167"/>
      <c r="DC41" s="1167"/>
      <c r="DD41" s="1167"/>
      <c r="DE41" s="1167"/>
      <c r="DF41" s="1167"/>
      <c r="DG41" s="1167"/>
      <c r="DH41" s="1167"/>
      <c r="DI41" s="1167"/>
      <c r="DJ41" s="1167"/>
      <c r="DK41" s="1167"/>
      <c r="DL41" s="1167"/>
      <c r="DM41" s="1167"/>
      <c r="DN41" s="1167"/>
      <c r="DO41" s="1167"/>
      <c r="DP41" s="1167"/>
      <c r="DQ41" s="1167"/>
      <c r="DR41" s="1167"/>
      <c r="DS41" s="1167"/>
      <c r="DT41" s="1167"/>
      <c r="DU41" s="1453"/>
      <c r="DV41" s="1167"/>
      <c r="DW41" s="1167"/>
      <c r="DX41" s="1167"/>
      <c r="DY41" s="1167"/>
      <c r="DZ41" s="1167"/>
      <c r="EA41" s="1167"/>
      <c r="EB41" s="1167"/>
      <c r="EC41" s="1167"/>
      <c r="ED41" s="1167"/>
      <c r="EE41" s="1167"/>
      <c r="EF41" s="1167"/>
      <c r="EG41" s="1167"/>
      <c r="EH41" s="1167"/>
      <c r="EI41" s="1167"/>
      <c r="EJ41" s="1453"/>
      <c r="EK41" s="1167"/>
      <c r="EL41" s="1475"/>
      <c r="EM41" s="1475"/>
      <c r="EN41" s="1475"/>
      <c r="EO41" s="1475"/>
      <c r="EP41" s="1475"/>
      <c r="EQ41" s="1475"/>
      <c r="ER41" s="1475"/>
      <c r="ES41" s="1167"/>
      <c r="ET41" s="1453"/>
      <c r="EU41" s="1517"/>
      <c r="EV41" s="1262"/>
      <c r="EW41" s="1262"/>
      <c r="EX41" s="1262"/>
      <c r="EY41" s="1262"/>
      <c r="EZ41" s="1262"/>
      <c r="FA41" s="1262"/>
      <c r="FB41" s="1262"/>
      <c r="FC41" s="1262"/>
      <c r="FD41" s="1198"/>
      <c r="FE41" s="1198"/>
      <c r="FF41" s="1198"/>
      <c r="FG41" s="1198"/>
      <c r="FH41" s="1475"/>
      <c r="FI41" s="1465"/>
      <c r="FJ41" s="1699"/>
      <c r="FK41" s="1699"/>
      <c r="FL41" s="1699"/>
      <c r="FM41" s="1699"/>
      <c r="FN41" s="1699"/>
      <c r="FO41" s="1167"/>
      <c r="FP41" s="1167"/>
      <c r="FQ41" s="1167"/>
      <c r="FR41" s="1167"/>
      <c r="FS41" s="1167"/>
      <c r="FT41" s="1167"/>
      <c r="FU41" s="1167"/>
      <c r="FV41" s="1167"/>
      <c r="FW41" s="1167"/>
      <c r="FX41" s="1167"/>
      <c r="FY41" s="1167"/>
      <c r="FZ41" s="1167"/>
      <c r="GA41" s="1453"/>
      <c r="GB41" s="1167"/>
      <c r="GC41" s="1167"/>
      <c r="GD41" s="1167"/>
      <c r="GE41" s="1167"/>
      <c r="GF41" s="1167"/>
      <c r="GG41" s="1453"/>
      <c r="GH41" s="1167"/>
      <c r="GI41" s="1167"/>
      <c r="GJ41" s="1167"/>
      <c r="GK41" s="1167"/>
      <c r="GL41" s="1167"/>
      <c r="GM41" s="1167"/>
      <c r="GN41" s="1167"/>
      <c r="GO41" s="1167"/>
      <c r="GP41" s="1167"/>
      <c r="GQ41" s="1167"/>
      <c r="GR41" s="1167"/>
      <c r="GS41" s="1167"/>
      <c r="GT41" s="1167"/>
      <c r="GU41" s="1167"/>
      <c r="GV41" s="1163"/>
      <c r="GW41" s="1224"/>
      <c r="GX41" s="1217"/>
      <c r="GY41" s="1217"/>
      <c r="GZ41" s="1218"/>
      <c r="HA41" s="1218"/>
      <c r="HB41" s="1218"/>
      <c r="HC41" s="1189"/>
      <c r="HD41" s="1189"/>
      <c r="HE41" s="1167"/>
      <c r="HF41" s="1167"/>
      <c r="HG41" s="1167"/>
      <c r="HH41" s="1167"/>
      <c r="HI41" s="1167"/>
      <c r="HJ41" s="1167"/>
      <c r="HK41" s="1167"/>
      <c r="HL41" s="1167"/>
      <c r="HM41" s="1167"/>
      <c r="HN41" s="1167"/>
      <c r="HO41" s="1167"/>
      <c r="HP41" s="1167"/>
      <c r="HQ41" s="1167"/>
      <c r="HR41" s="1167"/>
      <c r="HS41" s="1167"/>
      <c r="HT41" s="1167"/>
      <c r="HU41" s="1167"/>
      <c r="HV41" s="1167"/>
      <c r="HW41" s="1167"/>
      <c r="HX41" s="1167"/>
      <c r="HY41" s="1167"/>
      <c r="HZ41" s="1167"/>
      <c r="IA41" s="1167"/>
      <c r="IB41" s="1167"/>
      <c r="IC41" s="1167"/>
      <c r="ID41" s="1167"/>
      <c r="IE41" s="1167"/>
      <c r="IF41" s="1167"/>
    </row>
    <row r="42" customFormat="false" ht="12.75" hidden="false" customHeight="true" outlineLevel="0" collapsed="false">
      <c r="A42" s="1453"/>
      <c r="B42" s="1167"/>
      <c r="C42" s="1167"/>
      <c r="D42" s="1167"/>
      <c r="E42" s="1453"/>
      <c r="F42" s="1167"/>
      <c r="G42" s="1167"/>
      <c r="H42" s="1167"/>
      <c r="I42" s="1453"/>
      <c r="J42" s="1167"/>
      <c r="K42" s="1167"/>
      <c r="L42" s="1167"/>
      <c r="M42" s="1167"/>
      <c r="N42" s="1167"/>
      <c r="O42" s="1167"/>
      <c r="P42" s="1167"/>
      <c r="Q42" s="1167"/>
      <c r="R42" s="1167"/>
      <c r="S42" s="1453"/>
      <c r="T42" s="1167"/>
      <c r="U42" s="1167"/>
      <c r="V42" s="1167"/>
      <c r="W42" s="1167"/>
      <c r="X42" s="1167"/>
      <c r="Y42" s="1167"/>
      <c r="Z42" s="1167"/>
      <c r="AA42" s="1167"/>
      <c r="AB42" s="1167"/>
      <c r="AC42" s="1167"/>
      <c r="AD42" s="1167"/>
      <c r="AE42" s="1167"/>
      <c r="AF42" s="1167"/>
      <c r="AG42" s="1167"/>
      <c r="AH42" s="1453"/>
      <c r="AI42" s="1198"/>
      <c r="AJ42" s="1198"/>
      <c r="AK42" s="1198"/>
      <c r="AL42" s="1198"/>
      <c r="AM42" s="1198"/>
      <c r="AN42" s="1198"/>
      <c r="AO42" s="1198"/>
      <c r="AP42" s="1198"/>
      <c r="AQ42" s="1198"/>
      <c r="AR42" s="1198"/>
      <c r="AS42" s="1198"/>
      <c r="AT42" s="1481"/>
      <c r="AU42" s="1198"/>
      <c r="AV42" s="1198"/>
      <c r="AW42" s="1198"/>
      <c r="AX42" s="1198"/>
      <c r="AY42" s="1198"/>
      <c r="AZ42" s="1198"/>
      <c r="BA42" s="1198"/>
      <c r="BB42" s="1198"/>
      <c r="BC42" s="1198"/>
      <c r="BD42" s="1198"/>
      <c r="BE42" s="1198"/>
      <c r="BF42" s="1198"/>
      <c r="BG42" s="1198"/>
      <c r="BH42" s="1167"/>
      <c r="BI42" s="1167"/>
      <c r="BJ42" s="1167"/>
      <c r="BK42" s="1167"/>
      <c r="BL42" s="1167"/>
      <c r="BM42" s="1167"/>
      <c r="BN42" s="1167"/>
      <c r="BO42" s="1167"/>
      <c r="BP42" s="1167"/>
      <c r="BQ42" s="1167"/>
      <c r="BR42" s="1167"/>
      <c r="BS42" s="1167"/>
      <c r="BT42" s="1167"/>
      <c r="BU42" s="1167"/>
      <c r="BV42" s="1167"/>
      <c r="BW42" s="1167"/>
      <c r="BX42" s="1167"/>
      <c r="BY42" s="1167"/>
      <c r="BZ42" s="1167"/>
      <c r="CA42" s="1167"/>
      <c r="CB42" s="1167"/>
      <c r="CC42" s="1167"/>
      <c r="CD42" s="1167"/>
      <c r="CE42" s="1167"/>
      <c r="CF42" s="1167"/>
      <c r="CG42" s="1167"/>
      <c r="CH42" s="1167"/>
      <c r="CI42" s="1167"/>
      <c r="CJ42" s="1482"/>
      <c r="CK42" s="1167"/>
      <c r="CL42" s="1167"/>
      <c r="CM42" s="1167"/>
      <c r="CN42" s="1167"/>
      <c r="CO42" s="1167"/>
      <c r="CP42" s="1167"/>
      <c r="CQ42" s="1167"/>
      <c r="CR42" s="1167"/>
      <c r="CS42" s="1167"/>
      <c r="CT42" s="1167"/>
      <c r="CU42" s="1167"/>
      <c r="CV42" s="1453"/>
      <c r="CW42" s="1167"/>
      <c r="CX42" s="1167"/>
      <c r="CY42" s="1167"/>
      <c r="CZ42" s="1167"/>
      <c r="DA42" s="1167"/>
      <c r="DB42" s="1167"/>
      <c r="DC42" s="1167"/>
      <c r="DD42" s="1167"/>
      <c r="DE42" s="1167"/>
      <c r="DF42" s="1167"/>
      <c r="DG42" s="1167"/>
      <c r="DH42" s="1167"/>
      <c r="DI42" s="1167"/>
      <c r="DJ42" s="1167"/>
      <c r="DK42" s="1167"/>
      <c r="DL42" s="1167"/>
      <c r="DM42" s="1167"/>
      <c r="DN42" s="1167"/>
      <c r="DO42" s="1167"/>
      <c r="DP42" s="1167"/>
      <c r="DQ42" s="1167"/>
      <c r="DR42" s="1167"/>
      <c r="DS42" s="1167"/>
      <c r="DT42" s="1167"/>
      <c r="DU42" s="1453"/>
      <c r="DV42" s="1167"/>
      <c r="DW42" s="1167"/>
      <c r="DX42" s="1167"/>
      <c r="DY42" s="1167"/>
      <c r="DZ42" s="1167"/>
      <c r="EA42" s="1167"/>
      <c r="EB42" s="1167"/>
      <c r="EC42" s="1167"/>
      <c r="ED42" s="1167"/>
      <c r="EE42" s="1167"/>
      <c r="EF42" s="1167"/>
      <c r="EG42" s="1167"/>
      <c r="EH42" s="1167"/>
      <c r="EI42" s="1167"/>
      <c r="EJ42" s="1453"/>
      <c r="EK42" s="1167"/>
      <c r="EL42" s="1475"/>
      <c r="EM42" s="1475"/>
      <c r="EN42" s="1475"/>
      <c r="EO42" s="1475"/>
      <c r="EP42" s="1475"/>
      <c r="EQ42" s="1475"/>
      <c r="ER42" s="1475"/>
      <c r="ES42" s="1167"/>
      <c r="ET42" s="1453"/>
      <c r="EU42" s="1517"/>
      <c r="EV42" s="1262"/>
      <c r="EW42" s="1262"/>
      <c r="EX42" s="1262"/>
      <c r="EY42" s="1262"/>
      <c r="EZ42" s="1262"/>
      <c r="FA42" s="1262"/>
      <c r="FB42" s="1262"/>
      <c r="FC42" s="1262"/>
      <c r="FD42" s="1198"/>
      <c r="FE42" s="1198"/>
      <c r="FF42" s="1198"/>
      <c r="FG42" s="1198"/>
      <c r="FH42" s="1475"/>
      <c r="FI42" s="1465"/>
      <c r="FJ42" s="1699"/>
      <c r="FK42" s="1699"/>
      <c r="FL42" s="1699"/>
      <c r="FM42" s="1699"/>
      <c r="FN42" s="1699"/>
      <c r="FO42" s="1167"/>
      <c r="FP42" s="1167"/>
      <c r="FQ42" s="1167"/>
      <c r="FR42" s="1167"/>
      <c r="FS42" s="1167"/>
      <c r="FT42" s="1167"/>
      <c r="FU42" s="1167"/>
      <c r="FV42" s="1167"/>
      <c r="FW42" s="1167"/>
      <c r="FX42" s="1167"/>
      <c r="FY42" s="1167"/>
      <c r="FZ42" s="1167"/>
      <c r="GA42" s="1453"/>
      <c r="GB42" s="1167"/>
      <c r="GC42" s="1167"/>
      <c r="GD42" s="1167"/>
      <c r="GE42" s="1167"/>
      <c r="GF42" s="1167"/>
      <c r="GG42" s="1453"/>
      <c r="GH42" s="1167"/>
      <c r="GI42" s="1167"/>
      <c r="GJ42" s="1167"/>
      <c r="GK42" s="1167"/>
      <c r="GL42" s="1167"/>
      <c r="GM42" s="1167"/>
      <c r="GN42" s="1167"/>
      <c r="GO42" s="1167"/>
      <c r="GP42" s="1167"/>
      <c r="GQ42" s="1167"/>
      <c r="GR42" s="1167"/>
      <c r="GS42" s="1167"/>
      <c r="GT42" s="1167"/>
      <c r="GU42" s="1167"/>
      <c r="GV42" s="1163"/>
      <c r="GW42" s="1224"/>
      <c r="GX42" s="1217"/>
      <c r="GY42" s="1217"/>
      <c r="GZ42" s="1218"/>
      <c r="HA42" s="1218"/>
      <c r="HB42" s="1218"/>
      <c r="HC42" s="1189"/>
      <c r="HD42" s="1189"/>
      <c r="HE42" s="1167"/>
      <c r="HF42" s="1167"/>
      <c r="HG42" s="1167"/>
      <c r="HH42" s="1167"/>
      <c r="HI42" s="1167"/>
      <c r="HJ42" s="1167"/>
      <c r="HK42" s="1167"/>
      <c r="HL42" s="1167"/>
      <c r="HM42" s="1167"/>
      <c r="HN42" s="1167"/>
      <c r="HO42" s="1167"/>
      <c r="HP42" s="1167"/>
      <c r="HQ42" s="1167"/>
      <c r="HR42" s="1167"/>
      <c r="HS42" s="1167"/>
      <c r="HT42" s="1167"/>
      <c r="HU42" s="1167"/>
      <c r="HV42" s="1167"/>
      <c r="HW42" s="1167"/>
      <c r="HX42" s="1167"/>
      <c r="HY42" s="1167"/>
      <c r="HZ42" s="1167"/>
      <c r="IA42" s="1167"/>
      <c r="IB42" s="1167"/>
      <c r="IC42" s="1167"/>
      <c r="ID42" s="1167"/>
      <c r="IE42" s="1167"/>
      <c r="IF42" s="1167"/>
    </row>
    <row r="43" customFormat="false" ht="12.75" hidden="false" customHeight="true" outlineLevel="0" collapsed="false">
      <c r="A43" s="1453"/>
      <c r="B43" s="1167"/>
      <c r="C43" s="1167"/>
      <c r="D43" s="1167"/>
      <c r="E43" s="1453"/>
      <c r="F43" s="1167"/>
      <c r="G43" s="1167"/>
      <c r="H43" s="1167"/>
      <c r="I43" s="1453"/>
      <c r="J43" s="1167"/>
      <c r="K43" s="1167"/>
      <c r="L43" s="1167"/>
      <c r="M43" s="1167"/>
      <c r="N43" s="1167"/>
      <c r="O43" s="1167"/>
      <c r="P43" s="1167"/>
      <c r="Q43" s="1167"/>
      <c r="R43" s="1167"/>
      <c r="S43" s="1453"/>
      <c r="T43" s="1167"/>
      <c r="U43" s="1167"/>
      <c r="V43" s="1167"/>
      <c r="W43" s="1167"/>
      <c r="X43" s="1167"/>
      <c r="Y43" s="1167"/>
      <c r="Z43" s="1167"/>
      <c r="AA43" s="1167"/>
      <c r="AB43" s="1167"/>
      <c r="AC43" s="1167"/>
      <c r="AD43" s="1167"/>
      <c r="AE43" s="1167"/>
      <c r="AF43" s="1167"/>
      <c r="AG43" s="1167"/>
      <c r="AH43" s="1453"/>
      <c r="AI43" s="1198"/>
      <c r="AJ43" s="1198"/>
      <c r="AK43" s="1198"/>
      <c r="AL43" s="1198"/>
      <c r="AM43" s="1198"/>
      <c r="AN43" s="1198"/>
      <c r="AO43" s="1198"/>
      <c r="AP43" s="1198"/>
      <c r="AQ43" s="1198"/>
      <c r="AR43" s="1198"/>
      <c r="AS43" s="1198"/>
      <c r="AT43" s="1481"/>
      <c r="AU43" s="1198"/>
      <c r="AV43" s="1198"/>
      <c r="AW43" s="1198"/>
      <c r="AX43" s="1198"/>
      <c r="AY43" s="1198"/>
      <c r="AZ43" s="1198"/>
      <c r="BA43" s="1198"/>
      <c r="BB43" s="1198"/>
      <c r="BC43" s="1198"/>
      <c r="BD43" s="1198"/>
      <c r="BE43" s="1198"/>
      <c r="BF43" s="1198"/>
      <c r="BG43" s="1198"/>
      <c r="BH43" s="1167"/>
      <c r="BI43" s="1167"/>
      <c r="BJ43" s="1167"/>
      <c r="BK43" s="1167"/>
      <c r="BL43" s="1167"/>
      <c r="BM43" s="1167"/>
      <c r="BN43" s="1167"/>
      <c r="BO43" s="1167"/>
      <c r="BP43" s="1167"/>
      <c r="BQ43" s="1167"/>
      <c r="BR43" s="1167"/>
      <c r="BS43" s="1167"/>
      <c r="BT43" s="1167"/>
      <c r="BU43" s="1167"/>
      <c r="BV43" s="1167"/>
      <c r="BW43" s="1167"/>
      <c r="BX43" s="1167"/>
      <c r="BY43" s="1167"/>
      <c r="BZ43" s="1167"/>
      <c r="CA43" s="1167"/>
      <c r="CB43" s="1167"/>
      <c r="CC43" s="1167"/>
      <c r="CD43" s="1167"/>
      <c r="CE43" s="1167"/>
      <c r="CF43" s="1167"/>
      <c r="CG43" s="1167"/>
      <c r="CH43" s="1167"/>
      <c r="CI43" s="1167"/>
      <c r="CJ43" s="1482"/>
      <c r="CK43" s="1167"/>
      <c r="CL43" s="1167"/>
      <c r="CM43" s="1167"/>
      <c r="CN43" s="1167"/>
      <c r="CO43" s="1167"/>
      <c r="CP43" s="1167"/>
      <c r="CQ43" s="1167"/>
      <c r="CR43" s="1167"/>
      <c r="CS43" s="1167"/>
      <c r="CT43" s="1167"/>
      <c r="CU43" s="1167"/>
      <c r="CV43" s="1453"/>
      <c r="CW43" s="1167"/>
      <c r="CX43" s="1167"/>
      <c r="CY43" s="1167"/>
      <c r="CZ43" s="1167"/>
      <c r="DA43" s="1167"/>
      <c r="DB43" s="1167"/>
      <c r="DC43" s="1167"/>
      <c r="DD43" s="1167"/>
      <c r="DE43" s="1167"/>
      <c r="DF43" s="1167"/>
      <c r="DG43" s="1167"/>
      <c r="DH43" s="1167"/>
      <c r="DI43" s="1167"/>
      <c r="DJ43" s="1167"/>
      <c r="DK43" s="1167"/>
      <c r="DL43" s="1167"/>
      <c r="DM43" s="1167"/>
      <c r="DN43" s="1167"/>
      <c r="DO43" s="1167"/>
      <c r="DP43" s="1167"/>
      <c r="DQ43" s="1167"/>
      <c r="DR43" s="1167"/>
      <c r="DS43" s="1167"/>
      <c r="DT43" s="1167"/>
      <c r="DU43" s="1453"/>
      <c r="DV43" s="1167"/>
      <c r="DW43" s="1167"/>
      <c r="DX43" s="1167"/>
      <c r="DY43" s="1167"/>
      <c r="DZ43" s="1167"/>
      <c r="EA43" s="1167"/>
      <c r="EB43" s="1167"/>
      <c r="EC43" s="1167"/>
      <c r="ED43" s="1167"/>
      <c r="EE43" s="1167"/>
      <c r="EF43" s="1167"/>
      <c r="EG43" s="1167"/>
      <c r="EH43" s="1167"/>
      <c r="EI43" s="1167"/>
      <c r="EJ43" s="1453"/>
      <c r="EK43" s="1167"/>
      <c r="EL43" s="1475"/>
      <c r="EM43" s="1475"/>
      <c r="EN43" s="1475"/>
      <c r="EO43" s="1475"/>
      <c r="EP43" s="1475"/>
      <c r="EQ43" s="1475"/>
      <c r="ER43" s="1475"/>
      <c r="ES43" s="1167"/>
      <c r="ET43" s="1453"/>
      <c r="EU43" s="1517"/>
      <c r="EV43" s="1262"/>
      <c r="EW43" s="1262"/>
      <c r="EX43" s="1262"/>
      <c r="EY43" s="1262"/>
      <c r="EZ43" s="1262"/>
      <c r="FA43" s="1262"/>
      <c r="FB43" s="1262"/>
      <c r="FC43" s="1262"/>
      <c r="FD43" s="1198"/>
      <c r="FE43" s="1198"/>
      <c r="FF43" s="1198"/>
      <c r="FG43" s="1198"/>
      <c r="FH43" s="1475"/>
      <c r="FI43" s="1465"/>
      <c r="FJ43" s="1699"/>
      <c r="FK43" s="1699"/>
      <c r="FL43" s="1699"/>
      <c r="FM43" s="1699"/>
      <c r="FN43" s="1699"/>
      <c r="FO43" s="1167"/>
      <c r="FP43" s="1167"/>
      <c r="FQ43" s="1167"/>
      <c r="FR43" s="1167"/>
      <c r="FS43" s="1167"/>
      <c r="FT43" s="1167"/>
      <c r="FU43" s="1167"/>
      <c r="FV43" s="1167"/>
      <c r="FW43" s="1167"/>
      <c r="FX43" s="1167"/>
      <c r="FY43" s="1167"/>
      <c r="FZ43" s="1167"/>
      <c r="GA43" s="1453"/>
      <c r="GB43" s="1167"/>
      <c r="GC43" s="1167"/>
      <c r="GD43" s="1167"/>
      <c r="GE43" s="1167"/>
      <c r="GF43" s="1167"/>
      <c r="GG43" s="1453"/>
      <c r="GH43" s="1167"/>
      <c r="GI43" s="1167"/>
      <c r="GJ43" s="1167"/>
      <c r="GK43" s="1167"/>
      <c r="GL43" s="1167"/>
      <c r="GM43" s="1167"/>
      <c r="GN43" s="1167"/>
      <c r="GO43" s="1167"/>
      <c r="GP43" s="1167"/>
      <c r="GQ43" s="1167"/>
      <c r="GR43" s="1167"/>
      <c r="GS43" s="1167"/>
      <c r="GT43" s="1167"/>
      <c r="GU43" s="1167"/>
      <c r="GV43" s="1163"/>
      <c r="GW43" s="1224"/>
      <c r="GX43" s="1217"/>
      <c r="GY43" s="1217"/>
      <c r="GZ43" s="1218"/>
      <c r="HA43" s="1218"/>
      <c r="HB43" s="1218"/>
      <c r="HC43" s="1189"/>
      <c r="HD43" s="1189"/>
      <c r="HE43" s="1167"/>
      <c r="HF43" s="1167"/>
      <c r="HG43" s="1167"/>
      <c r="HH43" s="1167"/>
      <c r="HI43" s="1167"/>
      <c r="HJ43" s="1167"/>
      <c r="HK43" s="1167"/>
      <c r="HL43" s="1167"/>
      <c r="HM43" s="1167"/>
      <c r="HN43" s="1167"/>
      <c r="HO43" s="1167"/>
      <c r="HP43" s="1167"/>
      <c r="HQ43" s="1167"/>
      <c r="HR43" s="1167"/>
      <c r="HS43" s="1167"/>
      <c r="HT43" s="1167"/>
      <c r="HU43" s="1167"/>
      <c r="HV43" s="1167"/>
      <c r="HW43" s="1167"/>
      <c r="HX43" s="1167"/>
      <c r="HY43" s="1167"/>
      <c r="HZ43" s="1167"/>
      <c r="IA43" s="1167"/>
      <c r="IB43" s="1167"/>
      <c r="IC43" s="1167"/>
      <c r="ID43" s="1167"/>
      <c r="IE43" s="1167"/>
      <c r="IF43" s="1167"/>
    </row>
    <row r="44" customFormat="false" ht="12.75" hidden="false" customHeight="true" outlineLevel="0" collapsed="false">
      <c r="A44" s="1453"/>
      <c r="B44" s="1167"/>
      <c r="C44" s="1167"/>
      <c r="D44" s="1167"/>
      <c r="E44" s="1453"/>
      <c r="F44" s="1167"/>
      <c r="G44" s="1167"/>
      <c r="H44" s="1167"/>
      <c r="I44" s="1453"/>
      <c r="J44" s="1167"/>
      <c r="K44" s="1167"/>
      <c r="L44" s="1167"/>
      <c r="M44" s="1167"/>
      <c r="N44" s="1167"/>
      <c r="O44" s="1167"/>
      <c r="P44" s="1167"/>
      <c r="Q44" s="1167"/>
      <c r="R44" s="1167"/>
      <c r="S44" s="1453"/>
      <c r="T44" s="1167"/>
      <c r="U44" s="1167"/>
      <c r="V44" s="1167"/>
      <c r="W44" s="1167"/>
      <c r="X44" s="1167"/>
      <c r="Y44" s="1167"/>
      <c r="Z44" s="1167"/>
      <c r="AA44" s="1167"/>
      <c r="AB44" s="1167"/>
      <c r="AC44" s="1167"/>
      <c r="AD44" s="1167"/>
      <c r="AE44" s="1167"/>
      <c r="AF44" s="1167"/>
      <c r="AG44" s="1167"/>
      <c r="AH44" s="1453"/>
      <c r="AI44" s="1198"/>
      <c r="AJ44" s="1198"/>
      <c r="AK44" s="1198"/>
      <c r="AL44" s="1198"/>
      <c r="AM44" s="1198"/>
      <c r="AN44" s="1198"/>
      <c r="AO44" s="1198"/>
      <c r="AP44" s="1198"/>
      <c r="AQ44" s="1198"/>
      <c r="AR44" s="1198"/>
      <c r="AS44" s="1198"/>
      <c r="AT44" s="1481"/>
      <c r="AU44" s="1198"/>
      <c r="AV44" s="1198"/>
      <c r="AW44" s="1198"/>
      <c r="AX44" s="1198"/>
      <c r="AY44" s="1198"/>
      <c r="AZ44" s="1198"/>
      <c r="BA44" s="1198"/>
      <c r="BB44" s="1198"/>
      <c r="BC44" s="1198"/>
      <c r="BD44" s="1198"/>
      <c r="BE44" s="1198"/>
      <c r="BF44" s="1198"/>
      <c r="BG44" s="1198"/>
      <c r="BH44" s="1167"/>
      <c r="BI44" s="1167"/>
      <c r="BJ44" s="1167"/>
      <c r="BK44" s="1167"/>
      <c r="BL44" s="1167"/>
      <c r="BM44" s="1167"/>
      <c r="BN44" s="1167"/>
      <c r="BO44" s="1167"/>
      <c r="BP44" s="1167"/>
      <c r="BQ44" s="1167"/>
      <c r="BR44" s="1167"/>
      <c r="BS44" s="1167"/>
      <c r="BT44" s="1167"/>
      <c r="BU44" s="1167"/>
      <c r="BV44" s="1167"/>
      <c r="BW44" s="1167"/>
      <c r="BX44" s="1167"/>
      <c r="BY44" s="1167"/>
      <c r="BZ44" s="1167"/>
      <c r="CA44" s="1167"/>
      <c r="CB44" s="1167"/>
      <c r="CC44" s="1167"/>
      <c r="CD44" s="1167"/>
      <c r="CE44" s="1167"/>
      <c r="CF44" s="1167"/>
      <c r="CG44" s="1167"/>
      <c r="CH44" s="1167"/>
      <c r="CI44" s="1167"/>
      <c r="CJ44" s="1486"/>
      <c r="CK44" s="1167"/>
      <c r="CL44" s="1167"/>
      <c r="CM44" s="1167"/>
      <c r="CN44" s="1167"/>
      <c r="CO44" s="1167"/>
      <c r="CP44" s="1167"/>
      <c r="CQ44" s="1167"/>
      <c r="CR44" s="1167"/>
      <c r="CS44" s="1167"/>
      <c r="CT44" s="1167"/>
      <c r="CU44" s="1167"/>
      <c r="CV44" s="1453"/>
      <c r="CW44" s="1167"/>
      <c r="CX44" s="1167"/>
      <c r="CY44" s="1167"/>
      <c r="CZ44" s="1167"/>
      <c r="DA44" s="1167"/>
      <c r="DB44" s="1167"/>
      <c r="DC44" s="1167"/>
      <c r="DD44" s="1167"/>
      <c r="DE44" s="1167"/>
      <c r="DF44" s="1167"/>
      <c r="DG44" s="1167"/>
      <c r="DH44" s="1167"/>
      <c r="DI44" s="1167"/>
      <c r="DJ44" s="1167"/>
      <c r="DK44" s="1167"/>
      <c r="DL44" s="1167"/>
      <c r="DM44" s="1167"/>
      <c r="DN44" s="1167"/>
      <c r="DO44" s="1167"/>
      <c r="DP44" s="1167"/>
      <c r="DQ44" s="1167"/>
      <c r="DR44" s="1167"/>
      <c r="DS44" s="1167"/>
      <c r="DT44" s="1167"/>
      <c r="DU44" s="1453"/>
      <c r="DV44" s="1167"/>
      <c r="DW44" s="1167"/>
      <c r="DX44" s="1167"/>
      <c r="DY44" s="1167"/>
      <c r="DZ44" s="1167"/>
      <c r="EA44" s="1167"/>
      <c r="EB44" s="1167"/>
      <c r="EC44" s="1167"/>
      <c r="ED44" s="1167"/>
      <c r="EE44" s="1167"/>
      <c r="EF44" s="1167"/>
      <c r="EG44" s="1167"/>
      <c r="EH44" s="1167"/>
      <c r="EI44" s="1167"/>
      <c r="EJ44" s="1453"/>
      <c r="EK44" s="1167"/>
      <c r="EL44" s="1475"/>
      <c r="EM44" s="1475"/>
      <c r="EN44" s="1475"/>
      <c r="EO44" s="1475"/>
      <c r="EP44" s="1475"/>
      <c r="EQ44" s="1475"/>
      <c r="ER44" s="1475"/>
      <c r="ES44" s="1167"/>
      <c r="ET44" s="1453"/>
      <c r="EU44" s="1517"/>
      <c r="EV44" s="1262"/>
      <c r="EW44" s="1262"/>
      <c r="EX44" s="1262"/>
      <c r="EY44" s="1262"/>
      <c r="EZ44" s="1262"/>
      <c r="FA44" s="1262"/>
      <c r="FB44" s="1262"/>
      <c r="FC44" s="1262"/>
      <c r="FD44" s="1198"/>
      <c r="FE44" s="1198"/>
      <c r="FF44" s="1198"/>
      <c r="FG44" s="1198"/>
      <c r="FH44" s="1475"/>
      <c r="FI44" s="1465"/>
      <c r="FJ44" s="1699"/>
      <c r="FK44" s="1699"/>
      <c r="FL44" s="1699"/>
      <c r="FM44" s="1699"/>
      <c r="FN44" s="1699"/>
      <c r="FO44" s="1167"/>
      <c r="FP44" s="1167"/>
      <c r="FQ44" s="1167"/>
      <c r="FR44" s="1167"/>
      <c r="FS44" s="1167"/>
      <c r="FT44" s="1167"/>
      <c r="FU44" s="1167"/>
      <c r="FV44" s="1167"/>
      <c r="FW44" s="1167"/>
      <c r="FX44" s="1167"/>
      <c r="FY44" s="1167"/>
      <c r="FZ44" s="1167"/>
      <c r="GA44" s="1453"/>
      <c r="GB44" s="1167"/>
      <c r="GC44" s="1167"/>
      <c r="GD44" s="1167"/>
      <c r="GE44" s="1167"/>
      <c r="GF44" s="1167"/>
      <c r="GG44" s="1453"/>
      <c r="GH44" s="1167"/>
      <c r="GI44" s="1167"/>
      <c r="GJ44" s="1167"/>
      <c r="GK44" s="1167"/>
      <c r="GL44" s="1167"/>
      <c r="GM44" s="1167"/>
      <c r="GN44" s="1167"/>
      <c r="GO44" s="1167"/>
      <c r="GP44" s="1167"/>
      <c r="GQ44" s="1167"/>
      <c r="GR44" s="1167"/>
      <c r="GS44" s="1167"/>
      <c r="GT44" s="1167"/>
      <c r="GU44" s="1167"/>
      <c r="GV44" s="1163"/>
      <c r="GW44" s="1224"/>
      <c r="GX44" s="1217"/>
      <c r="GY44" s="1217"/>
      <c r="GZ44" s="1218"/>
      <c r="HA44" s="1218"/>
      <c r="HB44" s="1218"/>
      <c r="HC44" s="1189"/>
      <c r="HD44" s="1189"/>
      <c r="HE44" s="1167"/>
      <c r="HF44" s="1167"/>
      <c r="HG44" s="1167"/>
      <c r="HH44" s="1167"/>
      <c r="HI44" s="1167"/>
      <c r="HJ44" s="1167"/>
      <c r="HK44" s="1167"/>
      <c r="HL44" s="1167"/>
      <c r="HM44" s="1167"/>
      <c r="HN44" s="1167"/>
      <c r="HO44" s="1167"/>
      <c r="HP44" s="1167"/>
      <c r="HQ44" s="1167"/>
      <c r="HR44" s="1167"/>
      <c r="HS44" s="1167"/>
      <c r="HT44" s="1167"/>
      <c r="HU44" s="1167"/>
      <c r="HV44" s="1167"/>
      <c r="HW44" s="1167"/>
      <c r="HX44" s="1167"/>
      <c r="HY44" s="1167"/>
      <c r="HZ44" s="1167"/>
      <c r="IA44" s="1167"/>
      <c r="IB44" s="1167"/>
      <c r="IC44" s="1167"/>
      <c r="ID44" s="1167"/>
      <c r="IE44" s="1167"/>
      <c r="IF44" s="1167"/>
    </row>
    <row r="45" customFormat="false" ht="12.75" hidden="false" customHeight="true" outlineLevel="0" collapsed="false">
      <c r="A45" s="1453"/>
      <c r="B45" s="1167"/>
      <c r="C45" s="1167"/>
      <c r="D45" s="1167"/>
      <c r="E45" s="1453"/>
      <c r="F45" s="1167"/>
      <c r="G45" s="1167"/>
      <c r="H45" s="1167"/>
      <c r="I45" s="1453"/>
      <c r="J45" s="1167"/>
      <c r="K45" s="1167"/>
      <c r="L45" s="1167"/>
      <c r="M45" s="1167"/>
      <c r="N45" s="1167"/>
      <c r="O45" s="1167"/>
      <c r="P45" s="1167"/>
      <c r="Q45" s="1167"/>
      <c r="R45" s="1167"/>
      <c r="S45" s="1453"/>
      <c r="T45" s="1167"/>
      <c r="U45" s="1167"/>
      <c r="V45" s="1167"/>
      <c r="W45" s="1167"/>
      <c r="X45" s="1167"/>
      <c r="Y45" s="1167"/>
      <c r="Z45" s="1167"/>
      <c r="AA45" s="1167"/>
      <c r="AB45" s="1167"/>
      <c r="AC45" s="1167"/>
      <c r="AD45" s="1167"/>
      <c r="AE45" s="1167"/>
      <c r="AF45" s="1167"/>
      <c r="AG45" s="1167"/>
      <c r="AH45" s="1453"/>
      <c r="AI45" s="1198"/>
      <c r="AJ45" s="1198"/>
      <c r="AK45" s="1198"/>
      <c r="AL45" s="1198"/>
      <c r="AM45" s="1198"/>
      <c r="AN45" s="1198"/>
      <c r="AO45" s="1198"/>
      <c r="AP45" s="1198"/>
      <c r="AQ45" s="1198"/>
      <c r="AR45" s="1198"/>
      <c r="AS45" s="1198"/>
      <c r="AT45" s="1481"/>
      <c r="AU45" s="1198"/>
      <c r="AV45" s="1198"/>
      <c r="AW45" s="1198"/>
      <c r="AX45" s="1198"/>
      <c r="AY45" s="1198"/>
      <c r="AZ45" s="1198"/>
      <c r="BA45" s="1198"/>
      <c r="BB45" s="1198"/>
      <c r="BC45" s="1198"/>
      <c r="BD45" s="1198"/>
      <c r="BE45" s="1198"/>
      <c r="BF45" s="1198"/>
      <c r="BG45" s="1198"/>
      <c r="BH45" s="1167"/>
      <c r="BI45" s="1167"/>
      <c r="BJ45" s="1167"/>
      <c r="BK45" s="1167"/>
      <c r="BL45" s="1167"/>
      <c r="BM45" s="1167"/>
      <c r="BN45" s="1167"/>
      <c r="BO45" s="1167"/>
      <c r="BP45" s="1167"/>
      <c r="BQ45" s="1167"/>
      <c r="BR45" s="1167"/>
      <c r="BS45" s="1167"/>
      <c r="BT45" s="1167"/>
      <c r="BU45" s="1167"/>
      <c r="BV45" s="1167"/>
      <c r="BW45" s="1167"/>
      <c r="BX45" s="1167"/>
      <c r="BY45" s="1167"/>
      <c r="BZ45" s="1167"/>
      <c r="CA45" s="1167"/>
      <c r="CB45" s="1167"/>
      <c r="CC45" s="1167"/>
      <c r="CD45" s="1167"/>
      <c r="CE45" s="1167"/>
      <c r="CF45" s="1167"/>
      <c r="CG45" s="1167"/>
      <c r="CH45" s="1167"/>
      <c r="CI45" s="1167"/>
      <c r="CJ45" s="1453"/>
      <c r="CK45" s="1167"/>
      <c r="CL45" s="1167"/>
      <c r="CM45" s="1167"/>
      <c r="CN45" s="1167"/>
      <c r="CO45" s="1167"/>
      <c r="CP45" s="1167"/>
      <c r="CQ45" s="1167"/>
      <c r="CR45" s="1167"/>
      <c r="CS45" s="1167"/>
      <c r="CT45" s="1167"/>
      <c r="CU45" s="1167"/>
      <c r="CV45" s="1453"/>
      <c r="CW45" s="1167"/>
      <c r="CX45" s="1167"/>
      <c r="CY45" s="1167"/>
      <c r="CZ45" s="1167"/>
      <c r="DA45" s="1167"/>
      <c r="DB45" s="1167"/>
      <c r="DC45" s="1167"/>
      <c r="DD45" s="1167"/>
      <c r="DE45" s="1167"/>
      <c r="DF45" s="1167"/>
      <c r="DG45" s="1167"/>
      <c r="DH45" s="1167"/>
      <c r="DI45" s="1167"/>
      <c r="DJ45" s="1167"/>
      <c r="DK45" s="1167"/>
      <c r="DL45" s="1167"/>
      <c r="DM45" s="1167"/>
      <c r="DN45" s="1167"/>
      <c r="DO45" s="1167"/>
      <c r="DP45" s="1167"/>
      <c r="DQ45" s="1167"/>
      <c r="DR45" s="1167"/>
      <c r="DS45" s="1167"/>
      <c r="DT45" s="1167"/>
      <c r="DU45" s="1453"/>
      <c r="DV45" s="1167"/>
      <c r="DW45" s="1167"/>
      <c r="DX45" s="1167"/>
      <c r="DY45" s="1167"/>
      <c r="DZ45" s="1167"/>
      <c r="EA45" s="1167"/>
      <c r="EB45" s="1167"/>
      <c r="EC45" s="1167"/>
      <c r="ED45" s="1167"/>
      <c r="EE45" s="1167"/>
      <c r="EF45" s="1167"/>
      <c r="EG45" s="1167"/>
      <c r="EH45" s="1167"/>
      <c r="EI45" s="1167"/>
      <c r="EJ45" s="1453"/>
      <c r="EK45" s="1167"/>
      <c r="EL45" s="1475"/>
      <c r="EM45" s="1475"/>
      <c r="EN45" s="1475"/>
      <c r="EO45" s="1475"/>
      <c r="EP45" s="1475"/>
      <c r="EQ45" s="1475"/>
      <c r="ER45" s="1475"/>
      <c r="ES45" s="1167"/>
      <c r="ET45" s="1453"/>
      <c r="EU45" s="1517"/>
      <c r="EV45" s="1262"/>
      <c r="EW45" s="1262"/>
      <c r="EX45" s="1262"/>
      <c r="EY45" s="1262"/>
      <c r="EZ45" s="1262"/>
      <c r="FA45" s="1262"/>
      <c r="FB45" s="1262"/>
      <c r="FC45" s="1262"/>
      <c r="FD45" s="1198"/>
      <c r="FE45" s="1198"/>
      <c r="FF45" s="1198"/>
      <c r="FG45" s="1198"/>
      <c r="FH45" s="1475"/>
      <c r="FI45" s="1465"/>
      <c r="FJ45" s="1699"/>
      <c r="FK45" s="1699"/>
      <c r="FL45" s="1699"/>
      <c r="FM45" s="1699"/>
      <c r="FN45" s="1699"/>
      <c r="FO45" s="1167"/>
      <c r="FP45" s="1167"/>
      <c r="FQ45" s="1167"/>
      <c r="FR45" s="1167"/>
      <c r="FS45" s="1167"/>
      <c r="FT45" s="1167"/>
      <c r="FU45" s="1167"/>
      <c r="FV45" s="1167"/>
      <c r="FW45" s="1167"/>
      <c r="FX45" s="1167"/>
      <c r="FY45" s="1167"/>
      <c r="FZ45" s="1167"/>
      <c r="GA45" s="1453"/>
      <c r="GB45" s="1167"/>
      <c r="GC45" s="1167"/>
      <c r="GD45" s="1167"/>
      <c r="GE45" s="1167"/>
      <c r="GF45" s="1167"/>
      <c r="GG45" s="1453"/>
      <c r="GH45" s="1167"/>
      <c r="GI45" s="1167"/>
      <c r="GJ45" s="1167"/>
      <c r="GK45" s="1167"/>
      <c r="GL45" s="1167"/>
      <c r="GM45" s="1167"/>
      <c r="GN45" s="1167"/>
      <c r="GO45" s="1167"/>
      <c r="GP45" s="1167"/>
      <c r="GQ45" s="1167"/>
      <c r="GR45" s="1167"/>
      <c r="GS45" s="1167"/>
      <c r="GT45" s="1167"/>
      <c r="GU45" s="1167"/>
      <c r="GV45" s="1163"/>
      <c r="GW45" s="1224"/>
      <c r="GX45" s="1217"/>
      <c r="GY45" s="1217"/>
      <c r="GZ45" s="1218"/>
      <c r="HA45" s="1218"/>
      <c r="HB45" s="1218"/>
      <c r="HC45" s="1189"/>
      <c r="HD45" s="1189"/>
      <c r="HE45" s="1167"/>
      <c r="HF45" s="1167"/>
      <c r="HG45" s="1167"/>
      <c r="HH45" s="1167"/>
      <c r="HI45" s="1167"/>
      <c r="HJ45" s="1167"/>
      <c r="HK45" s="1167"/>
      <c r="HL45" s="1167"/>
      <c r="HM45" s="1167"/>
      <c r="HN45" s="1167"/>
      <c r="HO45" s="1167"/>
      <c r="HP45" s="1167"/>
      <c r="HQ45" s="1167"/>
      <c r="HR45" s="1167"/>
      <c r="HS45" s="1167"/>
      <c r="HT45" s="1167"/>
      <c r="HU45" s="1167"/>
      <c r="HV45" s="1167"/>
      <c r="HW45" s="1167"/>
      <c r="HX45" s="1167"/>
      <c r="HY45" s="1167"/>
      <c r="HZ45" s="1167"/>
      <c r="IA45" s="1167"/>
      <c r="IB45" s="1167"/>
      <c r="IC45" s="1167"/>
      <c r="ID45" s="1167"/>
      <c r="IE45" s="1167"/>
      <c r="IF45" s="1167"/>
    </row>
    <row r="46" customFormat="false" ht="12.75" hidden="false" customHeight="true" outlineLevel="0" collapsed="false">
      <c r="A46" s="1453"/>
      <c r="B46" s="1167"/>
      <c r="C46" s="1167"/>
      <c r="D46" s="1167"/>
      <c r="E46" s="1453"/>
      <c r="F46" s="1167"/>
      <c r="G46" s="1167"/>
      <c r="H46" s="1167"/>
      <c r="I46" s="1453"/>
      <c r="J46" s="1167"/>
      <c r="K46" s="1167"/>
      <c r="L46" s="1167"/>
      <c r="M46" s="1167"/>
      <c r="N46" s="1167"/>
      <c r="O46" s="1167"/>
      <c r="P46" s="1167"/>
      <c r="Q46" s="1167"/>
      <c r="R46" s="1167"/>
      <c r="S46" s="1453"/>
      <c r="T46" s="1167"/>
      <c r="U46" s="1167"/>
      <c r="V46" s="1167"/>
      <c r="W46" s="1167"/>
      <c r="X46" s="1167"/>
      <c r="Y46" s="1167"/>
      <c r="Z46" s="1167"/>
      <c r="AA46" s="1167"/>
      <c r="AB46" s="1167"/>
      <c r="AC46" s="1167"/>
      <c r="AD46" s="1167"/>
      <c r="AE46" s="1167"/>
      <c r="AF46" s="1167"/>
      <c r="AG46" s="1167"/>
      <c r="AH46" s="1453"/>
      <c r="AI46" s="1198"/>
      <c r="AJ46" s="1198"/>
      <c r="AK46" s="1198"/>
      <c r="AL46" s="1198"/>
      <c r="AM46" s="1198"/>
      <c r="AN46" s="1198"/>
      <c r="AO46" s="1198"/>
      <c r="AP46" s="1198"/>
      <c r="AQ46" s="1198"/>
      <c r="AR46" s="1198"/>
      <c r="AS46" s="1198"/>
      <c r="AT46" s="1481"/>
      <c r="AU46" s="1198"/>
      <c r="AV46" s="1198"/>
      <c r="AW46" s="1198"/>
      <c r="AX46" s="1198"/>
      <c r="AY46" s="1198"/>
      <c r="AZ46" s="1198"/>
      <c r="BA46" s="1198"/>
      <c r="BB46" s="1198"/>
      <c r="BC46" s="1198"/>
      <c r="BD46" s="1198"/>
      <c r="BE46" s="1198"/>
      <c r="BF46" s="1198"/>
      <c r="BG46" s="1198"/>
      <c r="BH46" s="1167"/>
      <c r="BI46" s="1167"/>
      <c r="BJ46" s="1167"/>
      <c r="BK46" s="1167"/>
      <c r="BL46" s="1167"/>
      <c r="BM46" s="1167"/>
      <c r="BN46" s="1167"/>
      <c r="BO46" s="1167"/>
      <c r="BP46" s="1167"/>
      <c r="BQ46" s="1167"/>
      <c r="BR46" s="1167"/>
      <c r="BS46" s="1167"/>
      <c r="BT46" s="1167"/>
      <c r="BU46" s="1167"/>
      <c r="BV46" s="1167"/>
      <c r="BW46" s="1167"/>
      <c r="BX46" s="1167"/>
      <c r="BY46" s="1167"/>
      <c r="BZ46" s="1167"/>
      <c r="CA46" s="1167"/>
      <c r="CB46" s="1167"/>
      <c r="CC46" s="1167"/>
      <c r="CD46" s="1167"/>
      <c r="CE46" s="1167"/>
      <c r="CF46" s="1167"/>
      <c r="CG46" s="1167"/>
      <c r="CH46" s="1167"/>
      <c r="CI46" s="1167"/>
      <c r="CJ46" s="1453"/>
      <c r="CK46" s="1167"/>
      <c r="CL46" s="1167"/>
      <c r="CM46" s="1167"/>
      <c r="CN46" s="1167"/>
      <c r="CO46" s="1167"/>
      <c r="CP46" s="1167"/>
      <c r="CQ46" s="1167"/>
      <c r="CR46" s="1167"/>
      <c r="CS46" s="1167"/>
      <c r="CT46" s="1167"/>
      <c r="CU46" s="1167"/>
      <c r="CV46" s="1453"/>
      <c r="CW46" s="1167"/>
      <c r="CX46" s="1167"/>
      <c r="CY46" s="1167"/>
      <c r="CZ46" s="1167"/>
      <c r="DA46" s="1167"/>
      <c r="DB46" s="1167"/>
      <c r="DC46" s="1167"/>
      <c r="DD46" s="1167"/>
      <c r="DE46" s="1167"/>
      <c r="DF46" s="1167"/>
      <c r="DG46" s="1167"/>
      <c r="DH46" s="1167"/>
      <c r="DI46" s="1167"/>
      <c r="DJ46" s="1167"/>
      <c r="DK46" s="1167"/>
      <c r="DL46" s="1167"/>
      <c r="DM46" s="1167"/>
      <c r="DN46" s="1167"/>
      <c r="DO46" s="1167"/>
      <c r="DP46" s="1167"/>
      <c r="DQ46" s="1167"/>
      <c r="DR46" s="1167"/>
      <c r="DS46" s="1167"/>
      <c r="DT46" s="1167"/>
      <c r="DU46" s="1453"/>
      <c r="DV46" s="1167"/>
      <c r="DW46" s="1167"/>
      <c r="DX46" s="1167"/>
      <c r="DY46" s="1167"/>
      <c r="DZ46" s="1167"/>
      <c r="EA46" s="1167"/>
      <c r="EB46" s="1167"/>
      <c r="EC46" s="1167"/>
      <c r="ED46" s="1167"/>
      <c r="EE46" s="1167"/>
      <c r="EF46" s="1167"/>
      <c r="EG46" s="1167"/>
      <c r="EH46" s="1167"/>
      <c r="EI46" s="1167"/>
      <c r="EJ46" s="1453"/>
      <c r="EK46" s="1167"/>
      <c r="EL46" s="1475"/>
      <c r="EM46" s="1475"/>
      <c r="EN46" s="1475"/>
      <c r="EO46" s="1475"/>
      <c r="EP46" s="1475"/>
      <c r="EQ46" s="1475"/>
      <c r="ER46" s="1475"/>
      <c r="ES46" s="1167"/>
      <c r="ET46" s="1453"/>
      <c r="EU46" s="1517"/>
      <c r="EV46" s="1262"/>
      <c r="EW46" s="1262"/>
      <c r="EX46" s="1262"/>
      <c r="EY46" s="1262"/>
      <c r="EZ46" s="1262"/>
      <c r="FA46" s="1262"/>
      <c r="FB46" s="1262"/>
      <c r="FC46" s="1262"/>
      <c r="FD46" s="1198"/>
      <c r="FE46" s="1198"/>
      <c r="FF46" s="1198"/>
      <c r="FG46" s="1198"/>
      <c r="FH46" s="1475"/>
      <c r="FI46" s="1465"/>
      <c r="FJ46" s="1699"/>
      <c r="FK46" s="1699"/>
      <c r="FL46" s="1699"/>
      <c r="FM46" s="1699"/>
      <c r="FN46" s="1699"/>
      <c r="FO46" s="1167"/>
      <c r="FP46" s="1167"/>
      <c r="FQ46" s="1167"/>
      <c r="FR46" s="1167"/>
      <c r="FS46" s="1167"/>
      <c r="FT46" s="1167"/>
      <c r="FU46" s="1167"/>
      <c r="FV46" s="1167"/>
      <c r="FW46" s="1167"/>
      <c r="FX46" s="1167"/>
      <c r="FY46" s="1167"/>
      <c r="FZ46" s="1167"/>
      <c r="GA46" s="1453"/>
      <c r="GB46" s="1167"/>
      <c r="GC46" s="1167"/>
      <c r="GD46" s="1167"/>
      <c r="GE46" s="1167"/>
      <c r="GF46" s="1167"/>
      <c r="GG46" s="1453"/>
      <c r="GH46" s="1167"/>
      <c r="GI46" s="1167"/>
      <c r="GJ46" s="1167"/>
      <c r="GK46" s="1167"/>
      <c r="GL46" s="1167"/>
      <c r="GM46" s="1167"/>
      <c r="GN46" s="1167"/>
      <c r="GO46" s="1167"/>
      <c r="GP46" s="1167"/>
      <c r="GQ46" s="1167"/>
      <c r="GR46" s="1167"/>
      <c r="GS46" s="1167"/>
      <c r="GT46" s="1167"/>
      <c r="GU46" s="1167"/>
      <c r="GV46" s="1163"/>
      <c r="GW46" s="1224"/>
      <c r="GX46" s="1217"/>
      <c r="GY46" s="1217"/>
      <c r="GZ46" s="1218"/>
      <c r="HA46" s="1218"/>
      <c r="HB46" s="1218"/>
      <c r="HC46" s="1189"/>
      <c r="HD46" s="1189"/>
      <c r="HE46" s="1167"/>
      <c r="HF46" s="1167"/>
      <c r="HG46" s="1167"/>
      <c r="HH46" s="1167"/>
      <c r="HI46" s="1167"/>
      <c r="HJ46" s="1167"/>
      <c r="HK46" s="1167"/>
      <c r="HL46" s="1167"/>
      <c r="HM46" s="1167"/>
      <c r="HN46" s="1167"/>
      <c r="HO46" s="1167"/>
      <c r="HP46" s="1167"/>
      <c r="HQ46" s="1167"/>
      <c r="HR46" s="1167"/>
      <c r="HS46" s="1167"/>
      <c r="HT46" s="1167"/>
      <c r="HU46" s="1167"/>
      <c r="HV46" s="1167"/>
      <c r="HW46" s="1167"/>
      <c r="HX46" s="1167"/>
      <c r="HY46" s="1167"/>
      <c r="HZ46" s="1167"/>
      <c r="IA46" s="1167"/>
      <c r="IB46" s="1167"/>
      <c r="IC46" s="1167"/>
      <c r="ID46" s="1167"/>
      <c r="IE46" s="1167"/>
      <c r="IF46" s="1167"/>
    </row>
    <row r="47" customFormat="false" ht="12.75" hidden="false" customHeight="true" outlineLevel="0" collapsed="false">
      <c r="A47" s="1453"/>
      <c r="B47" s="1167"/>
      <c r="C47" s="1167"/>
      <c r="D47" s="1167"/>
      <c r="E47" s="1453"/>
      <c r="F47" s="1167"/>
      <c r="G47" s="1167"/>
      <c r="H47" s="1167"/>
      <c r="I47" s="1453"/>
      <c r="J47" s="1167"/>
      <c r="K47" s="1167"/>
      <c r="L47" s="1167"/>
      <c r="M47" s="1167"/>
      <c r="N47" s="1167"/>
      <c r="O47" s="1167"/>
      <c r="P47" s="1167"/>
      <c r="Q47" s="1167"/>
      <c r="R47" s="1167"/>
      <c r="S47" s="1453"/>
      <c r="T47" s="1167"/>
      <c r="U47" s="1167"/>
      <c r="V47" s="1167"/>
      <c r="W47" s="1167"/>
      <c r="X47" s="1167"/>
      <c r="Y47" s="1167"/>
      <c r="Z47" s="1167"/>
      <c r="AA47" s="1167"/>
      <c r="AB47" s="1167"/>
      <c r="AC47" s="1167"/>
      <c r="AD47" s="1167"/>
      <c r="AE47" s="1167"/>
      <c r="AF47" s="1167"/>
      <c r="AG47" s="1167"/>
      <c r="AH47" s="1453"/>
      <c r="AI47" s="1198"/>
      <c r="AJ47" s="1198"/>
      <c r="AK47" s="1198"/>
      <c r="AL47" s="1198"/>
      <c r="AM47" s="1198"/>
      <c r="AN47" s="1198"/>
      <c r="AO47" s="1198"/>
      <c r="AP47" s="1198"/>
      <c r="AQ47" s="1198"/>
      <c r="AR47" s="1198"/>
      <c r="AS47" s="1198"/>
      <c r="AT47" s="1481"/>
      <c r="AU47" s="1198"/>
      <c r="AV47" s="1198"/>
      <c r="AW47" s="1198"/>
      <c r="AX47" s="1198"/>
      <c r="AY47" s="1198"/>
      <c r="AZ47" s="1198"/>
      <c r="BA47" s="1198"/>
      <c r="BB47" s="1198"/>
      <c r="BC47" s="1198"/>
      <c r="BD47" s="1198"/>
      <c r="BE47" s="1198"/>
      <c r="BF47" s="1198"/>
      <c r="BG47" s="1198"/>
      <c r="BH47" s="1167"/>
      <c r="BI47" s="1167"/>
      <c r="BJ47" s="1167"/>
      <c r="BK47" s="1167"/>
      <c r="BL47" s="1167"/>
      <c r="BM47" s="1167"/>
      <c r="BN47" s="1167"/>
      <c r="BO47" s="1167"/>
      <c r="BP47" s="1167"/>
      <c r="BQ47" s="1167"/>
      <c r="BR47" s="1167"/>
      <c r="BS47" s="1167"/>
      <c r="BT47" s="1167"/>
      <c r="BU47" s="1167"/>
      <c r="BV47" s="1167"/>
      <c r="BW47" s="1167"/>
      <c r="BX47" s="1167"/>
      <c r="BY47" s="1167"/>
      <c r="BZ47" s="1167"/>
      <c r="CA47" s="1167"/>
      <c r="CB47" s="1167"/>
      <c r="CC47" s="1167"/>
      <c r="CD47" s="1167"/>
      <c r="CE47" s="1167"/>
      <c r="CF47" s="1167"/>
      <c r="CG47" s="1167"/>
      <c r="CH47" s="1167"/>
      <c r="CI47" s="1167"/>
      <c r="CJ47" s="1453"/>
      <c r="CK47" s="1167"/>
      <c r="CL47" s="1167"/>
      <c r="CM47" s="1167"/>
      <c r="CN47" s="1167"/>
      <c r="CO47" s="1167"/>
      <c r="CP47" s="1167"/>
      <c r="CQ47" s="1167"/>
      <c r="CR47" s="1167"/>
      <c r="CS47" s="1167"/>
      <c r="CT47" s="1167"/>
      <c r="CU47" s="1167"/>
      <c r="CV47" s="1453"/>
      <c r="CW47" s="1167"/>
      <c r="CX47" s="1167"/>
      <c r="CY47" s="1167"/>
      <c r="CZ47" s="1167"/>
      <c r="DA47" s="1167"/>
      <c r="DB47" s="1167"/>
      <c r="DC47" s="1167"/>
      <c r="DD47" s="1167"/>
      <c r="DE47" s="1167"/>
      <c r="DF47" s="1167"/>
      <c r="DG47" s="1167"/>
      <c r="DH47" s="1167"/>
      <c r="DI47" s="1167"/>
      <c r="DJ47" s="1167"/>
      <c r="DK47" s="1167"/>
      <c r="DL47" s="1167"/>
      <c r="DM47" s="1167"/>
      <c r="DN47" s="1167"/>
      <c r="DO47" s="1167"/>
      <c r="DP47" s="1167"/>
      <c r="DQ47" s="1167"/>
      <c r="DR47" s="1167"/>
      <c r="DS47" s="1167"/>
      <c r="DT47" s="1167"/>
      <c r="DU47" s="1453"/>
      <c r="DV47" s="1167"/>
      <c r="DW47" s="1167"/>
      <c r="DX47" s="1167"/>
      <c r="DY47" s="1167"/>
      <c r="DZ47" s="1167"/>
      <c r="EA47" s="1167"/>
      <c r="EB47" s="1167"/>
      <c r="EC47" s="1167"/>
      <c r="ED47" s="1167"/>
      <c r="EE47" s="1167"/>
      <c r="EF47" s="1167"/>
      <c r="EG47" s="1167"/>
      <c r="EH47" s="1167"/>
      <c r="EI47" s="1167"/>
      <c r="EJ47" s="1453"/>
      <c r="EK47" s="1167"/>
      <c r="EL47" s="1475"/>
      <c r="EM47" s="1475"/>
      <c r="EN47" s="1475"/>
      <c r="EO47" s="1475"/>
      <c r="EP47" s="1475"/>
      <c r="EQ47" s="1475"/>
      <c r="ER47" s="1475"/>
      <c r="ES47" s="1167"/>
      <c r="ET47" s="1453"/>
      <c r="EU47" s="1517"/>
      <c r="EV47" s="1262"/>
      <c r="EW47" s="1262"/>
      <c r="EX47" s="1262"/>
      <c r="EY47" s="1262"/>
      <c r="EZ47" s="1262"/>
      <c r="FA47" s="1262"/>
      <c r="FB47" s="1262"/>
      <c r="FC47" s="1262"/>
      <c r="FD47" s="1198"/>
      <c r="FE47" s="1198"/>
      <c r="FF47" s="1198"/>
      <c r="FG47" s="1198"/>
      <c r="FH47" s="1475"/>
      <c r="FI47" s="1465"/>
      <c r="FJ47" s="1699"/>
      <c r="FK47" s="1699"/>
      <c r="FL47" s="1699"/>
      <c r="FM47" s="1699"/>
      <c r="FN47" s="1699"/>
      <c r="FO47" s="1167"/>
      <c r="FP47" s="1167"/>
      <c r="FQ47" s="1167"/>
      <c r="FR47" s="1167"/>
      <c r="FS47" s="1167"/>
      <c r="FT47" s="1167"/>
      <c r="FU47" s="1167"/>
      <c r="FV47" s="1167"/>
      <c r="FW47" s="1167"/>
      <c r="FX47" s="1167"/>
      <c r="FY47" s="1167"/>
      <c r="FZ47" s="1167"/>
      <c r="GA47" s="1453"/>
      <c r="GB47" s="1167"/>
      <c r="GC47" s="1167"/>
      <c r="GD47" s="1167"/>
      <c r="GE47" s="1167"/>
      <c r="GF47" s="1167"/>
      <c r="GG47" s="1453"/>
      <c r="GH47" s="1167"/>
      <c r="GI47" s="1167"/>
      <c r="GJ47" s="1167"/>
      <c r="GK47" s="1167"/>
      <c r="GL47" s="1167"/>
      <c r="GM47" s="1167"/>
      <c r="GN47" s="1167"/>
      <c r="GO47" s="1167"/>
      <c r="GP47" s="1167"/>
      <c r="GQ47" s="1167"/>
      <c r="GR47" s="1167"/>
      <c r="GS47" s="1167"/>
      <c r="GT47" s="1167"/>
      <c r="GU47" s="1167"/>
      <c r="GV47" s="1163"/>
      <c r="GW47" s="1224"/>
      <c r="GX47" s="1217"/>
      <c r="GY47" s="1217"/>
      <c r="GZ47" s="1218"/>
      <c r="HA47" s="1218"/>
      <c r="HB47" s="1218"/>
      <c r="HC47" s="1189"/>
      <c r="HD47" s="1189"/>
      <c r="HE47" s="1167"/>
      <c r="HF47" s="1167"/>
      <c r="HG47" s="1167"/>
      <c r="HH47" s="1167"/>
      <c r="HI47" s="1167"/>
      <c r="HJ47" s="1167"/>
      <c r="HK47" s="1167"/>
      <c r="HL47" s="1167"/>
      <c r="HM47" s="1167"/>
      <c r="HN47" s="1167"/>
      <c r="HO47" s="1167"/>
      <c r="HP47" s="1167"/>
      <c r="HQ47" s="1167"/>
      <c r="HR47" s="1167"/>
      <c r="HS47" s="1167"/>
      <c r="HT47" s="1167"/>
      <c r="HU47" s="1167"/>
      <c r="HV47" s="1167"/>
      <c r="HW47" s="1167"/>
      <c r="HX47" s="1167"/>
      <c r="HY47" s="1167"/>
      <c r="HZ47" s="1167"/>
      <c r="IA47" s="1167"/>
      <c r="IB47" s="1167"/>
      <c r="IC47" s="1167"/>
      <c r="ID47" s="1167"/>
      <c r="IE47" s="1167"/>
      <c r="IF47" s="1167"/>
    </row>
    <row r="48" customFormat="false" ht="12.75" hidden="false" customHeight="true" outlineLevel="0" collapsed="false">
      <c r="A48" s="1453"/>
      <c r="B48" s="1167"/>
      <c r="C48" s="1167"/>
      <c r="D48" s="1167"/>
      <c r="E48" s="1453"/>
      <c r="F48" s="1167"/>
      <c r="G48" s="1167"/>
      <c r="H48" s="1167"/>
      <c r="I48" s="1453"/>
      <c r="J48" s="1167"/>
      <c r="K48" s="1167"/>
      <c r="L48" s="1167"/>
      <c r="M48" s="1167"/>
      <c r="N48" s="1167"/>
      <c r="O48" s="1167"/>
      <c r="P48" s="1167"/>
      <c r="Q48" s="1167"/>
      <c r="R48" s="1167"/>
      <c r="S48" s="1453"/>
      <c r="T48" s="1167"/>
      <c r="U48" s="1167"/>
      <c r="V48" s="1167"/>
      <c r="W48" s="1167"/>
      <c r="X48" s="1167"/>
      <c r="Y48" s="1167"/>
      <c r="Z48" s="1167"/>
      <c r="AA48" s="1167"/>
      <c r="AB48" s="1167"/>
      <c r="AC48" s="1167"/>
      <c r="AD48" s="1167"/>
      <c r="AE48" s="1167"/>
      <c r="AF48" s="1167"/>
      <c r="AG48" s="1167"/>
      <c r="AH48" s="1453"/>
      <c r="AI48" s="1198"/>
      <c r="AJ48" s="1198"/>
      <c r="AK48" s="1198"/>
      <c r="AL48" s="1198"/>
      <c r="AM48" s="1198"/>
      <c r="AN48" s="1198"/>
      <c r="AO48" s="1198"/>
      <c r="AP48" s="1198"/>
      <c r="AQ48" s="1198"/>
      <c r="AR48" s="1198"/>
      <c r="AS48" s="1198"/>
      <c r="AT48" s="1481"/>
      <c r="AU48" s="1198"/>
      <c r="AV48" s="1198"/>
      <c r="AW48" s="1198"/>
      <c r="AX48" s="1198"/>
      <c r="AY48" s="1198"/>
      <c r="AZ48" s="1198"/>
      <c r="BA48" s="1198"/>
      <c r="BB48" s="1198"/>
      <c r="BC48" s="1198"/>
      <c r="BD48" s="1198"/>
      <c r="BE48" s="1198"/>
      <c r="BF48" s="1198"/>
      <c r="BG48" s="1198"/>
      <c r="BH48" s="1167"/>
      <c r="BI48" s="1167"/>
      <c r="BJ48" s="1167"/>
      <c r="BK48" s="1167"/>
      <c r="BL48" s="1167"/>
      <c r="BM48" s="1167"/>
      <c r="BN48" s="1167"/>
      <c r="BO48" s="1167"/>
      <c r="BP48" s="1167"/>
      <c r="BQ48" s="1167"/>
      <c r="BR48" s="1167"/>
      <c r="BS48" s="1167"/>
      <c r="BT48" s="1167"/>
      <c r="BU48" s="1167"/>
      <c r="BV48" s="1167"/>
      <c r="BW48" s="1167"/>
      <c r="BX48" s="1167"/>
      <c r="BY48" s="1167"/>
      <c r="BZ48" s="1167"/>
      <c r="CA48" s="1167"/>
      <c r="CB48" s="1167"/>
      <c r="CC48" s="1167"/>
      <c r="CD48" s="1167"/>
      <c r="CE48" s="1167"/>
      <c r="CF48" s="1167"/>
      <c r="CG48" s="1167"/>
      <c r="CH48" s="1167"/>
      <c r="CI48" s="1167"/>
      <c r="CJ48" s="1453"/>
      <c r="CK48" s="1167"/>
      <c r="CL48" s="1167"/>
      <c r="CM48" s="1167"/>
      <c r="CN48" s="1167"/>
      <c r="CO48" s="1167"/>
      <c r="CP48" s="1167"/>
      <c r="CQ48" s="1167"/>
      <c r="CR48" s="1167"/>
      <c r="CS48" s="1167"/>
      <c r="CT48" s="1167"/>
      <c r="CU48" s="1167"/>
      <c r="CV48" s="1453"/>
      <c r="CW48" s="1167"/>
      <c r="CX48" s="1167"/>
      <c r="CY48" s="1167"/>
      <c r="CZ48" s="1167"/>
      <c r="DA48" s="1167"/>
      <c r="DB48" s="1167"/>
      <c r="DC48" s="1167"/>
      <c r="DD48" s="1167"/>
      <c r="DE48" s="1167"/>
      <c r="DF48" s="1167"/>
      <c r="DG48" s="1167"/>
      <c r="DH48" s="1167"/>
      <c r="DI48" s="1167"/>
      <c r="DJ48" s="1167"/>
      <c r="DK48" s="1167"/>
      <c r="DL48" s="1167"/>
      <c r="DM48" s="1167"/>
      <c r="DN48" s="1167"/>
      <c r="DO48" s="1167"/>
      <c r="DP48" s="1167"/>
      <c r="DQ48" s="1167"/>
      <c r="DR48" s="1167"/>
      <c r="DS48" s="1167"/>
      <c r="DT48" s="1167"/>
      <c r="DU48" s="1453"/>
      <c r="DV48" s="1167"/>
      <c r="DW48" s="1167"/>
      <c r="DX48" s="1167"/>
      <c r="DY48" s="1167"/>
      <c r="DZ48" s="1167"/>
      <c r="EA48" s="1167"/>
      <c r="EB48" s="1167"/>
      <c r="EC48" s="1167"/>
      <c r="ED48" s="1167"/>
      <c r="EE48" s="1167"/>
      <c r="EF48" s="1167"/>
      <c r="EG48" s="1167"/>
      <c r="EH48" s="1167"/>
      <c r="EI48" s="1167"/>
      <c r="EJ48" s="1453"/>
      <c r="EK48" s="1167"/>
      <c r="EL48" s="1475"/>
      <c r="EM48" s="1475"/>
      <c r="EN48" s="1475"/>
      <c r="EO48" s="1475"/>
      <c r="EP48" s="1475"/>
      <c r="EQ48" s="1475"/>
      <c r="ER48" s="1475"/>
      <c r="ES48" s="1167"/>
      <c r="ET48" s="1453"/>
      <c r="EU48" s="1517"/>
      <c r="EV48" s="1262"/>
      <c r="EW48" s="1262"/>
      <c r="EX48" s="1262"/>
      <c r="EY48" s="1262"/>
      <c r="EZ48" s="1262"/>
      <c r="FA48" s="1262"/>
      <c r="FB48" s="1262"/>
      <c r="FC48" s="1262"/>
      <c r="FD48" s="1198"/>
      <c r="FE48" s="1198"/>
      <c r="FF48" s="1198"/>
      <c r="FG48" s="1198"/>
      <c r="FH48" s="1475"/>
      <c r="FI48" s="1465"/>
      <c r="FJ48" s="1699"/>
      <c r="FK48" s="1699"/>
      <c r="FL48" s="1699"/>
      <c r="FM48" s="1699"/>
      <c r="FN48" s="1699"/>
      <c r="FO48" s="1167"/>
      <c r="FP48" s="1167"/>
      <c r="FQ48" s="1167"/>
      <c r="FR48" s="1167"/>
      <c r="FS48" s="1167"/>
      <c r="FT48" s="1167"/>
      <c r="FU48" s="1167"/>
      <c r="FV48" s="1167"/>
      <c r="FW48" s="1167"/>
      <c r="FX48" s="1167"/>
      <c r="FY48" s="1167"/>
      <c r="FZ48" s="1167"/>
      <c r="GA48" s="1453"/>
      <c r="GB48" s="1167"/>
      <c r="GC48" s="1167"/>
      <c r="GD48" s="1167"/>
      <c r="GE48" s="1167"/>
      <c r="GF48" s="1167"/>
      <c r="GG48" s="1453"/>
      <c r="GH48" s="1167"/>
      <c r="GI48" s="1167"/>
      <c r="GJ48" s="1167"/>
      <c r="GK48" s="1167"/>
      <c r="GL48" s="1167"/>
      <c r="GM48" s="1167"/>
      <c r="GN48" s="1167"/>
      <c r="GO48" s="1167"/>
      <c r="GP48" s="1167"/>
      <c r="GQ48" s="1167"/>
      <c r="GR48" s="1167"/>
      <c r="GS48" s="1167"/>
      <c r="GT48" s="1167"/>
      <c r="GU48" s="1167"/>
      <c r="GV48" s="1163"/>
      <c r="GW48" s="1224"/>
      <c r="GX48" s="1217"/>
      <c r="GY48" s="1217"/>
      <c r="GZ48" s="1218"/>
      <c r="HA48" s="1218"/>
      <c r="HB48" s="1218"/>
      <c r="HC48" s="1189"/>
      <c r="HD48" s="1189"/>
      <c r="HE48" s="1167"/>
      <c r="HF48" s="1167"/>
      <c r="HG48" s="1167"/>
      <c r="HH48" s="1167"/>
      <c r="HI48" s="1167"/>
      <c r="HJ48" s="1167"/>
      <c r="HK48" s="1167"/>
      <c r="HL48" s="1167"/>
      <c r="HM48" s="1167"/>
      <c r="HN48" s="1167"/>
      <c r="HO48" s="1167"/>
      <c r="HP48" s="1167"/>
      <c r="HQ48" s="1167"/>
      <c r="HR48" s="1167"/>
      <c r="HS48" s="1167"/>
      <c r="HT48" s="1167"/>
      <c r="HU48" s="1167"/>
      <c r="HV48" s="1167"/>
      <c r="HW48" s="1167"/>
      <c r="HX48" s="1167"/>
      <c r="HY48" s="1167"/>
      <c r="HZ48" s="1167"/>
      <c r="IA48" s="1167"/>
      <c r="IB48" s="1167"/>
      <c r="IC48" s="1167"/>
      <c r="ID48" s="1167"/>
      <c r="IE48" s="1167"/>
      <c r="IF48" s="1167"/>
    </row>
    <row r="49" customFormat="false" ht="12.75" hidden="false" customHeight="true" outlineLevel="0" collapsed="false">
      <c r="A49" s="1453"/>
      <c r="B49" s="1167"/>
      <c r="C49" s="1167"/>
      <c r="D49" s="1167"/>
      <c r="E49" s="1453"/>
      <c r="F49" s="1167"/>
      <c r="G49" s="1167"/>
      <c r="H49" s="1167"/>
      <c r="I49" s="1453"/>
      <c r="J49" s="1167"/>
      <c r="K49" s="1167"/>
      <c r="L49" s="1167"/>
      <c r="M49" s="1167"/>
      <c r="N49" s="1167"/>
      <c r="O49" s="1167"/>
      <c r="P49" s="1167"/>
      <c r="Q49" s="1167"/>
      <c r="R49" s="1167"/>
      <c r="S49" s="1453"/>
      <c r="T49" s="1167"/>
      <c r="U49" s="1167"/>
      <c r="V49" s="1167"/>
      <c r="W49" s="1167"/>
      <c r="X49" s="1167"/>
      <c r="Y49" s="1167"/>
      <c r="Z49" s="1167"/>
      <c r="AA49" s="1167"/>
      <c r="AB49" s="1167"/>
      <c r="AC49" s="1167"/>
      <c r="AD49" s="1167"/>
      <c r="AE49" s="1167"/>
      <c r="AF49" s="1167"/>
      <c r="AG49" s="1167"/>
      <c r="AH49" s="1453"/>
      <c r="AI49" s="1198"/>
      <c r="AJ49" s="1198"/>
      <c r="AK49" s="1198"/>
      <c r="AL49" s="1198"/>
      <c r="AM49" s="1198"/>
      <c r="AN49" s="1198"/>
      <c r="AO49" s="1198"/>
      <c r="AP49" s="1198"/>
      <c r="AQ49" s="1198"/>
      <c r="AR49" s="1198"/>
      <c r="AS49" s="1198"/>
      <c r="AT49" s="1481"/>
      <c r="AU49" s="1198"/>
      <c r="AV49" s="1198"/>
      <c r="AW49" s="1198"/>
      <c r="AX49" s="1198"/>
      <c r="AY49" s="1198"/>
      <c r="AZ49" s="1198"/>
      <c r="BA49" s="1198"/>
      <c r="BB49" s="1198"/>
      <c r="BC49" s="1198"/>
      <c r="BD49" s="1198"/>
      <c r="BE49" s="1198"/>
      <c r="BF49" s="1198"/>
      <c r="BG49" s="1198"/>
      <c r="BH49" s="1167"/>
      <c r="BI49" s="1167"/>
      <c r="BJ49" s="1167"/>
      <c r="BK49" s="1167"/>
      <c r="BL49" s="1167"/>
      <c r="BM49" s="1167"/>
      <c r="BN49" s="1167"/>
      <c r="BO49" s="1167"/>
      <c r="BP49" s="1167"/>
      <c r="BQ49" s="1167"/>
      <c r="BR49" s="1167"/>
      <c r="BS49" s="1167"/>
      <c r="BT49" s="1167"/>
      <c r="BU49" s="1167"/>
      <c r="BV49" s="1167"/>
      <c r="BW49" s="1167"/>
      <c r="BX49" s="1167"/>
      <c r="BY49" s="1167"/>
      <c r="BZ49" s="1167"/>
      <c r="CA49" s="1167"/>
      <c r="CB49" s="1167"/>
      <c r="CC49" s="1167"/>
      <c r="CD49" s="1167"/>
      <c r="CE49" s="1167"/>
      <c r="CF49" s="1167"/>
      <c r="CG49" s="1167"/>
      <c r="CH49" s="1167"/>
      <c r="CI49" s="1167"/>
      <c r="CJ49" s="1453"/>
      <c r="CK49" s="1167"/>
      <c r="CL49" s="1167"/>
      <c r="CM49" s="1167"/>
      <c r="CN49" s="1167"/>
      <c r="CO49" s="1167"/>
      <c r="CP49" s="1167"/>
      <c r="CQ49" s="1167"/>
      <c r="CR49" s="1167"/>
      <c r="CS49" s="1167"/>
      <c r="CT49" s="1167"/>
      <c r="CU49" s="1167"/>
      <c r="CV49" s="1453"/>
      <c r="CW49" s="1167"/>
      <c r="CX49" s="1167"/>
      <c r="CY49" s="1167"/>
      <c r="CZ49" s="1167"/>
      <c r="DA49" s="1167"/>
      <c r="DB49" s="1167"/>
      <c r="DC49" s="1167"/>
      <c r="DD49" s="1167"/>
      <c r="DE49" s="1167"/>
      <c r="DF49" s="1167"/>
      <c r="DG49" s="1167"/>
      <c r="DH49" s="1167"/>
      <c r="DI49" s="1167"/>
      <c r="DJ49" s="1167"/>
      <c r="DK49" s="1167"/>
      <c r="DL49" s="1167"/>
      <c r="DM49" s="1167"/>
      <c r="DN49" s="1167"/>
      <c r="DO49" s="1167"/>
      <c r="DP49" s="1167"/>
      <c r="DQ49" s="1167"/>
      <c r="DR49" s="1167"/>
      <c r="DS49" s="1167"/>
      <c r="DT49" s="1167"/>
      <c r="DU49" s="1453"/>
      <c r="DV49" s="1167"/>
      <c r="DW49" s="1167"/>
      <c r="DX49" s="1167"/>
      <c r="DY49" s="1167"/>
      <c r="DZ49" s="1167"/>
      <c r="EA49" s="1167"/>
      <c r="EB49" s="1167"/>
      <c r="EC49" s="1167"/>
      <c r="ED49" s="1167"/>
      <c r="EE49" s="1167"/>
      <c r="EF49" s="1167"/>
      <c r="EG49" s="1167"/>
      <c r="EH49" s="1167"/>
      <c r="EI49" s="1167"/>
      <c r="EJ49" s="1453"/>
      <c r="EK49" s="1167"/>
      <c r="EL49" s="1475"/>
      <c r="EM49" s="1475"/>
      <c r="EN49" s="1475"/>
      <c r="EO49" s="1475"/>
      <c r="EP49" s="1475"/>
      <c r="EQ49" s="1475"/>
      <c r="ER49" s="1475"/>
      <c r="ES49" s="1167"/>
      <c r="ET49" s="1453"/>
      <c r="EU49" s="1517"/>
      <c r="EV49" s="1262"/>
      <c r="EW49" s="1262"/>
      <c r="EX49" s="1262"/>
      <c r="EY49" s="1262"/>
      <c r="EZ49" s="1262"/>
      <c r="FA49" s="1262"/>
      <c r="FB49" s="1262"/>
      <c r="FC49" s="1262"/>
      <c r="FD49" s="1198"/>
      <c r="FE49" s="1198"/>
      <c r="FF49" s="1198"/>
      <c r="FG49" s="1198"/>
      <c r="FH49" s="1475"/>
      <c r="FI49" s="1465"/>
      <c r="FJ49" s="1699"/>
      <c r="FK49" s="1699"/>
      <c r="FL49" s="1699"/>
      <c r="FM49" s="1699"/>
      <c r="FN49" s="1699"/>
      <c r="FO49" s="1167"/>
      <c r="FP49" s="1167"/>
      <c r="FQ49" s="1167"/>
      <c r="FR49" s="1167"/>
      <c r="FS49" s="1167"/>
      <c r="FT49" s="1167"/>
      <c r="FU49" s="1167"/>
      <c r="FV49" s="1167"/>
      <c r="FW49" s="1167"/>
      <c r="FX49" s="1167"/>
      <c r="FY49" s="1167"/>
      <c r="FZ49" s="1167"/>
      <c r="GA49" s="1453"/>
      <c r="GB49" s="1167"/>
      <c r="GC49" s="1167"/>
      <c r="GD49" s="1167"/>
      <c r="GE49" s="1167"/>
      <c r="GF49" s="1167"/>
      <c r="GG49" s="1453"/>
      <c r="GH49" s="1167"/>
      <c r="GI49" s="1167"/>
      <c r="GJ49" s="1167"/>
      <c r="GK49" s="1167"/>
      <c r="GL49" s="1167"/>
      <c r="GM49" s="1167"/>
      <c r="GN49" s="1167"/>
      <c r="GO49" s="1167"/>
      <c r="GP49" s="1167"/>
      <c r="GQ49" s="1167"/>
      <c r="GR49" s="1167"/>
      <c r="GS49" s="1167"/>
      <c r="GT49" s="1167"/>
      <c r="GU49" s="1167"/>
      <c r="GV49" s="1163"/>
      <c r="GW49" s="1224"/>
      <c r="GX49" s="1217"/>
      <c r="GY49" s="1217"/>
      <c r="GZ49" s="1218"/>
      <c r="HA49" s="1218"/>
      <c r="HB49" s="1218"/>
      <c r="HC49" s="1189"/>
      <c r="HD49" s="1189"/>
      <c r="HE49" s="1167"/>
      <c r="HF49" s="1167"/>
      <c r="HG49" s="1167"/>
      <c r="HH49" s="1167"/>
      <c r="HI49" s="1167"/>
      <c r="HJ49" s="1167"/>
      <c r="HK49" s="1167"/>
      <c r="HL49" s="1167"/>
      <c r="HM49" s="1167"/>
      <c r="HN49" s="1167"/>
      <c r="HO49" s="1167"/>
      <c r="HP49" s="1167"/>
      <c r="HQ49" s="1167"/>
      <c r="HR49" s="1167"/>
      <c r="HS49" s="1167"/>
      <c r="HT49" s="1167"/>
      <c r="HU49" s="1167"/>
      <c r="HV49" s="1167"/>
      <c r="HW49" s="1167"/>
      <c r="HX49" s="1167"/>
      <c r="HY49" s="1167"/>
      <c r="HZ49" s="1167"/>
      <c r="IA49" s="1167"/>
      <c r="IB49" s="1167"/>
      <c r="IC49" s="1167"/>
      <c r="ID49" s="1167"/>
      <c r="IE49" s="1167"/>
      <c r="IF49" s="1167"/>
    </row>
    <row r="50" customFormat="false" ht="24.75" hidden="false" customHeight="true" outlineLevel="0" collapsed="false">
      <c r="A50" s="1453"/>
      <c r="B50" s="1167"/>
      <c r="C50" s="1167"/>
      <c r="D50" s="1167"/>
      <c r="E50" s="1453"/>
      <c r="F50" s="1167"/>
      <c r="G50" s="1167"/>
      <c r="H50" s="1167"/>
      <c r="I50" s="1453"/>
      <c r="J50" s="1167"/>
      <c r="K50" s="1167"/>
      <c r="L50" s="1167"/>
      <c r="M50" s="1167"/>
      <c r="N50" s="1167"/>
      <c r="O50" s="1167"/>
      <c r="P50" s="1167"/>
      <c r="Q50" s="1167"/>
      <c r="R50" s="1167"/>
      <c r="S50" s="1453"/>
      <c r="T50" s="1167"/>
      <c r="U50" s="1167"/>
      <c r="V50" s="1167"/>
      <c r="W50" s="1167"/>
      <c r="X50" s="1167"/>
      <c r="Y50" s="1167"/>
      <c r="Z50" s="1167"/>
      <c r="AA50" s="1167"/>
      <c r="AB50" s="1167"/>
      <c r="AC50" s="1167"/>
      <c r="AD50" s="1167"/>
      <c r="AE50" s="1167"/>
      <c r="AF50" s="1167"/>
      <c r="AG50" s="1167"/>
      <c r="AH50" s="1453"/>
      <c r="AI50" s="1198"/>
      <c r="AJ50" s="1198"/>
      <c r="AK50" s="1198"/>
      <c r="AL50" s="1198"/>
      <c r="AM50" s="1198"/>
      <c r="AN50" s="1198"/>
      <c r="AO50" s="1198"/>
      <c r="AP50" s="1198"/>
      <c r="AQ50" s="1198"/>
      <c r="AR50" s="1198"/>
      <c r="AS50" s="1198"/>
      <c r="AT50" s="1481"/>
      <c r="AU50" s="1198"/>
      <c r="AV50" s="1198"/>
      <c r="AW50" s="1198"/>
      <c r="AX50" s="1198"/>
      <c r="AY50" s="1198"/>
      <c r="AZ50" s="1198"/>
      <c r="BA50" s="1198"/>
      <c r="BB50" s="1198"/>
      <c r="BC50" s="1198"/>
      <c r="BD50" s="1198"/>
      <c r="BE50" s="1198"/>
      <c r="BF50" s="1198"/>
      <c r="BG50" s="1198"/>
      <c r="BH50" s="1167"/>
      <c r="BI50" s="1167"/>
      <c r="BJ50" s="1167"/>
      <c r="BK50" s="1167"/>
      <c r="BL50" s="1167"/>
      <c r="BM50" s="1167"/>
      <c r="BN50" s="1167"/>
      <c r="BO50" s="1167"/>
      <c r="BP50" s="1167"/>
      <c r="BQ50" s="1167"/>
      <c r="BR50" s="1167"/>
      <c r="BS50" s="1167"/>
      <c r="BT50" s="1167"/>
      <c r="BU50" s="1167"/>
      <c r="BV50" s="1167"/>
      <c r="BW50" s="1167"/>
      <c r="BX50" s="1167"/>
      <c r="BY50" s="1167"/>
      <c r="BZ50" s="1167"/>
      <c r="CA50" s="1167"/>
      <c r="CB50" s="1167"/>
      <c r="CC50" s="1167"/>
      <c r="CD50" s="1167"/>
      <c r="CE50" s="1167"/>
      <c r="CF50" s="1167"/>
      <c r="CG50" s="1167"/>
      <c r="CH50" s="1167"/>
      <c r="CI50" s="1167"/>
      <c r="CJ50" s="1453"/>
      <c r="CK50" s="1167"/>
      <c r="CL50" s="1167"/>
      <c r="CM50" s="1167"/>
      <c r="CN50" s="1167"/>
      <c r="CO50" s="1167"/>
      <c r="CP50" s="1167"/>
      <c r="CQ50" s="1167"/>
      <c r="CR50" s="1167"/>
      <c r="CS50" s="1167"/>
      <c r="CT50" s="1167"/>
      <c r="CU50" s="1167"/>
      <c r="CV50" s="1453"/>
      <c r="CW50" s="1167"/>
      <c r="CX50" s="1167"/>
      <c r="CY50" s="1167"/>
      <c r="CZ50" s="1167"/>
      <c r="DA50" s="1167"/>
      <c r="DB50" s="1167"/>
      <c r="DC50" s="1167"/>
      <c r="DD50" s="1167"/>
      <c r="DE50" s="1167"/>
      <c r="DF50" s="1167"/>
      <c r="DG50" s="1167"/>
      <c r="DH50" s="1167"/>
      <c r="DI50" s="1167"/>
      <c r="DJ50" s="1167"/>
      <c r="DK50" s="1167"/>
      <c r="DL50" s="1167"/>
      <c r="DM50" s="1167"/>
      <c r="DN50" s="1167"/>
      <c r="DO50" s="1167"/>
      <c r="DP50" s="1167"/>
      <c r="DQ50" s="1167"/>
      <c r="DR50" s="1167"/>
      <c r="DS50" s="1167"/>
      <c r="DT50" s="1167"/>
      <c r="DU50" s="1453"/>
      <c r="DV50" s="1167"/>
      <c r="DW50" s="1167"/>
      <c r="DX50" s="1167"/>
      <c r="DY50" s="1167"/>
      <c r="DZ50" s="1167"/>
      <c r="EA50" s="1167"/>
      <c r="EB50" s="1167"/>
      <c r="EC50" s="1167"/>
      <c r="ED50" s="1167"/>
      <c r="EE50" s="1167"/>
      <c r="EF50" s="1167"/>
      <c r="EG50" s="1167"/>
      <c r="EH50" s="1167"/>
      <c r="EI50" s="1167"/>
      <c r="EJ50" s="1453"/>
      <c r="EK50" s="1167"/>
      <c r="EL50" s="1475"/>
      <c r="EM50" s="1475"/>
      <c r="EN50" s="1475"/>
      <c r="EO50" s="1475"/>
      <c r="EP50" s="1475"/>
      <c r="EQ50" s="1475"/>
      <c r="ER50" s="1475"/>
      <c r="ES50" s="1167"/>
      <c r="ET50" s="1453"/>
      <c r="EU50" s="1517"/>
      <c r="EV50" s="1262"/>
      <c r="EW50" s="1262"/>
      <c r="EX50" s="1262"/>
      <c r="EY50" s="1262"/>
      <c r="EZ50" s="1262"/>
      <c r="FA50" s="1262"/>
      <c r="FB50" s="1262"/>
      <c r="FC50" s="1262"/>
      <c r="FD50" s="1198"/>
      <c r="FE50" s="1198"/>
      <c r="FF50" s="1198"/>
      <c r="FG50" s="1198"/>
      <c r="FH50" s="1475"/>
      <c r="FI50" s="1465"/>
      <c r="FJ50" s="1699"/>
      <c r="FK50" s="1699"/>
      <c r="FL50" s="1699"/>
      <c r="FM50" s="1699"/>
      <c r="FN50" s="1699"/>
      <c r="FO50" s="1167"/>
      <c r="FP50" s="1167"/>
      <c r="FQ50" s="1167"/>
      <c r="FR50" s="1167"/>
      <c r="FS50" s="1167"/>
      <c r="FT50" s="1167"/>
      <c r="FU50" s="1167"/>
      <c r="FV50" s="1167"/>
      <c r="FW50" s="1167"/>
      <c r="FX50" s="1167"/>
      <c r="FY50" s="1167"/>
      <c r="FZ50" s="1167"/>
      <c r="GA50" s="1453"/>
      <c r="GB50" s="1167"/>
      <c r="GC50" s="1167"/>
      <c r="GD50" s="1167"/>
      <c r="GE50" s="1167"/>
      <c r="GF50" s="1167"/>
      <c r="GG50" s="1453"/>
      <c r="GH50" s="1167"/>
      <c r="GI50" s="1167"/>
      <c r="GJ50" s="1167"/>
      <c r="GK50" s="1167"/>
      <c r="GL50" s="1167"/>
      <c r="GM50" s="1167"/>
      <c r="GN50" s="1167"/>
      <c r="GO50" s="1167"/>
      <c r="GP50" s="1167"/>
      <c r="GQ50" s="1167"/>
      <c r="GR50" s="1167"/>
      <c r="GS50" s="1167"/>
      <c r="GT50" s="1167"/>
      <c r="GU50" s="1167"/>
      <c r="GV50" s="1163"/>
      <c r="GW50" s="1664"/>
      <c r="GX50" s="1217"/>
      <c r="GY50" s="1217"/>
      <c r="GZ50" s="1218"/>
      <c r="HA50" s="1218"/>
      <c r="HB50" s="1218"/>
      <c r="HC50" s="1189"/>
      <c r="HD50" s="1189"/>
      <c r="HE50" s="1167"/>
      <c r="HF50" s="1167"/>
      <c r="HG50" s="1167"/>
      <c r="HH50" s="1167"/>
      <c r="HI50" s="1167"/>
      <c r="HJ50" s="1167"/>
      <c r="HK50" s="1167"/>
      <c r="HL50" s="1167"/>
      <c r="HM50" s="1167"/>
      <c r="HN50" s="1167"/>
      <c r="HO50" s="1167"/>
      <c r="HP50" s="1167"/>
      <c r="HQ50" s="1167"/>
      <c r="HR50" s="1167"/>
      <c r="HS50" s="1167"/>
      <c r="HT50" s="1167"/>
      <c r="HU50" s="1167"/>
      <c r="HV50" s="1167"/>
      <c r="HW50" s="1167"/>
      <c r="HX50" s="1167"/>
      <c r="HY50" s="1167"/>
      <c r="HZ50" s="1167"/>
      <c r="IA50" s="1167"/>
      <c r="IB50" s="1167"/>
      <c r="IC50" s="1167"/>
      <c r="ID50" s="1167"/>
      <c r="IE50" s="1167"/>
      <c r="IF50" s="1167"/>
    </row>
    <row r="51" customFormat="false" ht="11.25" hidden="false" customHeight="true" outlineLevel="0" collapsed="false">
      <c r="A51" s="1453"/>
      <c r="B51" s="1167"/>
      <c r="C51" s="1167"/>
      <c r="D51" s="1167"/>
      <c r="E51" s="1453"/>
      <c r="F51" s="1167"/>
      <c r="G51" s="1167"/>
      <c r="H51" s="1167"/>
      <c r="I51" s="1453"/>
      <c r="J51" s="1167"/>
      <c r="K51" s="1167"/>
      <c r="L51" s="1167"/>
      <c r="M51" s="1167"/>
      <c r="N51" s="1167"/>
      <c r="O51" s="1167"/>
      <c r="P51" s="1167"/>
      <c r="Q51" s="1167"/>
      <c r="R51" s="1167"/>
      <c r="S51" s="1453"/>
      <c r="T51" s="1167"/>
      <c r="U51" s="1167"/>
      <c r="V51" s="1167"/>
      <c r="W51" s="1167"/>
      <c r="X51" s="1167"/>
      <c r="Y51" s="1167"/>
      <c r="Z51" s="1167"/>
      <c r="AA51" s="1167"/>
      <c r="AB51" s="1167"/>
      <c r="AC51" s="1167"/>
      <c r="AD51" s="1167"/>
      <c r="AE51" s="1167"/>
      <c r="AF51" s="1167"/>
      <c r="AG51" s="1167"/>
      <c r="AH51" s="1453"/>
      <c r="AI51" s="1198"/>
      <c r="AJ51" s="1198"/>
      <c r="AK51" s="1198"/>
      <c r="AL51" s="1198"/>
      <c r="AM51" s="1198"/>
      <c r="AN51" s="1198"/>
      <c r="AO51" s="1198"/>
      <c r="AP51" s="1198"/>
      <c r="AQ51" s="1198"/>
      <c r="AR51" s="1198"/>
      <c r="AS51" s="1198"/>
      <c r="AT51" s="1481"/>
      <c r="AU51" s="1198"/>
      <c r="AV51" s="1198"/>
      <c r="AW51" s="1198"/>
      <c r="AX51" s="1198"/>
      <c r="AY51" s="1198"/>
      <c r="AZ51" s="1198"/>
      <c r="BA51" s="1198"/>
      <c r="BB51" s="1198"/>
      <c r="BC51" s="1198"/>
      <c r="BD51" s="1198"/>
      <c r="BE51" s="1198"/>
      <c r="BF51" s="1198"/>
      <c r="BG51" s="1198"/>
      <c r="BH51" s="1167"/>
      <c r="BI51" s="1167"/>
      <c r="BJ51" s="1167"/>
      <c r="BK51" s="1167"/>
      <c r="BL51" s="1167"/>
      <c r="BM51" s="1167"/>
      <c r="BN51" s="1167"/>
      <c r="BO51" s="1167"/>
      <c r="BP51" s="1167"/>
      <c r="BQ51" s="1167"/>
      <c r="BR51" s="1167"/>
      <c r="BS51" s="1167"/>
      <c r="BT51" s="1167"/>
      <c r="BU51" s="1167"/>
      <c r="BV51" s="1167"/>
      <c r="BW51" s="1167"/>
      <c r="BX51" s="1167"/>
      <c r="BY51" s="1167"/>
      <c r="BZ51" s="1167"/>
      <c r="CA51" s="1167"/>
      <c r="CB51" s="1167"/>
      <c r="CC51" s="1167"/>
      <c r="CD51" s="1167"/>
      <c r="CE51" s="1167"/>
      <c r="CF51" s="1167"/>
      <c r="CG51" s="1167"/>
      <c r="CH51" s="1167"/>
      <c r="CI51" s="1167"/>
      <c r="CJ51" s="1453"/>
      <c r="CK51" s="1167"/>
      <c r="CL51" s="1167"/>
      <c r="CM51" s="1167"/>
      <c r="CN51" s="1167"/>
      <c r="CO51" s="1167"/>
      <c r="CP51" s="1167"/>
      <c r="CQ51" s="1167"/>
      <c r="CR51" s="1167"/>
      <c r="CS51" s="1167"/>
      <c r="CT51" s="1167"/>
      <c r="CU51" s="1167"/>
      <c r="CV51" s="1453"/>
      <c r="CW51" s="1167"/>
      <c r="CX51" s="1167"/>
      <c r="CY51" s="1167"/>
      <c r="CZ51" s="1167"/>
      <c r="DA51" s="1167"/>
      <c r="DB51" s="1167"/>
      <c r="DC51" s="1167"/>
      <c r="DD51" s="1167"/>
      <c r="DE51" s="1167"/>
      <c r="DF51" s="1167"/>
      <c r="DG51" s="1167"/>
      <c r="DH51" s="1167"/>
      <c r="DI51" s="1167"/>
      <c r="DJ51" s="1167"/>
      <c r="DK51" s="1167"/>
      <c r="DL51" s="1167"/>
      <c r="DM51" s="1167"/>
      <c r="DN51" s="1167"/>
      <c r="DO51" s="1167"/>
      <c r="DP51" s="1167"/>
      <c r="DQ51" s="1167"/>
      <c r="DR51" s="1167"/>
      <c r="DS51" s="1167"/>
      <c r="DT51" s="1167"/>
      <c r="DU51" s="1453"/>
      <c r="DV51" s="1167"/>
      <c r="DW51" s="1167"/>
      <c r="DX51" s="1167"/>
      <c r="DY51" s="1167"/>
      <c r="DZ51" s="1167"/>
      <c r="EA51" s="1167"/>
      <c r="EB51" s="1167"/>
      <c r="EC51" s="1167"/>
      <c r="ED51" s="1167"/>
      <c r="EE51" s="1167"/>
      <c r="EF51" s="1167"/>
      <c r="EG51" s="1167"/>
      <c r="EH51" s="1167"/>
      <c r="EI51" s="1167"/>
      <c r="EJ51" s="1453"/>
      <c r="EK51" s="1167"/>
      <c r="EL51" s="1475"/>
      <c r="EM51" s="1475"/>
      <c r="EN51" s="1475"/>
      <c r="EO51" s="1475"/>
      <c r="EP51" s="1475"/>
      <c r="EQ51" s="1475"/>
      <c r="ER51" s="1475"/>
      <c r="ES51" s="1167"/>
      <c r="ET51" s="1453"/>
      <c r="EU51" s="1517"/>
      <c r="EV51" s="1262"/>
      <c r="EW51" s="1262"/>
      <c r="EX51" s="1262"/>
      <c r="EY51" s="1262"/>
      <c r="EZ51" s="1262"/>
      <c r="FA51" s="1262"/>
      <c r="FB51" s="1262"/>
      <c r="FC51" s="1262"/>
      <c r="FD51" s="1198"/>
      <c r="FE51" s="1198"/>
      <c r="FF51" s="1198"/>
      <c r="FG51" s="1198"/>
      <c r="FH51" s="1475"/>
      <c r="FI51" s="1465"/>
      <c r="FJ51" s="1699"/>
      <c r="FK51" s="1699"/>
      <c r="FL51" s="1699"/>
      <c r="FM51" s="1699"/>
      <c r="FN51" s="1699"/>
      <c r="FO51" s="1167"/>
      <c r="FP51" s="1167"/>
      <c r="FQ51" s="1167"/>
      <c r="FR51" s="1167"/>
      <c r="FS51" s="1167"/>
      <c r="FT51" s="1167"/>
      <c r="FU51" s="1167"/>
      <c r="FV51" s="1167"/>
      <c r="FW51" s="1167"/>
      <c r="FX51" s="1167"/>
      <c r="FY51" s="1167"/>
      <c r="FZ51" s="1167"/>
      <c r="GA51" s="1453"/>
      <c r="GB51" s="1167"/>
      <c r="GC51" s="1167"/>
      <c r="GD51" s="1167"/>
      <c r="GE51" s="1167"/>
      <c r="GF51" s="1167"/>
      <c r="GG51" s="1453"/>
      <c r="GH51" s="1167"/>
      <c r="GI51" s="1167"/>
      <c r="GJ51" s="1167"/>
      <c r="GK51" s="1167"/>
      <c r="GL51" s="1167"/>
      <c r="GM51" s="1167"/>
      <c r="GN51" s="1167"/>
      <c r="GO51" s="1167"/>
      <c r="GP51" s="1167"/>
      <c r="GQ51" s="1167"/>
      <c r="GR51" s="1167"/>
      <c r="GS51" s="1167"/>
      <c r="GT51" s="1167"/>
      <c r="GU51" s="1167"/>
      <c r="GV51" s="1163"/>
      <c r="GW51" s="1664"/>
      <c r="GX51" s="1217"/>
      <c r="GY51" s="1217"/>
      <c r="GZ51" s="1218"/>
      <c r="HA51" s="1218"/>
      <c r="HB51" s="1218"/>
      <c r="HC51" s="1189"/>
      <c r="HD51" s="1189"/>
      <c r="HE51" s="1167"/>
      <c r="HF51" s="1167"/>
      <c r="HG51" s="1167"/>
      <c r="HH51" s="1167"/>
      <c r="HI51" s="1167"/>
      <c r="HJ51" s="1167"/>
      <c r="HK51" s="1167"/>
      <c r="HL51" s="1167"/>
      <c r="HM51" s="1167"/>
      <c r="HN51" s="1167"/>
      <c r="HO51" s="1167"/>
      <c r="HP51" s="1167"/>
      <c r="HQ51" s="1167"/>
      <c r="HR51" s="1167"/>
      <c r="HS51" s="1167"/>
      <c r="HT51" s="1167"/>
      <c r="HU51" s="1167"/>
      <c r="HV51" s="1167"/>
      <c r="HW51" s="1167"/>
      <c r="HX51" s="1167"/>
      <c r="HY51" s="1167"/>
      <c r="HZ51" s="1167"/>
      <c r="IA51" s="1167"/>
      <c r="IB51" s="1167"/>
      <c r="IC51" s="1167"/>
      <c r="ID51" s="1167"/>
      <c r="IE51" s="1167"/>
      <c r="IF51" s="1167"/>
    </row>
    <row r="52" customFormat="false" ht="11.25" hidden="false" customHeight="true" outlineLevel="0" collapsed="false">
      <c r="A52" s="1453"/>
      <c r="B52" s="1167"/>
      <c r="C52" s="1167"/>
      <c r="D52" s="1167"/>
      <c r="E52" s="1453"/>
      <c r="F52" s="1167"/>
      <c r="G52" s="1167"/>
      <c r="H52" s="1167"/>
      <c r="I52" s="1453"/>
      <c r="J52" s="1167"/>
      <c r="K52" s="1167"/>
      <c r="L52" s="1167"/>
      <c r="M52" s="1167"/>
      <c r="N52" s="1167"/>
      <c r="O52" s="1167"/>
      <c r="P52" s="1167"/>
      <c r="Q52" s="1167"/>
      <c r="R52" s="1167"/>
      <c r="S52" s="1453"/>
      <c r="T52" s="1167"/>
      <c r="U52" s="1167"/>
      <c r="V52" s="1167"/>
      <c r="W52" s="1167"/>
      <c r="X52" s="1167"/>
      <c r="Y52" s="1167"/>
      <c r="Z52" s="1167"/>
      <c r="AA52" s="1167"/>
      <c r="AB52" s="1167"/>
      <c r="AC52" s="1167"/>
      <c r="AD52" s="1167"/>
      <c r="AE52" s="1167"/>
      <c r="AF52" s="1167"/>
      <c r="AG52" s="1167"/>
      <c r="AH52" s="1453"/>
      <c r="AI52" s="1198"/>
      <c r="AJ52" s="1198"/>
      <c r="AK52" s="1198"/>
      <c r="AL52" s="1198"/>
      <c r="AM52" s="1198"/>
      <c r="AN52" s="1198"/>
      <c r="AO52" s="1198"/>
      <c r="AP52" s="1198"/>
      <c r="AQ52" s="1198"/>
      <c r="AR52" s="1198"/>
      <c r="AS52" s="1198"/>
      <c r="AT52" s="1481"/>
      <c r="AU52" s="1198"/>
      <c r="AV52" s="1198"/>
      <c r="AW52" s="1198"/>
      <c r="AX52" s="1198"/>
      <c r="AY52" s="1198"/>
      <c r="AZ52" s="1198"/>
      <c r="BA52" s="1198"/>
      <c r="BB52" s="1198"/>
      <c r="BC52" s="1198"/>
      <c r="BD52" s="1198"/>
      <c r="BE52" s="1198"/>
      <c r="BF52" s="1198"/>
      <c r="BG52" s="1198"/>
      <c r="BH52" s="1167"/>
      <c r="BI52" s="1167"/>
      <c r="BJ52" s="1167"/>
      <c r="BK52" s="1167"/>
      <c r="BL52" s="1167"/>
      <c r="BM52" s="1167"/>
      <c r="BN52" s="1167"/>
      <c r="BO52" s="1167"/>
      <c r="BP52" s="1167"/>
      <c r="BQ52" s="1167"/>
      <c r="BR52" s="1167"/>
      <c r="BS52" s="1167"/>
      <c r="BT52" s="1167"/>
      <c r="BU52" s="1167"/>
      <c r="BV52" s="1167"/>
      <c r="BW52" s="1167"/>
      <c r="BX52" s="1167"/>
      <c r="BY52" s="1167"/>
      <c r="BZ52" s="1167"/>
      <c r="CA52" s="1167"/>
      <c r="CB52" s="1167"/>
      <c r="CC52" s="1167"/>
      <c r="CD52" s="1167"/>
      <c r="CE52" s="1167"/>
      <c r="CF52" s="1167"/>
      <c r="CG52" s="1167"/>
      <c r="CH52" s="1167"/>
      <c r="CI52" s="1167"/>
      <c r="CJ52" s="1453"/>
      <c r="CK52" s="1167"/>
      <c r="CL52" s="1167"/>
      <c r="CM52" s="1167"/>
      <c r="CN52" s="1167"/>
      <c r="CO52" s="1167"/>
      <c r="CP52" s="1167"/>
      <c r="CQ52" s="1167"/>
      <c r="CR52" s="1167"/>
      <c r="CS52" s="1167"/>
      <c r="CT52" s="1167"/>
      <c r="CU52" s="1167"/>
      <c r="CV52" s="1453"/>
      <c r="CW52" s="1167"/>
      <c r="CX52" s="1167"/>
      <c r="CY52" s="1167"/>
      <c r="CZ52" s="1167"/>
      <c r="DA52" s="1167"/>
      <c r="DB52" s="1167"/>
      <c r="DC52" s="1167"/>
      <c r="DD52" s="1167"/>
      <c r="DE52" s="1167"/>
      <c r="DF52" s="1167"/>
      <c r="DG52" s="1167"/>
      <c r="DH52" s="1167"/>
      <c r="DI52" s="1167"/>
      <c r="DJ52" s="1167"/>
      <c r="DK52" s="1167"/>
      <c r="DL52" s="1167"/>
      <c r="DM52" s="1167"/>
      <c r="DN52" s="1167"/>
      <c r="DO52" s="1167"/>
      <c r="DP52" s="1167"/>
      <c r="DQ52" s="1167"/>
      <c r="DR52" s="1167"/>
      <c r="DS52" s="1167"/>
      <c r="DT52" s="1167"/>
      <c r="DU52" s="1453"/>
      <c r="DV52" s="1167"/>
      <c r="DW52" s="1167"/>
      <c r="DX52" s="1167"/>
      <c r="DY52" s="1167"/>
      <c r="DZ52" s="1167"/>
      <c r="EA52" s="1167"/>
      <c r="EB52" s="1167"/>
      <c r="EC52" s="1167"/>
      <c r="ED52" s="1167"/>
      <c r="EE52" s="1167"/>
      <c r="EF52" s="1167"/>
      <c r="EG52" s="1167"/>
      <c r="EH52" s="1167"/>
      <c r="EI52" s="1167"/>
      <c r="EJ52" s="1453"/>
      <c r="EK52" s="1167"/>
      <c r="EL52" s="1475"/>
      <c r="EM52" s="1475"/>
      <c r="EN52" s="1475"/>
      <c r="EO52" s="1475"/>
      <c r="EP52" s="1475"/>
      <c r="EQ52" s="1475"/>
      <c r="ER52" s="1475"/>
      <c r="ES52" s="1167"/>
      <c r="ET52" s="1453"/>
      <c r="EU52" s="1517"/>
      <c r="EV52" s="1262"/>
      <c r="EW52" s="1262"/>
      <c r="EX52" s="1262"/>
      <c r="EY52" s="1262"/>
      <c r="EZ52" s="1262"/>
      <c r="FA52" s="1262"/>
      <c r="FB52" s="1262"/>
      <c r="FC52" s="1262"/>
      <c r="FD52" s="1198"/>
      <c r="FE52" s="1198"/>
      <c r="FF52" s="1198"/>
      <c r="FG52" s="1198"/>
      <c r="FH52" s="1475"/>
      <c r="FI52" s="1465"/>
      <c r="FJ52" s="1699"/>
      <c r="FK52" s="1699"/>
      <c r="FL52" s="1699"/>
      <c r="FM52" s="1699"/>
      <c r="FN52" s="1699"/>
      <c r="FO52" s="1167"/>
      <c r="FP52" s="1167"/>
      <c r="FQ52" s="1167"/>
      <c r="FR52" s="1167"/>
      <c r="FS52" s="1167"/>
      <c r="FT52" s="1167"/>
      <c r="FU52" s="1167"/>
      <c r="FV52" s="1167"/>
      <c r="FW52" s="1167"/>
      <c r="FX52" s="1167"/>
      <c r="FY52" s="1167"/>
      <c r="FZ52" s="1167"/>
      <c r="GA52" s="1453"/>
      <c r="GB52" s="1167"/>
      <c r="GC52" s="1167"/>
      <c r="GD52" s="1167"/>
      <c r="GE52" s="1167"/>
      <c r="GF52" s="1167"/>
      <c r="GG52" s="1453"/>
      <c r="GH52" s="1167"/>
      <c r="GI52" s="1167"/>
      <c r="GJ52" s="1167"/>
      <c r="GK52" s="1167"/>
      <c r="GL52" s="1167"/>
      <c r="GM52" s="1167"/>
      <c r="GN52" s="1167"/>
      <c r="GO52" s="1167"/>
      <c r="GP52" s="1167"/>
      <c r="GQ52" s="1167"/>
      <c r="GR52" s="1167"/>
      <c r="GS52" s="1167"/>
      <c r="GT52" s="1167"/>
      <c r="GU52" s="1167"/>
      <c r="GV52" s="1163"/>
      <c r="GW52" s="1664"/>
      <c r="GX52" s="1217"/>
      <c r="GY52" s="1217"/>
      <c r="GZ52" s="1218"/>
      <c r="HA52" s="1218"/>
      <c r="HB52" s="1218"/>
      <c r="HC52" s="1189"/>
      <c r="HD52" s="1189"/>
      <c r="HE52" s="1217"/>
      <c r="HF52" s="1167"/>
      <c r="HG52" s="1167"/>
      <c r="HH52" s="1167"/>
      <c r="HI52" s="1167"/>
      <c r="HJ52" s="1167"/>
      <c r="HK52" s="1167"/>
      <c r="HL52" s="1167"/>
      <c r="HM52" s="1167"/>
      <c r="HN52" s="1167"/>
      <c r="HO52" s="1167"/>
      <c r="HP52" s="1167"/>
      <c r="HQ52" s="1167"/>
      <c r="HR52" s="1167"/>
      <c r="HS52" s="1167"/>
      <c r="HT52" s="1167"/>
      <c r="HU52" s="1167"/>
      <c r="HV52" s="1167"/>
      <c r="HW52" s="1167"/>
      <c r="HX52" s="1167"/>
      <c r="HY52" s="1167"/>
      <c r="HZ52" s="1167"/>
      <c r="IA52" s="1167"/>
      <c r="IB52" s="1167"/>
      <c r="IC52" s="1167"/>
      <c r="ID52" s="1167"/>
      <c r="IE52" s="1167"/>
      <c r="IF52" s="1167"/>
    </row>
    <row r="53" customFormat="false" ht="11.25" hidden="false" customHeight="true" outlineLevel="0" collapsed="false">
      <c r="A53" s="1453"/>
      <c r="B53" s="1167"/>
      <c r="C53" s="1167"/>
      <c r="D53" s="1167"/>
      <c r="E53" s="1453"/>
      <c r="F53" s="1167"/>
      <c r="G53" s="1167"/>
      <c r="H53" s="1167"/>
      <c r="I53" s="1453"/>
      <c r="J53" s="1167"/>
      <c r="K53" s="1167"/>
      <c r="L53" s="1167"/>
      <c r="M53" s="1167"/>
      <c r="N53" s="1167"/>
      <c r="O53" s="1167"/>
      <c r="P53" s="1167"/>
      <c r="Q53" s="1167"/>
      <c r="R53" s="1167"/>
      <c r="S53" s="1453"/>
      <c r="T53" s="1167"/>
      <c r="U53" s="1167"/>
      <c r="V53" s="1167"/>
      <c r="W53" s="1167"/>
      <c r="X53" s="1167"/>
      <c r="Y53" s="1167"/>
      <c r="Z53" s="1167"/>
      <c r="AA53" s="1167"/>
      <c r="AB53" s="1167"/>
      <c r="AC53" s="1167"/>
      <c r="AD53" s="1167"/>
      <c r="AE53" s="1167"/>
      <c r="AF53" s="1167"/>
      <c r="AG53" s="1167"/>
      <c r="AH53" s="1453"/>
      <c r="AI53" s="1198"/>
      <c r="AJ53" s="1198"/>
      <c r="AK53" s="1198"/>
      <c r="AL53" s="1198"/>
      <c r="AM53" s="1198"/>
      <c r="AN53" s="1198"/>
      <c r="AO53" s="1198"/>
      <c r="AP53" s="1198"/>
      <c r="AQ53" s="1198"/>
      <c r="AR53" s="1198"/>
      <c r="AS53" s="1198"/>
      <c r="AT53" s="1481"/>
      <c r="AU53" s="1198"/>
      <c r="AV53" s="1198"/>
      <c r="AW53" s="1198"/>
      <c r="AX53" s="1198"/>
      <c r="AY53" s="1198"/>
      <c r="AZ53" s="1198"/>
      <c r="BA53" s="1198"/>
      <c r="BB53" s="1198"/>
      <c r="BC53" s="1198"/>
      <c r="BD53" s="1198"/>
      <c r="BE53" s="1198"/>
      <c r="BF53" s="1198"/>
      <c r="BG53" s="1198"/>
      <c r="BH53" s="1167"/>
      <c r="BI53" s="1167"/>
      <c r="BJ53" s="1167"/>
      <c r="BK53" s="1167"/>
      <c r="BL53" s="1167"/>
      <c r="BM53" s="1167"/>
      <c r="BN53" s="1167"/>
      <c r="BO53" s="1167"/>
      <c r="BP53" s="1167"/>
      <c r="BQ53" s="1167"/>
      <c r="BR53" s="1167"/>
      <c r="BS53" s="1167"/>
      <c r="BT53" s="1167"/>
      <c r="BU53" s="1167"/>
      <c r="BV53" s="1167"/>
      <c r="BW53" s="1167"/>
      <c r="BX53" s="1167"/>
      <c r="BY53" s="1167"/>
      <c r="BZ53" s="1167"/>
      <c r="CA53" s="1167"/>
      <c r="CB53" s="1167"/>
      <c r="CC53" s="1167"/>
      <c r="CD53" s="1167"/>
      <c r="CE53" s="1167"/>
      <c r="CF53" s="1167"/>
      <c r="CG53" s="1167"/>
      <c r="CH53" s="1167"/>
      <c r="CI53" s="1167"/>
      <c r="CJ53" s="1453"/>
      <c r="CK53" s="1167"/>
      <c r="CL53" s="1167"/>
      <c r="CM53" s="1167"/>
      <c r="CN53" s="1167"/>
      <c r="CO53" s="1167"/>
      <c r="CP53" s="1167"/>
      <c r="CQ53" s="1167"/>
      <c r="CR53" s="1167"/>
      <c r="CS53" s="1167"/>
      <c r="CT53" s="1167"/>
      <c r="CU53" s="1167"/>
      <c r="CV53" s="1453"/>
      <c r="CW53" s="1167"/>
      <c r="CX53" s="1167"/>
      <c r="CY53" s="1167"/>
      <c r="CZ53" s="1167"/>
      <c r="DA53" s="1167"/>
      <c r="DB53" s="1167"/>
      <c r="DC53" s="1167"/>
      <c r="DD53" s="1167"/>
      <c r="DE53" s="1167"/>
      <c r="DF53" s="1167"/>
      <c r="DG53" s="1167"/>
      <c r="DH53" s="1167"/>
      <c r="DI53" s="1167"/>
      <c r="DJ53" s="1167"/>
      <c r="DK53" s="1167"/>
      <c r="DL53" s="1167"/>
      <c r="DM53" s="1167"/>
      <c r="DN53" s="1167"/>
      <c r="DO53" s="1167"/>
      <c r="DP53" s="1167"/>
      <c r="DQ53" s="1167"/>
      <c r="DR53" s="1167"/>
      <c r="DS53" s="1167"/>
      <c r="DT53" s="1167"/>
      <c r="DU53" s="1453"/>
      <c r="DV53" s="1167"/>
      <c r="DW53" s="1167"/>
      <c r="DX53" s="1167"/>
      <c r="DY53" s="1167"/>
      <c r="DZ53" s="1167"/>
      <c r="EA53" s="1167"/>
      <c r="EB53" s="1167"/>
      <c r="EC53" s="1167"/>
      <c r="ED53" s="1167"/>
      <c r="EE53" s="1167"/>
      <c r="EF53" s="1167"/>
      <c r="EG53" s="1167"/>
      <c r="EH53" s="1167"/>
      <c r="EI53" s="1167"/>
      <c r="EJ53" s="1453"/>
      <c r="EK53" s="1167"/>
      <c r="EL53" s="1475"/>
      <c r="EM53" s="1475"/>
      <c r="EN53" s="1475"/>
      <c r="EO53" s="1475"/>
      <c r="EP53" s="1475"/>
      <c r="EQ53" s="1475"/>
      <c r="ER53" s="1475"/>
      <c r="ES53" s="1167"/>
      <c r="ET53" s="1453"/>
      <c r="EU53" s="1517"/>
      <c r="EV53" s="1262"/>
      <c r="EW53" s="1262"/>
      <c r="EX53" s="1262"/>
      <c r="EY53" s="1262"/>
      <c r="EZ53" s="1262"/>
      <c r="FA53" s="1262"/>
      <c r="FB53" s="1262"/>
      <c r="FC53" s="1262"/>
      <c r="FD53" s="1198"/>
      <c r="FE53" s="1198"/>
      <c r="FF53" s="1198"/>
      <c r="FG53" s="1198"/>
      <c r="FH53" s="1475"/>
      <c r="FI53" s="1465"/>
      <c r="FJ53" s="1699"/>
      <c r="FK53" s="1699"/>
      <c r="FL53" s="1699"/>
      <c r="FM53" s="1699"/>
      <c r="FN53" s="1699"/>
      <c r="FO53" s="1167"/>
      <c r="FP53" s="1167"/>
      <c r="FQ53" s="1167"/>
      <c r="FR53" s="1167"/>
      <c r="FS53" s="1167"/>
      <c r="FT53" s="1167"/>
      <c r="FU53" s="1167"/>
      <c r="FV53" s="1167"/>
      <c r="FW53" s="1167"/>
      <c r="FX53" s="1167"/>
      <c r="FY53" s="1167"/>
      <c r="FZ53" s="1167"/>
      <c r="GA53" s="1453"/>
      <c r="GB53" s="1167"/>
      <c r="GC53" s="1167"/>
      <c r="GD53" s="1167"/>
      <c r="GE53" s="1167"/>
      <c r="GF53" s="1167"/>
      <c r="GG53" s="1453"/>
      <c r="GH53" s="1167"/>
      <c r="GI53" s="1167"/>
      <c r="GJ53" s="1167"/>
      <c r="GK53" s="1167"/>
      <c r="GL53" s="1167"/>
      <c r="GM53" s="1167"/>
      <c r="GN53" s="1167"/>
      <c r="GO53" s="1167"/>
      <c r="GP53" s="1167"/>
      <c r="GQ53" s="1167"/>
      <c r="GR53" s="1167"/>
      <c r="GS53" s="1167"/>
      <c r="GT53" s="1167"/>
      <c r="GU53" s="1167"/>
      <c r="GV53" s="1163"/>
      <c r="GW53" s="1664"/>
      <c r="GX53" s="1217"/>
      <c r="GY53" s="1217"/>
      <c r="GZ53" s="1218"/>
      <c r="HA53" s="1218"/>
      <c r="HB53" s="1218"/>
      <c r="HC53" s="1189"/>
      <c r="HD53" s="1189"/>
      <c r="HE53" s="1217"/>
      <c r="HF53" s="1167"/>
      <c r="HG53" s="1167"/>
      <c r="HH53" s="1167"/>
      <c r="HI53" s="1167"/>
      <c r="HJ53" s="1167"/>
      <c r="HK53" s="1167"/>
      <c r="HL53" s="1167"/>
      <c r="HM53" s="1167"/>
      <c r="HN53" s="1167"/>
      <c r="HO53" s="1167"/>
      <c r="HP53" s="1167"/>
      <c r="HQ53" s="1167"/>
      <c r="HR53" s="1167"/>
      <c r="HS53" s="1167"/>
      <c r="HT53" s="1167"/>
      <c r="HU53" s="1167"/>
      <c r="HV53" s="1167"/>
      <c r="HW53" s="1167"/>
      <c r="HX53" s="1167"/>
      <c r="HY53" s="1167"/>
      <c r="HZ53" s="1167"/>
      <c r="IA53" s="1167"/>
      <c r="IB53" s="1167"/>
      <c r="IC53" s="1167"/>
      <c r="ID53" s="1167"/>
      <c r="IE53" s="1167"/>
      <c r="IF53" s="1167"/>
    </row>
    <row r="54" customFormat="false" ht="11.25" hidden="false" customHeight="true" outlineLevel="0" collapsed="false">
      <c r="A54" s="1453"/>
      <c r="B54" s="1167"/>
      <c r="C54" s="1167"/>
      <c r="D54" s="1167"/>
      <c r="E54" s="1453"/>
      <c r="F54" s="1167"/>
      <c r="G54" s="1167"/>
      <c r="H54" s="1167"/>
      <c r="I54" s="1453"/>
      <c r="J54" s="1167"/>
      <c r="K54" s="1167"/>
      <c r="L54" s="1167"/>
      <c r="M54" s="1167"/>
      <c r="N54" s="1167"/>
      <c r="O54" s="1167"/>
      <c r="P54" s="1167"/>
      <c r="Q54" s="1167"/>
      <c r="R54" s="1167"/>
      <c r="S54" s="1453"/>
      <c r="T54" s="1167"/>
      <c r="U54" s="1167"/>
      <c r="V54" s="1167"/>
      <c r="W54" s="1167"/>
      <c r="X54" s="1167"/>
      <c r="Y54" s="1167"/>
      <c r="Z54" s="1167"/>
      <c r="AA54" s="1167"/>
      <c r="AB54" s="1167"/>
      <c r="AC54" s="1167"/>
      <c r="AD54" s="1167"/>
      <c r="AE54" s="1167"/>
      <c r="AF54" s="1167"/>
      <c r="AG54" s="1167"/>
      <c r="AH54" s="1453"/>
      <c r="AI54" s="1198"/>
      <c r="AJ54" s="1198"/>
      <c r="AK54" s="1198"/>
      <c r="AL54" s="1198"/>
      <c r="AM54" s="1198"/>
      <c r="AN54" s="1198"/>
      <c r="AO54" s="1198"/>
      <c r="AP54" s="1198"/>
      <c r="AQ54" s="1198"/>
      <c r="AR54" s="1198"/>
      <c r="AS54" s="1198"/>
      <c r="AT54" s="1481"/>
      <c r="AU54" s="1198"/>
      <c r="AV54" s="1198"/>
      <c r="AW54" s="1198"/>
      <c r="AX54" s="1198"/>
      <c r="AY54" s="1198"/>
      <c r="AZ54" s="1198"/>
      <c r="BA54" s="1198"/>
      <c r="BB54" s="1198"/>
      <c r="BC54" s="1198"/>
      <c r="BD54" s="1198"/>
      <c r="BE54" s="1198"/>
      <c r="BF54" s="1198"/>
      <c r="BG54" s="1198"/>
      <c r="BH54" s="1167"/>
      <c r="BI54" s="1167"/>
      <c r="BJ54" s="1167"/>
      <c r="BK54" s="1167"/>
      <c r="BL54" s="1167"/>
      <c r="BM54" s="1167"/>
      <c r="BN54" s="1167"/>
      <c r="BO54" s="1167"/>
      <c r="BP54" s="1167"/>
      <c r="BQ54" s="1167"/>
      <c r="BR54" s="1167"/>
      <c r="BS54" s="1167"/>
      <c r="BT54" s="1167"/>
      <c r="BU54" s="1167"/>
      <c r="BV54" s="1167"/>
      <c r="BW54" s="1167"/>
      <c r="BX54" s="1167"/>
      <c r="BY54" s="1167"/>
      <c r="BZ54" s="1167"/>
      <c r="CA54" s="1167"/>
      <c r="CB54" s="1167"/>
      <c r="CC54" s="1167"/>
      <c r="CD54" s="1167"/>
      <c r="CE54" s="1167"/>
      <c r="CF54" s="1167"/>
      <c r="CG54" s="1167"/>
      <c r="CH54" s="1167"/>
      <c r="CI54" s="1167"/>
      <c r="CJ54" s="1453"/>
      <c r="CK54" s="1167"/>
      <c r="CL54" s="1167"/>
      <c r="CM54" s="1167"/>
      <c r="CN54" s="1167"/>
      <c r="CO54" s="1167"/>
      <c r="CP54" s="1167"/>
      <c r="CQ54" s="1167"/>
      <c r="CR54" s="1167"/>
      <c r="CS54" s="1167"/>
      <c r="CT54" s="1167"/>
      <c r="CU54" s="1167"/>
      <c r="CV54" s="1453"/>
      <c r="CW54" s="1167"/>
      <c r="CX54" s="1167"/>
      <c r="CY54" s="1167"/>
      <c r="CZ54" s="1167"/>
      <c r="DA54" s="1167"/>
      <c r="DB54" s="1167"/>
      <c r="DC54" s="1167"/>
      <c r="DD54" s="1167"/>
      <c r="DE54" s="1167"/>
      <c r="DF54" s="1167"/>
      <c r="DG54" s="1167"/>
      <c r="DH54" s="1167"/>
      <c r="DI54" s="1167"/>
      <c r="DJ54" s="1167"/>
      <c r="DK54" s="1167"/>
      <c r="DL54" s="1167"/>
      <c r="DM54" s="1167"/>
      <c r="DN54" s="1167"/>
      <c r="DO54" s="1167"/>
      <c r="DP54" s="1167"/>
      <c r="DQ54" s="1167"/>
      <c r="DR54" s="1167"/>
      <c r="DS54" s="1167"/>
      <c r="DT54" s="1167"/>
      <c r="DU54" s="1453"/>
      <c r="DV54" s="1167"/>
      <c r="DW54" s="1167"/>
      <c r="DX54" s="1167"/>
      <c r="DY54" s="1167"/>
      <c r="DZ54" s="1167"/>
      <c r="EA54" s="1167"/>
      <c r="EB54" s="1167"/>
      <c r="EC54" s="1167"/>
      <c r="ED54" s="1167"/>
      <c r="EE54" s="1167"/>
      <c r="EF54" s="1167"/>
      <c r="EG54" s="1167"/>
      <c r="EH54" s="1167"/>
      <c r="EI54" s="1167"/>
      <c r="EJ54" s="1453"/>
      <c r="EK54" s="1167"/>
      <c r="EL54" s="1475"/>
      <c r="EM54" s="1475"/>
      <c r="EN54" s="1475"/>
      <c r="EO54" s="1475"/>
      <c r="EP54" s="1475"/>
      <c r="EQ54" s="1475"/>
      <c r="ER54" s="1475"/>
      <c r="ES54" s="1167"/>
      <c r="ET54" s="1453"/>
      <c r="EU54" s="1517"/>
      <c r="EV54" s="1262"/>
      <c r="EW54" s="1262"/>
      <c r="EX54" s="1262"/>
      <c r="EY54" s="1262"/>
      <c r="EZ54" s="1262"/>
      <c r="FA54" s="1262"/>
      <c r="FB54" s="1262"/>
      <c r="FC54" s="1262"/>
      <c r="FD54" s="1198"/>
      <c r="FE54" s="1198"/>
      <c r="FF54" s="1198"/>
      <c r="FG54" s="1198"/>
      <c r="FH54" s="1475"/>
      <c r="FI54" s="1465"/>
      <c r="FJ54" s="1699"/>
      <c r="FK54" s="1699"/>
      <c r="FL54" s="1699"/>
      <c r="FM54" s="1699"/>
      <c r="FN54" s="1699"/>
      <c r="FO54" s="1167"/>
      <c r="FP54" s="1167"/>
      <c r="FQ54" s="1167"/>
      <c r="FR54" s="1167"/>
      <c r="FS54" s="1167"/>
      <c r="FT54" s="1167"/>
      <c r="FU54" s="1167"/>
      <c r="FV54" s="1167"/>
      <c r="FW54" s="1167"/>
      <c r="FX54" s="1167"/>
      <c r="FY54" s="1167"/>
      <c r="FZ54" s="1167"/>
      <c r="GA54" s="1453"/>
      <c r="GB54" s="1167"/>
      <c r="GC54" s="1167"/>
      <c r="GD54" s="1167"/>
      <c r="GE54" s="1167"/>
      <c r="GF54" s="1167"/>
      <c r="GG54" s="1453"/>
      <c r="GH54" s="1167"/>
      <c r="GI54" s="1167"/>
      <c r="GJ54" s="1167"/>
      <c r="GK54" s="1167"/>
      <c r="GL54" s="1167"/>
      <c r="GM54" s="1167"/>
      <c r="GN54" s="1167"/>
      <c r="GO54" s="1167"/>
      <c r="GP54" s="1167"/>
      <c r="GQ54" s="1167"/>
      <c r="GR54" s="1167"/>
      <c r="GS54" s="1167"/>
      <c r="GT54" s="1167"/>
      <c r="GU54" s="1167"/>
      <c r="GV54" s="1163"/>
      <c r="GW54" s="1664"/>
      <c r="GX54" s="1217"/>
      <c r="GY54" s="1217"/>
      <c r="GZ54" s="1218"/>
      <c r="HA54" s="1218"/>
      <c r="HB54" s="1218"/>
      <c r="HC54" s="1189"/>
      <c r="HD54" s="1189"/>
      <c r="HE54" s="1167"/>
      <c r="HF54" s="1167"/>
      <c r="HG54" s="1167"/>
      <c r="HH54" s="1167"/>
      <c r="HI54" s="1167"/>
      <c r="HJ54" s="1167"/>
      <c r="HK54" s="1167"/>
      <c r="HL54" s="1167"/>
      <c r="HM54" s="1167"/>
      <c r="HN54" s="1167"/>
      <c r="HO54" s="1167"/>
      <c r="HP54" s="1167"/>
      <c r="HQ54" s="1167"/>
      <c r="HR54" s="1167"/>
      <c r="HS54" s="1167"/>
      <c r="HT54" s="1167"/>
      <c r="HU54" s="1167"/>
      <c r="HV54" s="1167"/>
      <c r="HW54" s="1167"/>
      <c r="HX54" s="1167"/>
      <c r="HY54" s="1167"/>
      <c r="HZ54" s="1167"/>
      <c r="IA54" s="1167"/>
      <c r="IB54" s="1167"/>
      <c r="IC54" s="1167"/>
      <c r="ID54" s="1167"/>
      <c r="IE54" s="1167"/>
      <c r="IF54" s="1167"/>
    </row>
    <row r="55" customFormat="false" ht="11.25" hidden="false" customHeight="true" outlineLevel="0" collapsed="false">
      <c r="A55" s="1453"/>
      <c r="B55" s="1167"/>
      <c r="C55" s="1167"/>
      <c r="D55" s="1167"/>
      <c r="E55" s="1453"/>
      <c r="F55" s="1167"/>
      <c r="G55" s="1167"/>
      <c r="H55" s="1167"/>
      <c r="I55" s="1453"/>
      <c r="J55" s="1167"/>
      <c r="K55" s="1167"/>
      <c r="L55" s="1167"/>
      <c r="M55" s="1167"/>
      <c r="N55" s="1167"/>
      <c r="O55" s="1167"/>
      <c r="P55" s="1167"/>
      <c r="Q55" s="1167"/>
      <c r="R55" s="1167"/>
      <c r="S55" s="1453"/>
      <c r="T55" s="1167"/>
      <c r="U55" s="1167"/>
      <c r="V55" s="1167"/>
      <c r="W55" s="1167"/>
      <c r="X55" s="1167"/>
      <c r="Y55" s="1167"/>
      <c r="Z55" s="1167"/>
      <c r="AA55" s="1167"/>
      <c r="AB55" s="1167"/>
      <c r="AC55" s="1167"/>
      <c r="AD55" s="1167"/>
      <c r="AE55" s="1167"/>
      <c r="AF55" s="1167"/>
      <c r="AG55" s="1167"/>
      <c r="AH55" s="1453"/>
      <c r="AI55" s="1198"/>
      <c r="AJ55" s="1198"/>
      <c r="AK55" s="1198"/>
      <c r="AL55" s="1198"/>
      <c r="AM55" s="1198"/>
      <c r="AN55" s="1198"/>
      <c r="AO55" s="1198"/>
      <c r="AP55" s="1198"/>
      <c r="AQ55" s="1198"/>
      <c r="AR55" s="1198"/>
      <c r="AS55" s="1198"/>
      <c r="AT55" s="1481"/>
      <c r="AU55" s="1198"/>
      <c r="AV55" s="1198"/>
      <c r="AW55" s="1198"/>
      <c r="AX55" s="1198"/>
      <c r="AY55" s="1198"/>
      <c r="AZ55" s="1198"/>
      <c r="BA55" s="1198"/>
      <c r="BB55" s="1198"/>
      <c r="BC55" s="1198"/>
      <c r="BD55" s="1198"/>
      <c r="BE55" s="1198"/>
      <c r="BF55" s="1198"/>
      <c r="BG55" s="1198"/>
      <c r="BH55" s="1167"/>
      <c r="BI55" s="1167"/>
      <c r="BJ55" s="1167"/>
      <c r="BK55" s="1167"/>
      <c r="BL55" s="1167"/>
      <c r="BM55" s="1167"/>
      <c r="BN55" s="1167"/>
      <c r="BO55" s="1167"/>
      <c r="BP55" s="1167"/>
      <c r="BQ55" s="1167"/>
      <c r="BR55" s="1167"/>
      <c r="BS55" s="1167"/>
      <c r="BT55" s="1167"/>
      <c r="BU55" s="1167"/>
      <c r="BV55" s="1167"/>
      <c r="BW55" s="1167"/>
      <c r="BX55" s="1167"/>
      <c r="BY55" s="1167"/>
      <c r="BZ55" s="1167"/>
      <c r="CA55" s="1167"/>
      <c r="CB55" s="1167"/>
      <c r="CC55" s="1167"/>
      <c r="CD55" s="1167"/>
      <c r="CE55" s="1167"/>
      <c r="CF55" s="1167"/>
      <c r="CG55" s="1167"/>
      <c r="CH55" s="1167"/>
      <c r="CI55" s="1167"/>
      <c r="CJ55" s="1453"/>
      <c r="CK55" s="1167"/>
      <c r="CL55" s="1167"/>
      <c r="CM55" s="1167"/>
      <c r="CN55" s="1167"/>
      <c r="CO55" s="1167"/>
      <c r="CP55" s="1167"/>
      <c r="CQ55" s="1167"/>
      <c r="CR55" s="1167"/>
      <c r="CS55" s="1167"/>
      <c r="CT55" s="1167"/>
      <c r="CU55" s="1167"/>
      <c r="CV55" s="1453"/>
      <c r="CW55" s="1167"/>
      <c r="CX55" s="1167"/>
      <c r="CY55" s="1167"/>
      <c r="CZ55" s="1167"/>
      <c r="DA55" s="1167"/>
      <c r="DB55" s="1167"/>
      <c r="DC55" s="1167"/>
      <c r="DD55" s="1167"/>
      <c r="DE55" s="1167"/>
      <c r="DF55" s="1167"/>
      <c r="DG55" s="1167"/>
      <c r="DH55" s="1167"/>
      <c r="DI55" s="1167"/>
      <c r="DJ55" s="1167"/>
      <c r="DK55" s="1167"/>
      <c r="DL55" s="1167"/>
      <c r="DM55" s="1167"/>
      <c r="DN55" s="1167"/>
      <c r="DO55" s="1167"/>
      <c r="DP55" s="1167"/>
      <c r="DQ55" s="1167"/>
      <c r="DR55" s="1167"/>
      <c r="DS55" s="1167"/>
      <c r="DT55" s="1167"/>
      <c r="DU55" s="1453"/>
      <c r="DV55" s="1167"/>
      <c r="DW55" s="1167"/>
      <c r="DX55" s="1167"/>
      <c r="DY55" s="1167"/>
      <c r="DZ55" s="1167"/>
      <c r="EA55" s="1167"/>
      <c r="EB55" s="1167"/>
      <c r="EC55" s="1167"/>
      <c r="ED55" s="1167"/>
      <c r="EE55" s="1167"/>
      <c r="EF55" s="1167"/>
      <c r="EG55" s="1167"/>
      <c r="EH55" s="1167"/>
      <c r="EI55" s="1167"/>
      <c r="EJ55" s="1453"/>
      <c r="EK55" s="1167"/>
      <c r="EL55" s="1475"/>
      <c r="EM55" s="1475"/>
      <c r="EN55" s="1475"/>
      <c r="EO55" s="1475"/>
      <c r="EP55" s="1475"/>
      <c r="EQ55" s="1475"/>
      <c r="ER55" s="1475"/>
      <c r="ES55" s="1167"/>
      <c r="ET55" s="1453"/>
      <c r="EU55" s="1517"/>
      <c r="EV55" s="1262"/>
      <c r="EW55" s="1262"/>
      <c r="EX55" s="1262"/>
      <c r="EY55" s="1262"/>
      <c r="EZ55" s="1262"/>
      <c r="FA55" s="1262"/>
      <c r="FB55" s="1262"/>
      <c r="FC55" s="1262"/>
      <c r="FD55" s="1198"/>
      <c r="FE55" s="1198"/>
      <c r="FF55" s="1198"/>
      <c r="FG55" s="1198"/>
      <c r="FH55" s="1475"/>
      <c r="FI55" s="1465"/>
      <c r="FJ55" s="1699"/>
      <c r="FK55" s="1699"/>
      <c r="FL55" s="1699"/>
      <c r="FM55" s="1699"/>
      <c r="FN55" s="1699"/>
      <c r="FO55" s="1167"/>
      <c r="FP55" s="1167"/>
      <c r="FQ55" s="1167"/>
      <c r="FR55" s="1167"/>
      <c r="FS55" s="1167"/>
      <c r="FT55" s="1167"/>
      <c r="FU55" s="1167"/>
      <c r="FV55" s="1167"/>
      <c r="FW55" s="1167"/>
      <c r="FX55" s="1167"/>
      <c r="FY55" s="1167"/>
      <c r="FZ55" s="1167"/>
      <c r="GA55" s="1453"/>
      <c r="GB55" s="1167"/>
      <c r="GC55" s="1167"/>
      <c r="GD55" s="1167"/>
      <c r="GE55" s="1167"/>
      <c r="GF55" s="1167"/>
      <c r="GG55" s="1453"/>
      <c r="GH55" s="1167"/>
      <c r="GI55" s="1167"/>
      <c r="GJ55" s="1167"/>
      <c r="GK55" s="1167"/>
      <c r="GL55" s="1167"/>
      <c r="GM55" s="1167"/>
      <c r="GN55" s="1167"/>
      <c r="GO55" s="1167"/>
      <c r="GP55" s="1167"/>
      <c r="GQ55" s="1167"/>
      <c r="GR55" s="1167"/>
      <c r="GS55" s="1167"/>
      <c r="GT55" s="1167"/>
      <c r="GU55" s="1167"/>
      <c r="GV55" s="1163"/>
      <c r="GW55" s="1709"/>
      <c r="GX55" s="1277"/>
      <c r="GY55" s="1277"/>
      <c r="GZ55" s="1278"/>
      <c r="HA55" s="1278"/>
      <c r="HB55" s="1278"/>
      <c r="HC55" s="1189"/>
      <c r="HD55" s="1189"/>
      <c r="HE55" s="1167"/>
      <c r="HF55" s="1167"/>
      <c r="HG55" s="1167"/>
      <c r="HH55" s="1167"/>
      <c r="HI55" s="1167"/>
      <c r="HJ55" s="1167"/>
      <c r="HK55" s="1167"/>
      <c r="HL55" s="1167"/>
      <c r="HM55" s="1167"/>
      <c r="HN55" s="1167"/>
      <c r="HO55" s="1167"/>
      <c r="HP55" s="1167"/>
      <c r="HQ55" s="1167"/>
      <c r="HR55" s="1167"/>
      <c r="HS55" s="1167"/>
      <c r="HT55" s="1167"/>
      <c r="HU55" s="1167"/>
      <c r="HV55" s="1167"/>
      <c r="HW55" s="1167"/>
      <c r="HX55" s="1167"/>
      <c r="HY55" s="1167"/>
      <c r="HZ55" s="1167"/>
      <c r="IA55" s="1167"/>
      <c r="IB55" s="1167"/>
      <c r="IC55" s="1167"/>
      <c r="ID55" s="1167"/>
      <c r="IE55" s="1167"/>
      <c r="IF55" s="1167"/>
    </row>
    <row r="56" customFormat="false" ht="11.25" hidden="false" customHeight="true" outlineLevel="0" collapsed="false">
      <c r="A56" s="1453"/>
      <c r="B56" s="1167"/>
      <c r="C56" s="1167"/>
      <c r="D56" s="1167"/>
      <c r="E56" s="1453"/>
      <c r="F56" s="1167"/>
      <c r="G56" s="1167"/>
      <c r="H56" s="1167"/>
      <c r="I56" s="1453"/>
      <c r="J56" s="1167"/>
      <c r="K56" s="1167"/>
      <c r="L56" s="1167"/>
      <c r="M56" s="1167"/>
      <c r="N56" s="1167"/>
      <c r="O56" s="1167"/>
      <c r="P56" s="1167"/>
      <c r="Q56" s="1167"/>
      <c r="R56" s="1167"/>
      <c r="S56" s="1453"/>
      <c r="T56" s="1167"/>
      <c r="U56" s="1167"/>
      <c r="V56" s="1167"/>
      <c r="W56" s="1167"/>
      <c r="X56" s="1167"/>
      <c r="Y56" s="1167"/>
      <c r="Z56" s="1167"/>
      <c r="AA56" s="1167"/>
      <c r="AB56" s="1167"/>
      <c r="AC56" s="1167"/>
      <c r="AD56" s="1167"/>
      <c r="AE56" s="1167"/>
      <c r="AF56" s="1167"/>
      <c r="AG56" s="1167"/>
      <c r="AH56" s="1453"/>
      <c r="AI56" s="1198"/>
      <c r="AJ56" s="1198"/>
      <c r="AK56" s="1198"/>
      <c r="AL56" s="1198"/>
      <c r="AM56" s="1198"/>
      <c r="AN56" s="1198"/>
      <c r="AO56" s="1198"/>
      <c r="AP56" s="1198"/>
      <c r="AQ56" s="1198"/>
      <c r="AR56" s="1198"/>
      <c r="AS56" s="1198"/>
      <c r="AT56" s="1481"/>
      <c r="AU56" s="1198"/>
      <c r="AV56" s="1198"/>
      <c r="AW56" s="1198"/>
      <c r="AX56" s="1198"/>
      <c r="AY56" s="1198"/>
      <c r="AZ56" s="1198"/>
      <c r="BA56" s="1198"/>
      <c r="BB56" s="1198"/>
      <c r="BC56" s="1198"/>
      <c r="BD56" s="1198"/>
      <c r="BE56" s="1198"/>
      <c r="BF56" s="1198"/>
      <c r="BG56" s="1198"/>
      <c r="BH56" s="1167"/>
      <c r="BI56" s="1167"/>
      <c r="BJ56" s="1167"/>
      <c r="BK56" s="1167"/>
      <c r="BL56" s="1167"/>
      <c r="BM56" s="1167"/>
      <c r="BN56" s="1167"/>
      <c r="BO56" s="1167"/>
      <c r="BP56" s="1167"/>
      <c r="BQ56" s="1167"/>
      <c r="BR56" s="1167"/>
      <c r="BS56" s="1167"/>
      <c r="BT56" s="1167"/>
      <c r="BU56" s="1167"/>
      <c r="BV56" s="1167"/>
      <c r="BW56" s="1167"/>
      <c r="BX56" s="1167"/>
      <c r="BY56" s="1167"/>
      <c r="BZ56" s="1167"/>
      <c r="CA56" s="1167"/>
      <c r="CB56" s="1167"/>
      <c r="CC56" s="1167"/>
      <c r="CD56" s="1167"/>
      <c r="CE56" s="1167"/>
      <c r="CF56" s="1167"/>
      <c r="CG56" s="1167"/>
      <c r="CH56" s="1167"/>
      <c r="CI56" s="1167"/>
      <c r="CJ56" s="1453"/>
      <c r="CK56" s="1167"/>
      <c r="CL56" s="1167"/>
      <c r="CM56" s="1167"/>
      <c r="CN56" s="1167"/>
      <c r="CO56" s="1167"/>
      <c r="CP56" s="1167"/>
      <c r="CQ56" s="1167"/>
      <c r="CR56" s="1167"/>
      <c r="CS56" s="1167"/>
      <c r="CT56" s="1167"/>
      <c r="CU56" s="1167"/>
      <c r="CV56" s="1453"/>
      <c r="CW56" s="1167"/>
      <c r="CX56" s="1167"/>
      <c r="CY56" s="1167"/>
      <c r="CZ56" s="1167"/>
      <c r="DA56" s="1167"/>
      <c r="DB56" s="1167"/>
      <c r="DC56" s="1167"/>
      <c r="DD56" s="1167"/>
      <c r="DE56" s="1167"/>
      <c r="DF56" s="1167"/>
      <c r="DG56" s="1167"/>
      <c r="DH56" s="1167"/>
      <c r="DI56" s="1167"/>
      <c r="DJ56" s="1167"/>
      <c r="DK56" s="1167"/>
      <c r="DL56" s="1167"/>
      <c r="DM56" s="1167"/>
      <c r="DN56" s="1167"/>
      <c r="DO56" s="1167"/>
      <c r="DP56" s="1167"/>
      <c r="DQ56" s="1167"/>
      <c r="DR56" s="1167"/>
      <c r="DS56" s="1167"/>
      <c r="DT56" s="1167"/>
      <c r="DU56" s="1453"/>
      <c r="DV56" s="1167"/>
      <c r="DW56" s="1167"/>
      <c r="DX56" s="1167"/>
      <c r="DY56" s="1167"/>
      <c r="DZ56" s="1167"/>
      <c r="EA56" s="1167"/>
      <c r="EB56" s="1167"/>
      <c r="EC56" s="1167"/>
      <c r="ED56" s="1167"/>
      <c r="EE56" s="1167"/>
      <c r="EF56" s="1167"/>
      <c r="EG56" s="1167"/>
      <c r="EH56" s="1167"/>
      <c r="EI56" s="1167"/>
      <c r="EJ56" s="1453"/>
      <c r="EK56" s="1167"/>
      <c r="EL56" s="1475"/>
      <c r="EM56" s="1475"/>
      <c r="EN56" s="1475"/>
      <c r="EO56" s="1475"/>
      <c r="EP56" s="1475"/>
      <c r="EQ56" s="1475"/>
      <c r="ER56" s="1475"/>
      <c r="ES56" s="1167"/>
      <c r="ET56" s="1453"/>
      <c r="EU56" s="1517"/>
      <c r="EV56" s="1262"/>
      <c r="EW56" s="1262"/>
      <c r="EX56" s="1262"/>
      <c r="EY56" s="1262"/>
      <c r="EZ56" s="1262"/>
      <c r="FA56" s="1262"/>
      <c r="FB56" s="1262"/>
      <c r="FC56" s="1262"/>
      <c r="FD56" s="1198"/>
      <c r="FE56" s="1198"/>
      <c r="FF56" s="1198"/>
      <c r="FG56" s="1198"/>
      <c r="FH56" s="1475"/>
      <c r="FI56" s="1465"/>
      <c r="FJ56" s="1699"/>
      <c r="FK56" s="1699"/>
      <c r="FL56" s="1699"/>
      <c r="FM56" s="1699"/>
      <c r="FN56" s="1699"/>
      <c r="FO56" s="1167"/>
      <c r="FP56" s="1167"/>
      <c r="FQ56" s="1167"/>
      <c r="FR56" s="1167"/>
      <c r="FS56" s="1167"/>
      <c r="FT56" s="1167"/>
      <c r="FU56" s="1167"/>
      <c r="FV56" s="1167"/>
      <c r="FW56" s="1167"/>
      <c r="FX56" s="1167"/>
      <c r="FY56" s="1167"/>
      <c r="FZ56" s="1167"/>
      <c r="GA56" s="1453"/>
      <c r="GB56" s="1167"/>
      <c r="GC56" s="1167"/>
      <c r="GD56" s="1167"/>
      <c r="GE56" s="1167"/>
      <c r="GF56" s="1167"/>
      <c r="GG56" s="1453"/>
      <c r="GH56" s="1167"/>
      <c r="GI56" s="1167"/>
      <c r="GJ56" s="1167"/>
      <c r="GK56" s="1167"/>
      <c r="GL56" s="1167"/>
      <c r="GM56" s="1167"/>
      <c r="GN56" s="1167"/>
      <c r="GO56" s="1167"/>
      <c r="GP56" s="1167"/>
      <c r="GQ56" s="1167"/>
      <c r="GR56" s="1167"/>
      <c r="GS56" s="1167"/>
      <c r="GT56" s="1167"/>
      <c r="GU56" s="1167"/>
      <c r="GV56" s="1167"/>
      <c r="GW56" s="1167"/>
      <c r="GX56" s="1167"/>
      <c r="GY56" s="1167"/>
      <c r="GZ56" s="1167"/>
      <c r="HA56" s="1167"/>
      <c r="HB56" s="1167"/>
      <c r="HC56" s="1167"/>
      <c r="HD56" s="1167"/>
      <c r="HE56" s="1167"/>
      <c r="HF56" s="1167"/>
      <c r="HG56" s="1167"/>
      <c r="HH56" s="1167"/>
      <c r="HI56" s="1167"/>
      <c r="HJ56" s="1167"/>
      <c r="HK56" s="1167"/>
      <c r="HL56" s="1167"/>
      <c r="HM56" s="1167"/>
      <c r="HN56" s="1167"/>
      <c r="HO56" s="1167"/>
      <c r="HP56" s="1167"/>
      <c r="HQ56" s="1167"/>
      <c r="HR56" s="1167"/>
      <c r="HS56" s="1167"/>
      <c r="HT56" s="1167"/>
      <c r="HU56" s="1167"/>
      <c r="HV56" s="1167"/>
      <c r="HW56" s="1167"/>
      <c r="HX56" s="1167"/>
      <c r="HY56" s="1167"/>
      <c r="HZ56" s="1167"/>
      <c r="IA56" s="1167"/>
      <c r="IB56" s="1167"/>
      <c r="IC56" s="1167"/>
      <c r="ID56" s="1167"/>
      <c r="IE56" s="1167"/>
      <c r="IF56" s="1167"/>
    </row>
    <row r="57" customFormat="false" ht="11.25" hidden="false" customHeight="true" outlineLevel="0" collapsed="false">
      <c r="A57" s="1453"/>
      <c r="B57" s="1167"/>
      <c r="C57" s="1167"/>
      <c r="D57" s="1167"/>
      <c r="E57" s="1453"/>
      <c r="F57" s="1167"/>
      <c r="G57" s="1167"/>
      <c r="H57" s="1167"/>
      <c r="I57" s="1453"/>
      <c r="J57" s="1167"/>
      <c r="K57" s="1167"/>
      <c r="L57" s="1167"/>
      <c r="M57" s="1167"/>
      <c r="N57" s="1167"/>
      <c r="O57" s="1167"/>
      <c r="P57" s="1167"/>
      <c r="Q57" s="1167"/>
      <c r="R57" s="1167"/>
      <c r="S57" s="1453"/>
      <c r="T57" s="1167"/>
      <c r="U57" s="1167"/>
      <c r="V57" s="1167"/>
      <c r="W57" s="1167"/>
      <c r="X57" s="1167"/>
      <c r="Y57" s="1167"/>
      <c r="Z57" s="1167"/>
      <c r="AA57" s="1167"/>
      <c r="AB57" s="1167"/>
      <c r="AC57" s="1167"/>
      <c r="AD57" s="1167"/>
      <c r="AE57" s="1167"/>
      <c r="AF57" s="1167"/>
      <c r="AG57" s="1167"/>
      <c r="AH57" s="1453"/>
      <c r="AI57" s="1198"/>
      <c r="AJ57" s="1198"/>
      <c r="AK57" s="1198"/>
      <c r="AL57" s="1198"/>
      <c r="AM57" s="1198"/>
      <c r="AN57" s="1198"/>
      <c r="AO57" s="1198"/>
      <c r="AP57" s="1198"/>
      <c r="AQ57" s="1198"/>
      <c r="AR57" s="1198"/>
      <c r="AS57" s="1198"/>
      <c r="AT57" s="1481"/>
      <c r="AU57" s="1198"/>
      <c r="AV57" s="1198"/>
      <c r="AW57" s="1198"/>
      <c r="AX57" s="1198"/>
      <c r="AY57" s="1198"/>
      <c r="AZ57" s="1198"/>
      <c r="BA57" s="1198"/>
      <c r="BB57" s="1198"/>
      <c r="BC57" s="1198"/>
      <c r="BD57" s="1198"/>
      <c r="BE57" s="1198"/>
      <c r="BF57" s="1198"/>
      <c r="BG57" s="1198"/>
      <c r="BH57" s="1167"/>
      <c r="BI57" s="1167"/>
      <c r="BJ57" s="1167"/>
      <c r="BK57" s="1167"/>
      <c r="BL57" s="1167"/>
      <c r="BM57" s="1167"/>
      <c r="BN57" s="1167"/>
      <c r="BO57" s="1167"/>
      <c r="BP57" s="1167"/>
      <c r="BQ57" s="1167"/>
      <c r="BR57" s="1167"/>
      <c r="BS57" s="1167"/>
      <c r="BT57" s="1167"/>
      <c r="BU57" s="1167"/>
      <c r="BV57" s="1167"/>
      <c r="BW57" s="1167"/>
      <c r="BX57" s="1167"/>
      <c r="BY57" s="1167"/>
      <c r="BZ57" s="1167"/>
      <c r="CA57" s="1167"/>
      <c r="CB57" s="1167"/>
      <c r="CC57" s="1167"/>
      <c r="CD57" s="1167"/>
      <c r="CE57" s="1167"/>
      <c r="CF57" s="1167"/>
      <c r="CG57" s="1167"/>
      <c r="CH57" s="1167"/>
      <c r="CI57" s="1167"/>
      <c r="CJ57" s="1453"/>
      <c r="CK57" s="1167"/>
      <c r="CL57" s="1167"/>
      <c r="CM57" s="1167"/>
      <c r="CN57" s="1167"/>
      <c r="CO57" s="1167"/>
      <c r="CP57" s="1167"/>
      <c r="CQ57" s="1167"/>
      <c r="CR57" s="1167"/>
      <c r="CS57" s="1167"/>
      <c r="CT57" s="1167"/>
      <c r="CU57" s="1167"/>
      <c r="CV57" s="1453"/>
      <c r="CW57" s="1167"/>
      <c r="CX57" s="1167"/>
      <c r="CY57" s="1167"/>
      <c r="CZ57" s="1167"/>
      <c r="DA57" s="1167"/>
      <c r="DB57" s="1167"/>
      <c r="DC57" s="1167"/>
      <c r="DD57" s="1167"/>
      <c r="DE57" s="1167"/>
      <c r="DF57" s="1167"/>
      <c r="DG57" s="1167"/>
      <c r="DH57" s="1167"/>
      <c r="DI57" s="1167"/>
      <c r="DJ57" s="1167"/>
      <c r="DK57" s="1167"/>
      <c r="DL57" s="1167"/>
      <c r="DM57" s="1167"/>
      <c r="DN57" s="1167"/>
      <c r="DO57" s="1167"/>
      <c r="DP57" s="1167"/>
      <c r="DQ57" s="1167"/>
      <c r="DR57" s="1167"/>
      <c r="DS57" s="1167"/>
      <c r="DT57" s="1167"/>
      <c r="DU57" s="1453"/>
      <c r="DV57" s="1167"/>
      <c r="DW57" s="1167"/>
      <c r="DX57" s="1167"/>
      <c r="DY57" s="1167"/>
      <c r="DZ57" s="1167"/>
      <c r="EA57" s="1167"/>
      <c r="EB57" s="1167"/>
      <c r="EC57" s="1167"/>
      <c r="ED57" s="1167"/>
      <c r="EE57" s="1167"/>
      <c r="EF57" s="1167"/>
      <c r="EG57" s="1167"/>
      <c r="EH57" s="1167"/>
      <c r="EI57" s="1167"/>
      <c r="EJ57" s="1453"/>
      <c r="EK57" s="1167"/>
      <c r="EL57" s="1475"/>
      <c r="EM57" s="1475"/>
      <c r="EN57" s="1475"/>
      <c r="EO57" s="1475"/>
      <c r="EP57" s="1475"/>
      <c r="EQ57" s="1475"/>
      <c r="ER57" s="1475"/>
      <c r="ES57" s="1167"/>
      <c r="ET57" s="1453"/>
      <c r="EU57" s="1517"/>
      <c r="EV57" s="1262"/>
      <c r="EW57" s="1262"/>
      <c r="EX57" s="1262"/>
      <c r="EY57" s="1262"/>
      <c r="EZ57" s="1262"/>
      <c r="FA57" s="1262"/>
      <c r="FB57" s="1262"/>
      <c r="FC57" s="1262"/>
      <c r="FD57" s="1198"/>
      <c r="FE57" s="1198"/>
      <c r="FF57" s="1198"/>
      <c r="FG57" s="1198"/>
      <c r="FH57" s="1475"/>
      <c r="FI57" s="1465"/>
      <c r="FJ57" s="1699"/>
      <c r="FK57" s="1699"/>
      <c r="FL57" s="1699"/>
      <c r="FM57" s="1699"/>
      <c r="FN57" s="1699"/>
      <c r="FO57" s="1167"/>
      <c r="FP57" s="1167"/>
      <c r="FQ57" s="1167"/>
      <c r="FR57" s="1167"/>
      <c r="FS57" s="1167"/>
      <c r="FT57" s="1167"/>
      <c r="FU57" s="1167"/>
      <c r="FV57" s="1167"/>
      <c r="FW57" s="1167"/>
      <c r="FX57" s="1167"/>
      <c r="FY57" s="1167"/>
      <c r="FZ57" s="1167"/>
      <c r="GA57" s="1453"/>
      <c r="GB57" s="1167"/>
      <c r="GC57" s="1167"/>
      <c r="GD57" s="1167"/>
      <c r="GE57" s="1167"/>
      <c r="GF57" s="1167"/>
      <c r="GG57" s="1453"/>
      <c r="GH57" s="1167"/>
      <c r="GI57" s="1167"/>
      <c r="GJ57" s="1167"/>
      <c r="GK57" s="1167"/>
      <c r="GL57" s="1167"/>
      <c r="GM57" s="1167"/>
      <c r="GN57" s="1167"/>
      <c r="GO57" s="1167"/>
      <c r="GP57" s="1167"/>
      <c r="GQ57" s="1167"/>
      <c r="GR57" s="1167"/>
      <c r="GS57" s="1167"/>
      <c r="GT57" s="1167"/>
      <c r="GU57" s="1167"/>
      <c r="GV57" s="1167"/>
      <c r="GW57" s="1167"/>
      <c r="GX57" s="1167"/>
      <c r="GY57" s="1167"/>
      <c r="GZ57" s="1167"/>
      <c r="HA57" s="1167"/>
      <c r="HB57" s="1167"/>
      <c r="HC57" s="1167"/>
      <c r="HD57" s="1167"/>
      <c r="HE57" s="1167"/>
      <c r="HF57" s="1167"/>
      <c r="HG57" s="1167"/>
      <c r="HH57" s="1167"/>
      <c r="HI57" s="1167"/>
      <c r="HJ57" s="1167"/>
      <c r="HK57" s="1167"/>
      <c r="HL57" s="1167"/>
      <c r="HM57" s="1167"/>
      <c r="HN57" s="1167"/>
      <c r="HO57" s="1167"/>
      <c r="HP57" s="1167"/>
      <c r="HQ57" s="1167"/>
      <c r="HR57" s="1167"/>
      <c r="HS57" s="1167"/>
      <c r="HT57" s="1167"/>
      <c r="HU57" s="1167"/>
      <c r="HV57" s="1167"/>
      <c r="HW57" s="1167"/>
      <c r="HX57" s="1167"/>
      <c r="HY57" s="1167"/>
      <c r="HZ57" s="1167"/>
      <c r="IA57" s="1167"/>
      <c r="IB57" s="1167"/>
      <c r="IC57" s="1167"/>
      <c r="ID57" s="1167"/>
      <c r="IE57" s="1167"/>
      <c r="IF57" s="1167"/>
    </row>
    <row r="58" customFormat="false" ht="11.25" hidden="false" customHeight="true" outlineLevel="0" collapsed="false">
      <c r="A58" s="1453"/>
      <c r="B58" s="1167"/>
      <c r="C58" s="1167"/>
      <c r="D58" s="1167"/>
      <c r="E58" s="1453"/>
      <c r="F58" s="1167"/>
      <c r="G58" s="1167"/>
      <c r="H58" s="1167"/>
      <c r="I58" s="1453"/>
      <c r="J58" s="1167"/>
      <c r="K58" s="1167"/>
      <c r="L58" s="1167"/>
      <c r="M58" s="1167"/>
      <c r="N58" s="1167"/>
      <c r="O58" s="1167"/>
      <c r="P58" s="1167"/>
      <c r="Q58" s="1167"/>
      <c r="R58" s="1167"/>
      <c r="S58" s="1453"/>
      <c r="T58" s="1167"/>
      <c r="U58" s="1167"/>
      <c r="V58" s="1167"/>
      <c r="W58" s="1167"/>
      <c r="X58" s="1167"/>
      <c r="Y58" s="1167"/>
      <c r="Z58" s="1167"/>
      <c r="AA58" s="1167"/>
      <c r="AB58" s="1167"/>
      <c r="AC58" s="1167"/>
      <c r="AD58" s="1167"/>
      <c r="AE58" s="1167"/>
      <c r="AF58" s="1167"/>
      <c r="AG58" s="1167"/>
      <c r="AH58" s="1453"/>
      <c r="AI58" s="1198"/>
      <c r="AJ58" s="1198"/>
      <c r="AK58" s="1198"/>
      <c r="AL58" s="1198"/>
      <c r="AM58" s="1198"/>
      <c r="AN58" s="1198"/>
      <c r="AO58" s="1198"/>
      <c r="AP58" s="1198"/>
      <c r="AQ58" s="1198"/>
      <c r="AR58" s="1198"/>
      <c r="AS58" s="1198"/>
      <c r="AT58" s="1481"/>
      <c r="AU58" s="1198"/>
      <c r="AV58" s="1198"/>
      <c r="AW58" s="1198"/>
      <c r="AX58" s="1198"/>
      <c r="AY58" s="1198"/>
      <c r="AZ58" s="1198"/>
      <c r="BA58" s="1198"/>
      <c r="BB58" s="1198"/>
      <c r="BC58" s="1198"/>
      <c r="BD58" s="1198"/>
      <c r="BE58" s="1198"/>
      <c r="BF58" s="1198"/>
      <c r="BG58" s="1198"/>
      <c r="BH58" s="1167"/>
      <c r="BI58" s="1167"/>
      <c r="BJ58" s="1167"/>
      <c r="BK58" s="1167"/>
      <c r="BL58" s="1167"/>
      <c r="BM58" s="1167"/>
      <c r="BN58" s="1167"/>
      <c r="BO58" s="1167"/>
      <c r="BP58" s="1167"/>
      <c r="BQ58" s="1167"/>
      <c r="BR58" s="1167"/>
      <c r="BS58" s="1167"/>
      <c r="BT58" s="1167"/>
      <c r="BU58" s="1167"/>
      <c r="BV58" s="1167"/>
      <c r="BW58" s="1167"/>
      <c r="BX58" s="1167"/>
      <c r="BY58" s="1167"/>
      <c r="BZ58" s="1167"/>
      <c r="CA58" s="1167"/>
      <c r="CB58" s="1167"/>
      <c r="CC58" s="1167"/>
      <c r="CD58" s="1167"/>
      <c r="CE58" s="1167"/>
      <c r="CF58" s="1167"/>
      <c r="CG58" s="1167"/>
      <c r="CH58" s="1167"/>
      <c r="CI58" s="1167"/>
      <c r="CJ58" s="1453"/>
      <c r="CK58" s="1167"/>
      <c r="CL58" s="1167"/>
      <c r="CM58" s="1167"/>
      <c r="CN58" s="1167"/>
      <c r="CO58" s="1167"/>
      <c r="CP58" s="1167"/>
      <c r="CQ58" s="1167"/>
      <c r="CR58" s="1167"/>
      <c r="CS58" s="1167"/>
      <c r="CT58" s="1167"/>
      <c r="CU58" s="1167"/>
      <c r="CV58" s="1453"/>
      <c r="CW58" s="1167"/>
      <c r="CX58" s="1167"/>
      <c r="CY58" s="1167"/>
      <c r="CZ58" s="1167"/>
      <c r="DA58" s="1167"/>
      <c r="DB58" s="1167"/>
      <c r="DC58" s="1167"/>
      <c r="DD58" s="1167"/>
      <c r="DE58" s="1167"/>
      <c r="DF58" s="1167"/>
      <c r="DG58" s="1167"/>
      <c r="DH58" s="1167"/>
      <c r="DI58" s="1167"/>
      <c r="DJ58" s="1167"/>
      <c r="DK58" s="1167"/>
      <c r="DL58" s="1167"/>
      <c r="DM58" s="1167"/>
      <c r="DN58" s="1167"/>
      <c r="DO58" s="1167"/>
      <c r="DP58" s="1167"/>
      <c r="DQ58" s="1167"/>
      <c r="DR58" s="1167"/>
      <c r="DS58" s="1167"/>
      <c r="DT58" s="1167"/>
      <c r="DU58" s="1453"/>
      <c r="DV58" s="1167"/>
      <c r="DW58" s="1167"/>
      <c r="DX58" s="1167"/>
      <c r="DY58" s="1167"/>
      <c r="DZ58" s="1167"/>
      <c r="EA58" s="1167"/>
      <c r="EB58" s="1167"/>
      <c r="EC58" s="1167"/>
      <c r="ED58" s="1167"/>
      <c r="EE58" s="1167"/>
      <c r="EF58" s="1167"/>
      <c r="EG58" s="1167"/>
      <c r="EH58" s="1167"/>
      <c r="EI58" s="1167"/>
      <c r="EJ58" s="1453"/>
      <c r="EK58" s="1167"/>
      <c r="EL58" s="1475"/>
      <c r="EM58" s="1475"/>
      <c r="EN58" s="1475"/>
      <c r="EO58" s="1475"/>
      <c r="EP58" s="1475"/>
      <c r="EQ58" s="1475"/>
      <c r="ER58" s="1475"/>
      <c r="ES58" s="1167"/>
      <c r="ET58" s="1453"/>
      <c r="EU58" s="1517"/>
      <c r="EV58" s="1262"/>
      <c r="EW58" s="1262"/>
      <c r="EX58" s="1262"/>
      <c r="EY58" s="1262"/>
      <c r="EZ58" s="1262"/>
      <c r="FA58" s="1262"/>
      <c r="FB58" s="1262"/>
      <c r="FC58" s="1262"/>
      <c r="FD58" s="1198"/>
      <c r="FE58" s="1198"/>
      <c r="FF58" s="1198"/>
      <c r="FG58" s="1198"/>
      <c r="FH58" s="1475"/>
      <c r="FI58" s="1465"/>
      <c r="FJ58" s="1699"/>
      <c r="FK58" s="1699"/>
      <c r="FL58" s="1699"/>
      <c r="FM58" s="1699"/>
      <c r="FN58" s="1699"/>
      <c r="FO58" s="1167"/>
      <c r="FP58" s="1167"/>
      <c r="FQ58" s="1167"/>
      <c r="FR58" s="1167"/>
      <c r="FS58" s="1167"/>
      <c r="FT58" s="1167"/>
      <c r="FU58" s="1167"/>
      <c r="FV58" s="1167"/>
      <c r="FW58" s="1167"/>
      <c r="FX58" s="1167"/>
      <c r="FY58" s="1167"/>
      <c r="FZ58" s="1167"/>
      <c r="GA58" s="1453"/>
      <c r="GB58" s="1167"/>
      <c r="GC58" s="1167"/>
      <c r="GD58" s="1167"/>
      <c r="GE58" s="1167"/>
      <c r="GF58" s="1167"/>
      <c r="GG58" s="1453"/>
      <c r="GH58" s="1167"/>
      <c r="GI58" s="1167"/>
      <c r="GJ58" s="1167"/>
      <c r="GK58" s="1167"/>
      <c r="GL58" s="1167"/>
      <c r="GM58" s="1167"/>
      <c r="GN58" s="1167"/>
      <c r="GO58" s="1167"/>
      <c r="GP58" s="1167"/>
      <c r="GQ58" s="1167"/>
      <c r="GR58" s="1167"/>
      <c r="GS58" s="1167"/>
      <c r="GT58" s="1167"/>
      <c r="GU58" s="1167"/>
      <c r="GV58" s="1167"/>
      <c r="GW58" s="1167"/>
      <c r="GX58" s="1167"/>
      <c r="GY58" s="1167"/>
      <c r="GZ58" s="1167"/>
      <c r="HA58" s="1167"/>
      <c r="HB58" s="1167"/>
      <c r="HC58" s="1167"/>
      <c r="HD58" s="1167"/>
      <c r="HE58" s="1167"/>
      <c r="HF58" s="1167"/>
      <c r="HG58" s="1167"/>
      <c r="HH58" s="1167"/>
      <c r="HI58" s="1167"/>
      <c r="HJ58" s="1167"/>
      <c r="HK58" s="1167"/>
      <c r="HL58" s="1167"/>
      <c r="HM58" s="1167"/>
      <c r="HN58" s="1167"/>
      <c r="HO58" s="1167"/>
      <c r="HP58" s="1167"/>
      <c r="HQ58" s="1167"/>
      <c r="HR58" s="1167"/>
      <c r="HS58" s="1167"/>
      <c r="HT58" s="1167"/>
      <c r="HU58" s="1167"/>
      <c r="HV58" s="1167"/>
      <c r="HW58" s="1167"/>
      <c r="HX58" s="1167"/>
      <c r="HY58" s="1167"/>
      <c r="HZ58" s="1167"/>
      <c r="IA58" s="1167"/>
      <c r="IB58" s="1167"/>
      <c r="IC58" s="1167"/>
      <c r="ID58" s="1167"/>
      <c r="IE58" s="1167"/>
      <c r="IF58" s="1167"/>
    </row>
    <row r="59" customFormat="false" ht="11.25" hidden="false" customHeight="true" outlineLevel="0" collapsed="false">
      <c r="A59" s="1453"/>
      <c r="B59" s="1167"/>
      <c r="C59" s="1167"/>
      <c r="D59" s="1167"/>
      <c r="E59" s="1453"/>
      <c r="F59" s="1167"/>
      <c r="G59" s="1167"/>
      <c r="H59" s="1167"/>
      <c r="I59" s="1453"/>
      <c r="J59" s="1167"/>
      <c r="K59" s="1167"/>
      <c r="L59" s="1167"/>
      <c r="M59" s="1167"/>
      <c r="N59" s="1167"/>
      <c r="O59" s="1167"/>
      <c r="P59" s="1167"/>
      <c r="Q59" s="1167"/>
      <c r="R59" s="1167"/>
      <c r="S59" s="1453"/>
      <c r="T59" s="1167"/>
      <c r="U59" s="1167"/>
      <c r="V59" s="1167"/>
      <c r="W59" s="1167"/>
      <c r="X59" s="1167"/>
      <c r="Y59" s="1167"/>
      <c r="Z59" s="1167"/>
      <c r="AA59" s="1167"/>
      <c r="AB59" s="1167"/>
      <c r="AC59" s="1167"/>
      <c r="AD59" s="1167"/>
      <c r="AE59" s="1167"/>
      <c r="AF59" s="1167"/>
      <c r="AG59" s="1167"/>
      <c r="AH59" s="1453"/>
      <c r="AI59" s="1198"/>
      <c r="AJ59" s="1198"/>
      <c r="AK59" s="1198"/>
      <c r="AL59" s="1198"/>
      <c r="AM59" s="1198"/>
      <c r="AN59" s="1198"/>
      <c r="AO59" s="1198"/>
      <c r="AP59" s="1198"/>
      <c r="AQ59" s="1198"/>
      <c r="AR59" s="1198"/>
      <c r="AS59" s="1198"/>
      <c r="AT59" s="1481"/>
      <c r="AU59" s="1198"/>
      <c r="AV59" s="1198"/>
      <c r="AW59" s="1198"/>
      <c r="AX59" s="1198"/>
      <c r="AY59" s="1198"/>
      <c r="AZ59" s="1198"/>
      <c r="BA59" s="1198"/>
      <c r="BB59" s="1198"/>
      <c r="BC59" s="1198"/>
      <c r="BD59" s="1198"/>
      <c r="BE59" s="1198"/>
      <c r="BF59" s="1198"/>
      <c r="BG59" s="1198"/>
      <c r="BH59" s="1167"/>
      <c r="BI59" s="1167"/>
      <c r="BJ59" s="1167"/>
      <c r="BK59" s="1167"/>
      <c r="BL59" s="1167"/>
      <c r="BM59" s="1167"/>
      <c r="BN59" s="1167"/>
      <c r="BO59" s="1167"/>
      <c r="BP59" s="1167"/>
      <c r="BQ59" s="1167"/>
      <c r="BR59" s="1167"/>
      <c r="BS59" s="1167"/>
      <c r="BT59" s="1167"/>
      <c r="BU59" s="1167"/>
      <c r="BV59" s="1167"/>
      <c r="BW59" s="1167"/>
      <c r="BX59" s="1167"/>
      <c r="BY59" s="1167"/>
      <c r="BZ59" s="1167"/>
      <c r="CA59" s="1167"/>
      <c r="CB59" s="1167"/>
      <c r="CC59" s="1167"/>
      <c r="CD59" s="1167"/>
      <c r="CE59" s="1167"/>
      <c r="CF59" s="1167"/>
      <c r="CG59" s="1167"/>
      <c r="CH59" s="1167"/>
      <c r="CI59" s="1167"/>
      <c r="CJ59" s="1453"/>
      <c r="CK59" s="1167"/>
      <c r="CL59" s="1167"/>
      <c r="CM59" s="1167"/>
      <c r="CN59" s="1167"/>
      <c r="CO59" s="1167"/>
      <c r="CP59" s="1167"/>
      <c r="CQ59" s="1167"/>
      <c r="CR59" s="1167"/>
      <c r="CS59" s="1167"/>
      <c r="CT59" s="1167"/>
      <c r="CU59" s="1167"/>
      <c r="CV59" s="1453"/>
      <c r="CW59" s="1167"/>
      <c r="CX59" s="1167"/>
      <c r="CY59" s="1167"/>
      <c r="CZ59" s="1167"/>
      <c r="DA59" s="1167"/>
      <c r="DB59" s="1167"/>
      <c r="DC59" s="1167"/>
      <c r="DD59" s="1167"/>
      <c r="DE59" s="1167"/>
      <c r="DF59" s="1167"/>
      <c r="DG59" s="1167"/>
      <c r="DH59" s="1167"/>
      <c r="DI59" s="1167"/>
      <c r="DJ59" s="1167"/>
      <c r="DK59" s="1167"/>
      <c r="DL59" s="1167"/>
      <c r="DM59" s="1167"/>
      <c r="DN59" s="1167"/>
      <c r="DO59" s="1167"/>
      <c r="DP59" s="1167"/>
      <c r="DQ59" s="1167"/>
      <c r="DR59" s="1167"/>
      <c r="DS59" s="1167"/>
      <c r="DT59" s="1167"/>
      <c r="DU59" s="1453"/>
      <c r="DV59" s="1167"/>
      <c r="DW59" s="1167"/>
      <c r="DX59" s="1167"/>
      <c r="DY59" s="1167"/>
      <c r="DZ59" s="1167"/>
      <c r="EA59" s="1167"/>
      <c r="EB59" s="1167"/>
      <c r="EC59" s="1167"/>
      <c r="ED59" s="1167"/>
      <c r="EE59" s="1167"/>
      <c r="EF59" s="1167"/>
      <c r="EG59" s="1167"/>
      <c r="EH59" s="1167"/>
      <c r="EI59" s="1167"/>
      <c r="EJ59" s="1453"/>
      <c r="EK59" s="1167"/>
      <c r="EL59" s="1475"/>
      <c r="EM59" s="1475"/>
      <c r="EN59" s="1475"/>
      <c r="EO59" s="1475"/>
      <c r="EP59" s="1475"/>
      <c r="EQ59" s="1475"/>
      <c r="ER59" s="1475"/>
      <c r="ES59" s="1167"/>
      <c r="ET59" s="1453"/>
      <c r="EU59" s="1517"/>
      <c r="EV59" s="1262"/>
      <c r="EW59" s="1262"/>
      <c r="EX59" s="1262"/>
      <c r="EY59" s="1262"/>
      <c r="EZ59" s="1262"/>
      <c r="FA59" s="1262"/>
      <c r="FB59" s="1262"/>
      <c r="FC59" s="1262"/>
      <c r="FD59" s="1198"/>
      <c r="FE59" s="1198"/>
      <c r="FF59" s="1198"/>
      <c r="FG59" s="1198"/>
      <c r="FH59" s="1475"/>
      <c r="FI59" s="1465"/>
      <c r="FJ59" s="1699"/>
      <c r="FK59" s="1699"/>
      <c r="FL59" s="1699"/>
      <c r="FM59" s="1699"/>
      <c r="FN59" s="1699"/>
      <c r="FO59" s="1167"/>
      <c r="FP59" s="1167"/>
      <c r="FQ59" s="1167"/>
      <c r="FR59" s="1167"/>
      <c r="FS59" s="1167"/>
      <c r="FT59" s="1167"/>
      <c r="FU59" s="1167"/>
      <c r="FV59" s="1167"/>
      <c r="FW59" s="1167"/>
      <c r="FX59" s="1167"/>
      <c r="FY59" s="1167"/>
      <c r="FZ59" s="1167"/>
      <c r="GA59" s="1453"/>
      <c r="GB59" s="1167"/>
      <c r="GC59" s="1167"/>
      <c r="GD59" s="1167"/>
      <c r="GE59" s="1167"/>
      <c r="GF59" s="1167"/>
      <c r="GG59" s="1453"/>
      <c r="GH59" s="1167"/>
      <c r="GI59" s="1167"/>
      <c r="GJ59" s="1167"/>
      <c r="GK59" s="1167"/>
      <c r="GL59" s="1167"/>
      <c r="GM59" s="1167"/>
      <c r="GN59" s="1167"/>
      <c r="GO59" s="1167"/>
      <c r="GP59" s="1167"/>
      <c r="GQ59" s="1167"/>
      <c r="GR59" s="1167"/>
      <c r="GS59" s="1167"/>
      <c r="GT59" s="1167"/>
      <c r="GU59" s="1167"/>
      <c r="GV59" s="1167"/>
      <c r="GW59" s="1167"/>
      <c r="GX59" s="1167"/>
      <c r="GY59" s="1167"/>
      <c r="GZ59" s="1167"/>
      <c r="HA59" s="1167"/>
      <c r="HB59" s="1167"/>
      <c r="HC59" s="1167"/>
      <c r="HD59" s="1167"/>
      <c r="HE59" s="1167"/>
      <c r="HF59" s="1167"/>
      <c r="HG59" s="1167"/>
      <c r="HH59" s="1167"/>
      <c r="HI59" s="1167"/>
      <c r="HJ59" s="1167"/>
      <c r="HK59" s="1167"/>
      <c r="HL59" s="1167"/>
      <c r="HM59" s="1167"/>
      <c r="HN59" s="1167"/>
      <c r="HO59" s="1167"/>
      <c r="HP59" s="1167"/>
      <c r="HQ59" s="1167"/>
      <c r="HR59" s="1167"/>
      <c r="HS59" s="1167"/>
      <c r="HT59" s="1167"/>
      <c r="HU59" s="1167"/>
      <c r="HV59" s="1167"/>
      <c r="HW59" s="1167"/>
      <c r="HX59" s="1167"/>
      <c r="HY59" s="1167"/>
      <c r="HZ59" s="1167"/>
      <c r="IA59" s="1167"/>
      <c r="IB59" s="1167"/>
      <c r="IC59" s="1167"/>
      <c r="ID59" s="1167"/>
      <c r="IE59" s="1167"/>
      <c r="IF59" s="1167"/>
    </row>
    <row r="60" customFormat="false" ht="11.25" hidden="false" customHeight="true" outlineLevel="0" collapsed="false">
      <c r="A60" s="1453"/>
      <c r="B60" s="1167"/>
      <c r="C60" s="1167"/>
      <c r="D60" s="1167"/>
      <c r="E60" s="1453"/>
      <c r="F60" s="1167"/>
      <c r="G60" s="1167"/>
      <c r="H60" s="1167"/>
      <c r="I60" s="1453"/>
      <c r="J60" s="1167"/>
      <c r="K60" s="1167"/>
      <c r="L60" s="1167"/>
      <c r="M60" s="1167"/>
      <c r="N60" s="1167"/>
      <c r="O60" s="1167"/>
      <c r="P60" s="1167"/>
      <c r="Q60" s="1167"/>
      <c r="R60" s="1167"/>
      <c r="S60" s="1453"/>
      <c r="T60" s="1167"/>
      <c r="U60" s="1167"/>
      <c r="V60" s="1167"/>
      <c r="W60" s="1167"/>
      <c r="X60" s="1167"/>
      <c r="Y60" s="1167"/>
      <c r="Z60" s="1167"/>
      <c r="AA60" s="1167"/>
      <c r="AB60" s="1167"/>
      <c r="AC60" s="1167"/>
      <c r="AD60" s="1167"/>
      <c r="AE60" s="1167"/>
      <c r="AF60" s="1167"/>
      <c r="AG60" s="1167"/>
      <c r="AH60" s="1453"/>
      <c r="AI60" s="1198"/>
      <c r="AJ60" s="1198"/>
      <c r="AK60" s="1198"/>
      <c r="AL60" s="1198"/>
      <c r="AM60" s="1198"/>
      <c r="AN60" s="1198"/>
      <c r="AO60" s="1198"/>
      <c r="AP60" s="1198"/>
      <c r="AQ60" s="1198"/>
      <c r="AR60" s="1198"/>
      <c r="AS60" s="1198"/>
      <c r="AT60" s="1481"/>
      <c r="AU60" s="1198"/>
      <c r="AV60" s="1198"/>
      <c r="AW60" s="1198"/>
      <c r="AX60" s="1198"/>
      <c r="AY60" s="1198"/>
      <c r="AZ60" s="1198"/>
      <c r="BA60" s="1198"/>
      <c r="BB60" s="1198"/>
      <c r="BC60" s="1198"/>
      <c r="BD60" s="1198"/>
      <c r="BE60" s="1198"/>
      <c r="BF60" s="1198"/>
      <c r="BG60" s="1198"/>
      <c r="BH60" s="1167"/>
      <c r="BI60" s="1167"/>
      <c r="BJ60" s="1167"/>
      <c r="BK60" s="1167"/>
      <c r="BL60" s="1167"/>
      <c r="BM60" s="1167"/>
      <c r="BN60" s="1167"/>
      <c r="BO60" s="1167"/>
      <c r="BP60" s="1167"/>
      <c r="BQ60" s="1167"/>
      <c r="BR60" s="1167"/>
      <c r="BS60" s="1167"/>
      <c r="BT60" s="1167"/>
      <c r="BU60" s="1167"/>
      <c r="BV60" s="1167"/>
      <c r="BW60" s="1167"/>
      <c r="BX60" s="1167"/>
      <c r="BY60" s="1167"/>
      <c r="BZ60" s="1167"/>
      <c r="CA60" s="1167"/>
      <c r="CB60" s="1167"/>
      <c r="CC60" s="1167"/>
      <c r="CD60" s="1167"/>
      <c r="CE60" s="1167"/>
      <c r="CF60" s="1167"/>
      <c r="CG60" s="1167"/>
      <c r="CH60" s="1167"/>
      <c r="CI60" s="1167"/>
      <c r="CJ60" s="1453"/>
      <c r="CK60" s="1167"/>
      <c r="CL60" s="1167"/>
      <c r="CM60" s="1167"/>
      <c r="CN60" s="1167"/>
      <c r="CO60" s="1167"/>
      <c r="CP60" s="1167"/>
      <c r="CQ60" s="1167"/>
      <c r="CR60" s="1167"/>
      <c r="CS60" s="1167"/>
      <c r="CT60" s="1167"/>
      <c r="CU60" s="1167"/>
      <c r="CV60" s="1453"/>
      <c r="CW60" s="1167"/>
      <c r="CX60" s="1167"/>
      <c r="CY60" s="1167"/>
      <c r="CZ60" s="1167"/>
      <c r="DA60" s="1167"/>
      <c r="DB60" s="1167"/>
      <c r="DC60" s="1167"/>
      <c r="DD60" s="1167"/>
      <c r="DE60" s="1167"/>
      <c r="DF60" s="1167"/>
      <c r="DG60" s="1167"/>
      <c r="DH60" s="1167"/>
      <c r="DI60" s="1167"/>
      <c r="DJ60" s="1167"/>
      <c r="DK60" s="1167"/>
      <c r="DL60" s="1167"/>
      <c r="DM60" s="1167"/>
      <c r="DN60" s="1167"/>
      <c r="DO60" s="1167"/>
      <c r="DP60" s="1167"/>
      <c r="DQ60" s="1167"/>
      <c r="DR60" s="1167"/>
      <c r="DS60" s="1167"/>
      <c r="DT60" s="1167"/>
      <c r="DU60" s="1453"/>
      <c r="DV60" s="1167"/>
      <c r="DW60" s="1167"/>
      <c r="DX60" s="1167"/>
      <c r="DY60" s="1167"/>
      <c r="DZ60" s="1167"/>
      <c r="EA60" s="1167"/>
      <c r="EB60" s="1167"/>
      <c r="EC60" s="1167"/>
      <c r="ED60" s="1167"/>
      <c r="EE60" s="1167"/>
      <c r="EF60" s="1167"/>
      <c r="EG60" s="1167"/>
      <c r="EH60" s="1167"/>
      <c r="EI60" s="1167"/>
      <c r="EJ60" s="1453"/>
      <c r="EK60" s="1167"/>
      <c r="EL60" s="1475"/>
      <c r="EM60" s="1475"/>
      <c r="EN60" s="1475"/>
      <c r="EO60" s="1475"/>
      <c r="EP60" s="1475"/>
      <c r="EQ60" s="1475"/>
      <c r="ER60" s="1475"/>
      <c r="ES60" s="1167"/>
      <c r="ET60" s="1453"/>
      <c r="EU60" s="1517"/>
      <c r="EV60" s="1262"/>
      <c r="EW60" s="1262"/>
      <c r="EX60" s="1262"/>
      <c r="EY60" s="1262"/>
      <c r="EZ60" s="1262"/>
      <c r="FA60" s="1262"/>
      <c r="FB60" s="1262"/>
      <c r="FC60" s="1262"/>
      <c r="FD60" s="1198"/>
      <c r="FE60" s="1198"/>
      <c r="FF60" s="1198"/>
      <c r="FG60" s="1198"/>
      <c r="FH60" s="1475"/>
      <c r="FI60" s="1465"/>
      <c r="FJ60" s="1699"/>
      <c r="FK60" s="1699"/>
      <c r="FL60" s="1699"/>
      <c r="FM60" s="1699"/>
      <c r="FN60" s="1699"/>
      <c r="FO60" s="1167"/>
      <c r="FP60" s="1167"/>
      <c r="FQ60" s="1167"/>
      <c r="FR60" s="1167"/>
      <c r="FS60" s="1167"/>
      <c r="FT60" s="1167"/>
      <c r="FU60" s="1167"/>
      <c r="FV60" s="1167"/>
      <c r="FW60" s="1167"/>
      <c r="FX60" s="1167"/>
      <c r="FY60" s="1167"/>
      <c r="FZ60" s="1167"/>
      <c r="GA60" s="1453"/>
      <c r="GB60" s="1167"/>
      <c r="GC60" s="1167"/>
      <c r="GD60" s="1167"/>
      <c r="GE60" s="1167"/>
      <c r="GF60" s="1167"/>
      <c r="GG60" s="1453"/>
      <c r="GH60" s="1167"/>
      <c r="GI60" s="1167"/>
      <c r="GJ60" s="1167"/>
      <c r="GK60" s="1167"/>
      <c r="GL60" s="1167"/>
      <c r="GM60" s="1167"/>
      <c r="GN60" s="1167"/>
      <c r="GO60" s="1167"/>
      <c r="GP60" s="1167"/>
      <c r="GQ60" s="1167"/>
      <c r="GR60" s="1167"/>
      <c r="GS60" s="1167"/>
      <c r="GT60" s="1167"/>
      <c r="GU60" s="1167"/>
      <c r="GV60" s="1167"/>
      <c r="GW60" s="1167"/>
      <c r="GX60" s="1167"/>
      <c r="GY60" s="1167"/>
      <c r="GZ60" s="1167"/>
      <c r="HA60" s="1167"/>
      <c r="HB60" s="1167"/>
      <c r="HC60" s="1167"/>
      <c r="HD60" s="1167"/>
      <c r="HE60" s="1167"/>
      <c r="HF60" s="1167"/>
      <c r="HG60" s="1167"/>
      <c r="HH60" s="1167"/>
      <c r="HI60" s="1167"/>
      <c r="HJ60" s="1167"/>
      <c r="HK60" s="1167"/>
      <c r="HL60" s="1167"/>
      <c r="HM60" s="1167"/>
      <c r="HN60" s="1167"/>
      <c r="HO60" s="1167"/>
      <c r="HP60" s="1167"/>
      <c r="HQ60" s="1167"/>
      <c r="HR60" s="1167"/>
      <c r="HS60" s="1167"/>
      <c r="HT60" s="1167"/>
      <c r="HU60" s="1167"/>
      <c r="HV60" s="1167"/>
      <c r="HW60" s="1167"/>
      <c r="HX60" s="1167"/>
      <c r="HY60" s="1167"/>
      <c r="HZ60" s="1167"/>
      <c r="IA60" s="1167"/>
      <c r="IB60" s="1167"/>
      <c r="IC60" s="1167"/>
      <c r="ID60" s="1167"/>
      <c r="IE60" s="1167"/>
      <c r="IF60" s="1167"/>
    </row>
    <row r="61" customFormat="false" ht="11.25" hidden="false" customHeight="true" outlineLevel="0" collapsed="false">
      <c r="A61" s="1453"/>
      <c r="B61" s="1167"/>
      <c r="C61" s="1167"/>
      <c r="D61" s="1167"/>
      <c r="E61" s="1453"/>
      <c r="F61" s="1167"/>
      <c r="G61" s="1167"/>
      <c r="H61" s="1167"/>
      <c r="I61" s="1453"/>
      <c r="J61" s="1167"/>
      <c r="K61" s="1167"/>
      <c r="L61" s="1167"/>
      <c r="M61" s="1167"/>
      <c r="N61" s="1167"/>
      <c r="O61" s="1167"/>
      <c r="P61" s="1167"/>
      <c r="Q61" s="1167"/>
      <c r="R61" s="1167"/>
      <c r="S61" s="1453"/>
      <c r="T61" s="1167"/>
      <c r="U61" s="1167"/>
      <c r="V61" s="1167"/>
      <c r="W61" s="1167"/>
      <c r="X61" s="1167"/>
      <c r="Y61" s="1167"/>
      <c r="Z61" s="1167"/>
      <c r="AA61" s="1167"/>
      <c r="AB61" s="1167"/>
      <c r="AC61" s="1167"/>
      <c r="AD61" s="1167"/>
      <c r="AE61" s="1167"/>
      <c r="AF61" s="1167"/>
      <c r="AG61" s="1167"/>
      <c r="AH61" s="1453"/>
      <c r="AI61" s="1198"/>
      <c r="AJ61" s="1198"/>
      <c r="AK61" s="1198"/>
      <c r="AL61" s="1198"/>
      <c r="AM61" s="1198"/>
      <c r="AN61" s="1198"/>
      <c r="AO61" s="1198"/>
      <c r="AP61" s="1198"/>
      <c r="AQ61" s="1198"/>
      <c r="AR61" s="1198"/>
      <c r="AS61" s="1198"/>
      <c r="AT61" s="1481"/>
      <c r="AU61" s="1198"/>
      <c r="AV61" s="1198"/>
      <c r="AW61" s="1198"/>
      <c r="AX61" s="1198"/>
      <c r="AY61" s="1198"/>
      <c r="AZ61" s="1198"/>
      <c r="BA61" s="1198"/>
      <c r="BB61" s="1198"/>
      <c r="BC61" s="1198"/>
      <c r="BD61" s="1198"/>
      <c r="BE61" s="1198"/>
      <c r="BF61" s="1198"/>
      <c r="BG61" s="1198"/>
      <c r="BH61" s="1167"/>
      <c r="BI61" s="1167"/>
      <c r="BJ61" s="1167"/>
      <c r="BK61" s="1167"/>
      <c r="BL61" s="1167"/>
      <c r="BM61" s="1167"/>
      <c r="BN61" s="1167"/>
      <c r="BO61" s="1167"/>
      <c r="BP61" s="1167"/>
      <c r="BQ61" s="1167"/>
      <c r="BR61" s="1167"/>
      <c r="BS61" s="1167"/>
      <c r="BT61" s="1167"/>
      <c r="BU61" s="1167"/>
      <c r="BV61" s="1167"/>
      <c r="BW61" s="1167"/>
      <c r="BX61" s="1167"/>
      <c r="BY61" s="1167"/>
      <c r="BZ61" s="1167"/>
      <c r="CA61" s="1167"/>
      <c r="CB61" s="1167"/>
      <c r="CC61" s="1167"/>
      <c r="CD61" s="1167"/>
      <c r="CE61" s="1167"/>
      <c r="CF61" s="1167"/>
      <c r="CG61" s="1167"/>
      <c r="CH61" s="1167"/>
      <c r="CI61" s="1167"/>
      <c r="CJ61" s="1453"/>
      <c r="CK61" s="1167"/>
      <c r="CL61" s="1167"/>
      <c r="CM61" s="1167"/>
      <c r="CN61" s="1167"/>
      <c r="CO61" s="1167"/>
      <c r="CP61" s="1167"/>
      <c r="CQ61" s="1167"/>
      <c r="CR61" s="1167"/>
      <c r="CS61" s="1167"/>
      <c r="CT61" s="1167"/>
      <c r="CU61" s="1167"/>
      <c r="CV61" s="1453"/>
      <c r="CW61" s="1167"/>
      <c r="CX61" s="1167"/>
      <c r="CY61" s="1167"/>
      <c r="CZ61" s="1167"/>
      <c r="DA61" s="1167"/>
      <c r="DB61" s="1167"/>
      <c r="DC61" s="1167"/>
      <c r="DD61" s="1167"/>
      <c r="DE61" s="1167"/>
      <c r="DF61" s="1167"/>
      <c r="DG61" s="1167"/>
      <c r="DH61" s="1167"/>
      <c r="DI61" s="1167"/>
      <c r="DJ61" s="1167"/>
      <c r="DK61" s="1167"/>
      <c r="DL61" s="1167"/>
      <c r="DM61" s="1167"/>
      <c r="DN61" s="1167"/>
      <c r="DO61" s="1167"/>
      <c r="DP61" s="1167"/>
      <c r="DQ61" s="1167"/>
      <c r="DR61" s="1167"/>
      <c r="DS61" s="1167"/>
      <c r="DT61" s="1167"/>
      <c r="DU61" s="1453"/>
      <c r="DV61" s="1167"/>
      <c r="DW61" s="1167"/>
      <c r="DX61" s="1167"/>
      <c r="DY61" s="1167"/>
      <c r="DZ61" s="1167"/>
      <c r="EA61" s="1167"/>
      <c r="EB61" s="1167"/>
      <c r="EC61" s="1167"/>
      <c r="ED61" s="1167"/>
      <c r="EE61" s="1167"/>
      <c r="EF61" s="1167"/>
      <c r="EG61" s="1167"/>
      <c r="EH61" s="1167"/>
      <c r="EI61" s="1167"/>
      <c r="EJ61" s="1453"/>
      <c r="EK61" s="1167"/>
      <c r="EL61" s="1475"/>
      <c r="EM61" s="1475"/>
      <c r="EN61" s="1475"/>
      <c r="EO61" s="1475"/>
      <c r="EP61" s="1475"/>
      <c r="EQ61" s="1475"/>
      <c r="ER61" s="1475"/>
      <c r="ES61" s="1167"/>
      <c r="ET61" s="1453"/>
      <c r="EU61" s="1517"/>
      <c r="EV61" s="1262"/>
      <c r="EW61" s="1262"/>
      <c r="EX61" s="1262"/>
      <c r="EY61" s="1262"/>
      <c r="EZ61" s="1262"/>
      <c r="FA61" s="1262"/>
      <c r="FB61" s="1262"/>
      <c r="FC61" s="1262"/>
      <c r="FD61" s="1198"/>
      <c r="FE61" s="1198"/>
      <c r="FF61" s="1198"/>
      <c r="FG61" s="1198"/>
      <c r="FH61" s="1475"/>
      <c r="FI61" s="1465"/>
      <c r="FJ61" s="1699"/>
      <c r="FK61" s="1699"/>
      <c r="FL61" s="1699"/>
      <c r="FM61" s="1699"/>
      <c r="FN61" s="1699"/>
      <c r="FO61" s="1167"/>
      <c r="FP61" s="1167"/>
      <c r="FQ61" s="1167"/>
      <c r="FR61" s="1167"/>
      <c r="FS61" s="1167"/>
      <c r="FT61" s="1167"/>
      <c r="FU61" s="1167"/>
      <c r="FV61" s="1167"/>
      <c r="FW61" s="1167"/>
      <c r="FX61" s="1167"/>
      <c r="FY61" s="1167"/>
      <c r="FZ61" s="1167"/>
      <c r="GA61" s="1453"/>
      <c r="GB61" s="1167"/>
      <c r="GC61" s="1167"/>
      <c r="GD61" s="1167"/>
      <c r="GE61" s="1167"/>
      <c r="GF61" s="1167"/>
      <c r="GG61" s="1453"/>
      <c r="GH61" s="1167"/>
      <c r="GI61" s="1167"/>
      <c r="GJ61" s="1167"/>
      <c r="GK61" s="1167"/>
      <c r="GL61" s="1167"/>
      <c r="GM61" s="1167"/>
      <c r="GN61" s="1167"/>
      <c r="GO61" s="1167"/>
      <c r="GP61" s="1167"/>
      <c r="GQ61" s="1167"/>
      <c r="GR61" s="1167"/>
      <c r="GS61" s="1167"/>
      <c r="GT61" s="1167"/>
      <c r="GU61" s="1167"/>
      <c r="GV61" s="1167"/>
      <c r="GW61" s="1167"/>
      <c r="GX61" s="1167"/>
      <c r="GY61" s="1167"/>
      <c r="GZ61" s="1167"/>
      <c r="HA61" s="1167"/>
      <c r="HB61" s="1167"/>
      <c r="HC61" s="1167"/>
      <c r="HD61" s="1167"/>
      <c r="HE61" s="1167"/>
      <c r="HF61" s="1167"/>
      <c r="HG61" s="1167"/>
      <c r="HH61" s="1167"/>
      <c r="HI61" s="1167"/>
      <c r="HJ61" s="1167"/>
      <c r="HK61" s="1167"/>
      <c r="HL61" s="1167"/>
      <c r="HM61" s="1167"/>
      <c r="HN61" s="1167"/>
      <c r="HO61" s="1167"/>
      <c r="HP61" s="1167"/>
      <c r="HQ61" s="1167"/>
      <c r="HR61" s="1167"/>
      <c r="HS61" s="1167"/>
      <c r="HT61" s="1167"/>
      <c r="HU61" s="1167"/>
      <c r="HV61" s="1167"/>
      <c r="HW61" s="1167"/>
      <c r="HX61" s="1167"/>
      <c r="HY61" s="1167"/>
      <c r="HZ61" s="1167"/>
      <c r="IA61" s="1167"/>
      <c r="IB61" s="1167"/>
      <c r="IC61" s="1167"/>
      <c r="ID61" s="1167"/>
      <c r="IE61" s="1167"/>
      <c r="IF61" s="1167"/>
    </row>
    <row r="62" customFormat="false" ht="11.25" hidden="false" customHeight="true" outlineLevel="0" collapsed="false">
      <c r="A62" s="1453"/>
      <c r="B62" s="1167"/>
      <c r="C62" s="1167"/>
      <c r="D62" s="1167"/>
      <c r="E62" s="1453"/>
      <c r="F62" s="1167"/>
      <c r="G62" s="1167"/>
      <c r="H62" s="1167"/>
      <c r="I62" s="1453"/>
      <c r="J62" s="1167"/>
      <c r="K62" s="1167"/>
      <c r="L62" s="1167"/>
      <c r="M62" s="1167"/>
      <c r="N62" s="1167"/>
      <c r="O62" s="1167"/>
      <c r="P62" s="1167"/>
      <c r="Q62" s="1167"/>
      <c r="R62" s="1167"/>
      <c r="S62" s="1453"/>
      <c r="T62" s="1167"/>
      <c r="U62" s="1167"/>
      <c r="V62" s="1167"/>
      <c r="W62" s="1167"/>
      <c r="X62" s="1167"/>
      <c r="Y62" s="1167"/>
      <c r="Z62" s="1167"/>
      <c r="AA62" s="1167"/>
      <c r="AB62" s="1167"/>
      <c r="AC62" s="1167"/>
      <c r="AD62" s="1167"/>
      <c r="AE62" s="1167"/>
      <c r="AF62" s="1167"/>
      <c r="AG62" s="1167"/>
      <c r="AH62" s="1453"/>
      <c r="AI62" s="1198"/>
      <c r="AJ62" s="1198"/>
      <c r="AK62" s="1198"/>
      <c r="AL62" s="1198"/>
      <c r="AM62" s="1198"/>
      <c r="AN62" s="1198"/>
      <c r="AO62" s="1198"/>
      <c r="AP62" s="1198"/>
      <c r="AQ62" s="1198"/>
      <c r="AR62" s="1198"/>
      <c r="AS62" s="1198"/>
      <c r="AT62" s="1481"/>
      <c r="AU62" s="1198"/>
      <c r="AV62" s="1198"/>
      <c r="AW62" s="1198"/>
      <c r="AX62" s="1198"/>
      <c r="AY62" s="1198"/>
      <c r="AZ62" s="1198"/>
      <c r="BA62" s="1198"/>
      <c r="BB62" s="1198"/>
      <c r="BC62" s="1198"/>
      <c r="BD62" s="1198"/>
      <c r="BE62" s="1198"/>
      <c r="BF62" s="1198"/>
      <c r="BG62" s="1198"/>
      <c r="BH62" s="1167"/>
      <c r="BI62" s="1167"/>
      <c r="BJ62" s="1167"/>
      <c r="BK62" s="1167"/>
      <c r="BL62" s="1167"/>
      <c r="BM62" s="1167"/>
      <c r="BN62" s="1167"/>
      <c r="BO62" s="1167"/>
      <c r="BP62" s="1167"/>
      <c r="BQ62" s="1167"/>
      <c r="BR62" s="1167"/>
      <c r="BS62" s="1167"/>
      <c r="BT62" s="1167"/>
      <c r="BU62" s="1167"/>
      <c r="BV62" s="1167"/>
      <c r="BW62" s="1167"/>
      <c r="BX62" s="1167"/>
      <c r="BY62" s="1167"/>
      <c r="BZ62" s="1167"/>
      <c r="CA62" s="1167"/>
      <c r="CB62" s="1167"/>
      <c r="CC62" s="1167"/>
      <c r="CD62" s="1167"/>
      <c r="CE62" s="1167"/>
      <c r="CF62" s="1167"/>
      <c r="CG62" s="1167"/>
      <c r="CH62" s="1167"/>
      <c r="CI62" s="1167"/>
      <c r="CJ62" s="1453"/>
      <c r="CK62" s="1167"/>
      <c r="CL62" s="1167"/>
      <c r="CM62" s="1167"/>
      <c r="CN62" s="1167"/>
      <c r="CO62" s="1167"/>
      <c r="CP62" s="1167"/>
      <c r="CQ62" s="1167"/>
      <c r="CR62" s="1167"/>
      <c r="CS62" s="1167"/>
      <c r="CT62" s="1167"/>
      <c r="CU62" s="1167"/>
      <c r="CV62" s="1453"/>
      <c r="CW62" s="1167"/>
      <c r="CX62" s="1167"/>
      <c r="CY62" s="1167"/>
      <c r="CZ62" s="1167"/>
      <c r="DA62" s="1167"/>
      <c r="DB62" s="1167"/>
      <c r="DC62" s="1167"/>
      <c r="DD62" s="1167"/>
      <c r="DE62" s="1167"/>
      <c r="DF62" s="1167"/>
      <c r="DG62" s="1167"/>
      <c r="DH62" s="1167"/>
      <c r="DI62" s="1167"/>
      <c r="DJ62" s="1167"/>
      <c r="DK62" s="1167"/>
      <c r="DL62" s="1167"/>
      <c r="DM62" s="1167"/>
      <c r="DN62" s="1167"/>
      <c r="DO62" s="1167"/>
      <c r="DP62" s="1167"/>
      <c r="DQ62" s="1167"/>
      <c r="DR62" s="1167"/>
      <c r="DS62" s="1167"/>
      <c r="DT62" s="1167"/>
      <c r="DU62" s="1453"/>
      <c r="DV62" s="1167"/>
      <c r="DW62" s="1167"/>
      <c r="DX62" s="1167"/>
      <c r="DY62" s="1167"/>
      <c r="DZ62" s="1167"/>
      <c r="EA62" s="1167"/>
      <c r="EB62" s="1167"/>
      <c r="EC62" s="1167"/>
      <c r="ED62" s="1167"/>
      <c r="EE62" s="1167"/>
      <c r="EF62" s="1167"/>
      <c r="EG62" s="1167"/>
      <c r="EH62" s="1167"/>
      <c r="EI62" s="1167"/>
      <c r="EJ62" s="1453"/>
      <c r="EK62" s="1167"/>
      <c r="EL62" s="1475"/>
      <c r="EM62" s="1475"/>
      <c r="EN62" s="1475"/>
      <c r="EO62" s="1475"/>
      <c r="EP62" s="1475"/>
      <c r="EQ62" s="1475"/>
      <c r="ER62" s="1475"/>
      <c r="ES62" s="1167"/>
      <c r="ET62" s="1453"/>
      <c r="EU62" s="1517"/>
      <c r="EV62" s="1262"/>
      <c r="EW62" s="1262"/>
      <c r="EX62" s="1262"/>
      <c r="EY62" s="1262"/>
      <c r="EZ62" s="1262"/>
      <c r="FA62" s="1262"/>
      <c r="FB62" s="1262"/>
      <c r="FC62" s="1262"/>
      <c r="FD62" s="1198"/>
      <c r="FE62" s="1198"/>
      <c r="FF62" s="1198"/>
      <c r="FG62" s="1198"/>
      <c r="FH62" s="1475"/>
      <c r="FI62" s="1465"/>
      <c r="FJ62" s="1699"/>
      <c r="FK62" s="1699"/>
      <c r="FL62" s="1699"/>
      <c r="FM62" s="1699"/>
      <c r="FN62" s="1699"/>
      <c r="FO62" s="1167"/>
      <c r="FP62" s="1167"/>
      <c r="FQ62" s="1167"/>
      <c r="FR62" s="1167"/>
      <c r="FS62" s="1167"/>
      <c r="FT62" s="1167"/>
      <c r="FU62" s="1167"/>
      <c r="FV62" s="1167"/>
      <c r="FW62" s="1167"/>
      <c r="FX62" s="1167"/>
      <c r="FY62" s="1167"/>
      <c r="FZ62" s="1167"/>
      <c r="GA62" s="1453"/>
      <c r="GB62" s="1167"/>
      <c r="GC62" s="1167"/>
      <c r="GD62" s="1167"/>
      <c r="GE62" s="1167"/>
      <c r="GF62" s="1167"/>
      <c r="GG62" s="1453"/>
      <c r="GH62" s="1167"/>
      <c r="GI62" s="1167"/>
      <c r="GJ62" s="1167"/>
      <c r="GK62" s="1167"/>
      <c r="GL62" s="1167"/>
      <c r="GM62" s="1167"/>
      <c r="GN62" s="1167"/>
      <c r="GO62" s="1167"/>
      <c r="GP62" s="1167"/>
      <c r="GQ62" s="1167"/>
      <c r="GR62" s="1167"/>
      <c r="GS62" s="1167"/>
      <c r="GT62" s="1167"/>
      <c r="GU62" s="1167"/>
      <c r="GV62" s="1167"/>
      <c r="GW62" s="1167"/>
      <c r="GX62" s="1167"/>
      <c r="GY62" s="1167"/>
      <c r="GZ62" s="1167"/>
      <c r="HA62" s="1167"/>
      <c r="HB62" s="1167"/>
      <c r="HC62" s="1167"/>
      <c r="HD62" s="1167"/>
      <c r="HE62" s="1167"/>
      <c r="HF62" s="1167"/>
      <c r="HG62" s="1167"/>
      <c r="HH62" s="1167"/>
      <c r="HI62" s="1167"/>
      <c r="HJ62" s="1167"/>
      <c r="HK62" s="1167"/>
      <c r="HL62" s="1167"/>
      <c r="HM62" s="1167"/>
      <c r="HN62" s="1167"/>
      <c r="HO62" s="1167"/>
      <c r="HP62" s="1167"/>
      <c r="HQ62" s="1167"/>
      <c r="HR62" s="1167"/>
      <c r="HS62" s="1167"/>
      <c r="HT62" s="1167"/>
      <c r="HU62" s="1167"/>
      <c r="HV62" s="1167"/>
      <c r="HW62" s="1167"/>
      <c r="HX62" s="1167"/>
      <c r="HY62" s="1167"/>
      <c r="HZ62" s="1167"/>
      <c r="IA62" s="1167"/>
      <c r="IB62" s="1167"/>
      <c r="IC62" s="1167"/>
      <c r="ID62" s="1167"/>
      <c r="IE62" s="1167"/>
      <c r="IF62" s="1167"/>
    </row>
  </sheetData>
  <mergeCells count="27">
    <mergeCell ref="A1:A30"/>
    <mergeCell ref="B1:C1"/>
    <mergeCell ref="E1:E28"/>
    <mergeCell ref="F1:G1"/>
    <mergeCell ref="I1:I13"/>
    <mergeCell ref="S1:S13"/>
    <mergeCell ref="AH1:AH25"/>
    <mergeCell ref="AT1:AT25"/>
    <mergeCell ref="CJ1:CJ20"/>
    <mergeCell ref="CV1:CV20"/>
    <mergeCell ref="DK1:DK30"/>
    <mergeCell ref="DU1:DU30"/>
    <mergeCell ref="EJ1:EJ31"/>
    <mergeCell ref="ET1:ET31"/>
    <mergeCell ref="FI1:FI19"/>
    <mergeCell ref="FU1:FU11"/>
    <mergeCell ref="FV1:FY1"/>
    <mergeCell ref="GA1:GA36"/>
    <mergeCell ref="GG1:GG19"/>
    <mergeCell ref="GV1:GV55"/>
    <mergeCell ref="HG1:HG12"/>
    <mergeCell ref="HS1:HS12"/>
    <mergeCell ref="B6:C6"/>
    <mergeCell ref="F6:G6"/>
    <mergeCell ref="FJ6:FJ7"/>
    <mergeCell ref="FU13:FU23"/>
    <mergeCell ref="FV13:FY13"/>
  </mergeCells>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H5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9" activeCellId="0" sqref="E9"/>
    </sheetView>
  </sheetViews>
  <sheetFormatPr defaultColWidth="8.6328125" defaultRowHeight="15" customHeight="true" zeroHeight="false" outlineLevelRow="0" outlineLevelCol="0"/>
  <cols>
    <col collapsed="false" customWidth="true" hidden="false" outlineLevel="0" max="1" min="1" style="1" width="3"/>
    <col collapsed="false" customWidth="true" hidden="false" outlineLevel="0" max="2" min="2" style="1" width="22"/>
    <col collapsed="false" customWidth="true" hidden="false" outlineLevel="0" max="9" min="3" style="1" width="12"/>
  </cols>
  <sheetData>
    <row r="1" customFormat="false" ht="12" hidden="false" customHeight="true" outlineLevel="0" collapsed="false"/>
    <row r="2" customFormat="false" ht="21.75" hidden="false" customHeight="true" outlineLevel="0" collapsed="false">
      <c r="B2" s="21" t="s">
        <v>30</v>
      </c>
      <c r="C2" s="21"/>
      <c r="D2" s="21"/>
      <c r="E2" s="21"/>
      <c r="F2" s="21"/>
      <c r="G2" s="21"/>
      <c r="H2" s="21"/>
    </row>
    <row r="3" customFormat="false" ht="12" hidden="false" customHeight="true" outlineLevel="0" collapsed="false"/>
    <row r="4" customFormat="false" ht="15" hidden="false" customHeight="true" outlineLevel="0" collapsed="false">
      <c r="B4" s="16" t="s">
        <v>1</v>
      </c>
      <c r="C4" s="16"/>
      <c r="D4" s="16"/>
      <c r="E4" s="16"/>
      <c r="F4" s="16"/>
      <c r="G4" s="16"/>
      <c r="H4" s="16"/>
    </row>
    <row r="5" customFormat="false" ht="15" hidden="false" customHeight="true" outlineLevel="0" collapsed="false">
      <c r="B5" s="22" t="s">
        <v>2</v>
      </c>
      <c r="C5" s="23" t="n">
        <v>115</v>
      </c>
    </row>
    <row r="6" customFormat="false" ht="15" hidden="false" customHeight="true" outlineLevel="0" collapsed="false">
      <c r="B6" s="22" t="s">
        <v>3</v>
      </c>
      <c r="C6" s="24" t="n">
        <v>0.05</v>
      </c>
    </row>
    <row r="7" customFormat="false" ht="15" hidden="false" customHeight="true" outlineLevel="0" collapsed="false">
      <c r="B7" s="22" t="s">
        <v>4</v>
      </c>
      <c r="C7" s="24" t="n">
        <v>0.1</v>
      </c>
    </row>
    <row r="8" customFormat="false" ht="15" hidden="false" customHeight="true" outlineLevel="0" collapsed="false">
      <c r="B8" s="22" t="s">
        <v>5</v>
      </c>
      <c r="C8" s="25" t="n">
        <v>1</v>
      </c>
    </row>
    <row r="9" customFormat="false" ht="15" hidden="false" customHeight="true" outlineLevel="0" collapsed="false">
      <c r="B9" s="22" t="s">
        <v>6</v>
      </c>
      <c r="C9" s="25" t="n">
        <v>1</v>
      </c>
    </row>
    <row r="10" customFormat="false" ht="15" hidden="false" customHeight="true" outlineLevel="0" collapsed="false">
      <c r="B10" s="22" t="s">
        <v>7</v>
      </c>
      <c r="C10" s="26" t="n">
        <v>1.45</v>
      </c>
    </row>
    <row r="11" customFormat="false" ht="15" hidden="false" customHeight="true" outlineLevel="0" collapsed="false">
      <c r="B11" s="22" t="s">
        <v>31</v>
      </c>
      <c r="C11" s="26" t="n">
        <v>1.1</v>
      </c>
    </row>
    <row r="12" customFormat="false" ht="15" hidden="false" customHeight="true" outlineLevel="0" collapsed="false">
      <c r="B12" s="27" t="s">
        <v>8</v>
      </c>
      <c r="C12" s="28" t="n">
        <f aca="false">1-1/C10</f>
        <v>0.310344827586207</v>
      </c>
    </row>
    <row r="13" customFormat="false" ht="12" hidden="false" customHeight="true" outlineLevel="0" collapsed="false"/>
    <row r="14" customFormat="false" ht="15" hidden="false" customHeight="true" outlineLevel="0" collapsed="false">
      <c r="B14" s="16" t="s">
        <v>32</v>
      </c>
      <c r="C14" s="16"/>
      <c r="D14" s="16"/>
      <c r="E14" s="16"/>
      <c r="F14" s="16"/>
      <c r="G14" s="16"/>
      <c r="H14" s="16"/>
    </row>
    <row r="15" customFormat="false" ht="15" hidden="false" customHeight="true" outlineLevel="0" collapsed="false">
      <c r="B15" s="29" t="s">
        <v>10</v>
      </c>
      <c r="C15" s="29" t="s">
        <v>11</v>
      </c>
      <c r="D15" s="29" t="s">
        <v>33</v>
      </c>
      <c r="E15" s="29" t="s">
        <v>12</v>
      </c>
      <c r="F15" s="29" t="s">
        <v>13</v>
      </c>
      <c r="G15" s="29" t="s">
        <v>14</v>
      </c>
    </row>
    <row r="16" customFormat="false" ht="15" hidden="false" customHeight="true" outlineLevel="0" collapsed="false">
      <c r="B16" s="30" t="n">
        <v>0.5</v>
      </c>
      <c r="C16" s="31" t="s">
        <v>34</v>
      </c>
      <c r="D16" s="32" t="n">
        <v>1</v>
      </c>
      <c r="E16" s="30" t="n">
        <v>0.05</v>
      </c>
      <c r="F16" s="30" t="n">
        <v>0.02</v>
      </c>
      <c r="G16" s="30" t="n">
        <v>0.15</v>
      </c>
    </row>
    <row r="17" customFormat="false" ht="15" hidden="false" customHeight="true" outlineLevel="0" collapsed="false">
      <c r="B17" s="30" t="n">
        <v>0.75</v>
      </c>
      <c r="C17" s="31" t="s">
        <v>34</v>
      </c>
      <c r="D17" s="32" t="n">
        <v>1</v>
      </c>
      <c r="E17" s="30" t="n">
        <v>0.06</v>
      </c>
      <c r="F17" s="30" t="n">
        <v>0.02</v>
      </c>
      <c r="G17" s="30" t="n">
        <v>0.18</v>
      </c>
    </row>
    <row r="18" customFormat="false" ht="15" hidden="false" customHeight="true" outlineLevel="0" collapsed="false">
      <c r="B18" s="30" t="n">
        <v>1</v>
      </c>
      <c r="C18" s="31" t="s">
        <v>34</v>
      </c>
      <c r="D18" s="32" t="n">
        <v>1</v>
      </c>
      <c r="E18" s="30" t="n">
        <v>0.07</v>
      </c>
      <c r="F18" s="30" t="n">
        <v>0.02</v>
      </c>
      <c r="G18" s="30" t="n">
        <v>0.2</v>
      </c>
    </row>
    <row r="19" customFormat="false" ht="15" hidden="false" customHeight="true" outlineLevel="0" collapsed="false">
      <c r="B19" s="30" t="n">
        <v>1.5</v>
      </c>
      <c r="C19" s="31" t="s">
        <v>34</v>
      </c>
      <c r="D19" s="32" t="n">
        <v>1</v>
      </c>
      <c r="E19" s="30" t="n">
        <v>0.09</v>
      </c>
      <c r="F19" s="30" t="n">
        <v>0.03</v>
      </c>
      <c r="G19" s="30" t="n">
        <v>0.25</v>
      </c>
    </row>
    <row r="20" customFormat="false" ht="15" hidden="false" customHeight="true" outlineLevel="0" collapsed="false">
      <c r="B20" s="30" t="n">
        <v>2</v>
      </c>
      <c r="C20" s="31" t="s">
        <v>34</v>
      </c>
      <c r="D20" s="32" t="n">
        <v>1</v>
      </c>
      <c r="E20" s="30" t="n">
        <v>0.11</v>
      </c>
      <c r="F20" s="30" t="n">
        <v>0.03</v>
      </c>
      <c r="G20" s="30" t="n">
        <v>0.3</v>
      </c>
    </row>
    <row r="21" customFormat="false" ht="15" hidden="false" customHeight="true" outlineLevel="0" collapsed="false">
      <c r="B21" s="30" t="n">
        <v>2.5</v>
      </c>
      <c r="C21" s="31" t="s">
        <v>35</v>
      </c>
      <c r="D21" s="32" t="n">
        <v>2</v>
      </c>
      <c r="E21" s="30" t="n">
        <v>0.14</v>
      </c>
      <c r="F21" s="30" t="n">
        <v>0.04</v>
      </c>
      <c r="G21" s="30" t="n">
        <v>0.32</v>
      </c>
    </row>
    <row r="22" customFormat="false" ht="15" hidden="false" customHeight="true" outlineLevel="0" collapsed="false">
      <c r="B22" s="30" t="n">
        <v>3</v>
      </c>
      <c r="C22" s="31" t="s">
        <v>35</v>
      </c>
      <c r="D22" s="32" t="n">
        <v>2</v>
      </c>
      <c r="E22" s="30" t="n">
        <v>0.17</v>
      </c>
      <c r="F22" s="30" t="n">
        <v>0.05</v>
      </c>
      <c r="G22" s="30" t="n">
        <v>0.36</v>
      </c>
    </row>
    <row r="23" customFormat="false" ht="15" hidden="false" customHeight="true" outlineLevel="0" collapsed="false">
      <c r="B23" s="30" t="n">
        <v>4</v>
      </c>
      <c r="C23" s="31" t="s">
        <v>35</v>
      </c>
      <c r="D23" s="32" t="n">
        <v>2</v>
      </c>
      <c r="E23" s="30" t="n">
        <v>0.2</v>
      </c>
      <c r="F23" s="30" t="n">
        <v>0.06</v>
      </c>
      <c r="G23" s="30" t="n">
        <v>0.44</v>
      </c>
    </row>
    <row r="24" customFormat="false" ht="15" hidden="false" customHeight="true" outlineLevel="0" collapsed="false">
      <c r="B24" s="30" t="n">
        <v>6</v>
      </c>
      <c r="C24" s="31" t="s">
        <v>36</v>
      </c>
      <c r="D24" s="32" t="n">
        <v>2</v>
      </c>
      <c r="E24" s="30" t="n">
        <v>0.26</v>
      </c>
      <c r="F24" s="30" t="n">
        <v>0.08</v>
      </c>
      <c r="G24" s="30" t="n">
        <v>0.6</v>
      </c>
    </row>
    <row r="25" customFormat="false" ht="15" hidden="false" customHeight="true" outlineLevel="0" collapsed="false">
      <c r="B25" s="30" t="n">
        <v>8</v>
      </c>
      <c r="C25" s="31" t="s">
        <v>37</v>
      </c>
      <c r="D25" s="32" t="n">
        <v>2</v>
      </c>
      <c r="E25" s="30" t="n">
        <v>0.32</v>
      </c>
      <c r="F25" s="30" t="n">
        <v>0.1</v>
      </c>
      <c r="G25" s="30" t="n">
        <v>0.75</v>
      </c>
    </row>
    <row r="26" customFormat="false" ht="15" hidden="false" customHeight="true" outlineLevel="0" collapsed="false">
      <c r="B26" s="30" t="n">
        <v>10</v>
      </c>
      <c r="C26" s="31" t="s">
        <v>38</v>
      </c>
      <c r="D26" s="32" t="n">
        <v>2</v>
      </c>
      <c r="E26" s="30" t="n">
        <v>0.4</v>
      </c>
      <c r="F26" s="30" t="n">
        <v>0.13</v>
      </c>
      <c r="G26" s="30" t="n">
        <v>0.9</v>
      </c>
    </row>
    <row r="27" customFormat="false" ht="15" hidden="false" customHeight="true" outlineLevel="0" collapsed="false">
      <c r="B27" s="30" t="n">
        <v>12</v>
      </c>
      <c r="C27" s="31" t="s">
        <v>39</v>
      </c>
      <c r="D27" s="32" t="n">
        <v>2</v>
      </c>
      <c r="E27" s="30" t="n">
        <v>0.48</v>
      </c>
      <c r="F27" s="30" t="n">
        <v>0.16</v>
      </c>
      <c r="G27" s="30" t="n">
        <v>1.08</v>
      </c>
    </row>
    <row r="28" customFormat="false" ht="15" hidden="false" customHeight="true" outlineLevel="0" collapsed="false">
      <c r="B28" s="30" t="n">
        <v>14</v>
      </c>
      <c r="C28" s="31" t="s">
        <v>40</v>
      </c>
      <c r="D28" s="32" t="n">
        <v>2</v>
      </c>
      <c r="E28" s="30" t="n">
        <v>0.58</v>
      </c>
      <c r="F28" s="30" t="n">
        <v>0.19</v>
      </c>
      <c r="G28" s="30" t="n">
        <v>1.25</v>
      </c>
    </row>
    <row r="29" customFormat="false" ht="15" hidden="false" customHeight="true" outlineLevel="0" collapsed="false">
      <c r="B29" s="30" t="n">
        <v>16</v>
      </c>
      <c r="C29" s="31" t="s">
        <v>40</v>
      </c>
      <c r="D29" s="32" t="n">
        <v>2</v>
      </c>
      <c r="E29" s="30" t="n">
        <v>0.68</v>
      </c>
      <c r="F29" s="30" t="n">
        <v>0.22</v>
      </c>
      <c r="G29" s="30" t="n">
        <v>1.45</v>
      </c>
    </row>
    <row r="30" customFormat="false" ht="15" hidden="false" customHeight="true" outlineLevel="0" collapsed="false">
      <c r="B30" s="30" t="n">
        <v>18</v>
      </c>
      <c r="C30" s="31" t="s">
        <v>40</v>
      </c>
      <c r="D30" s="32" t="n">
        <v>2</v>
      </c>
      <c r="E30" s="30" t="n">
        <v>0.78</v>
      </c>
      <c r="F30" s="30" t="n">
        <v>0.25</v>
      </c>
      <c r="G30" s="30" t="n">
        <v>1.65</v>
      </c>
    </row>
    <row r="31" customFormat="false" ht="12" hidden="false" customHeight="true" outlineLevel="0" collapsed="false"/>
    <row r="32" customFormat="false" ht="12" hidden="false" customHeight="true" outlineLevel="0" collapsed="false"/>
    <row r="33" customFormat="false" ht="15" hidden="false" customHeight="true" outlineLevel="0" collapsed="false">
      <c r="B33" s="16" t="s">
        <v>41</v>
      </c>
      <c r="C33" s="16"/>
      <c r="D33" s="16"/>
      <c r="E33" s="16"/>
      <c r="F33" s="16"/>
      <c r="G33" s="16"/>
      <c r="H33" s="16"/>
    </row>
    <row r="34" customFormat="false" ht="15" hidden="false" customHeight="true" outlineLevel="0" collapsed="false">
      <c r="B34" s="29" t="s">
        <v>17</v>
      </c>
      <c r="C34" s="29" t="s">
        <v>18</v>
      </c>
      <c r="D34" s="29" t="s">
        <v>19</v>
      </c>
      <c r="E34" s="29" t="s">
        <v>20</v>
      </c>
      <c r="F34" s="29" t="s">
        <v>21</v>
      </c>
      <c r="G34" s="29" t="s">
        <v>22</v>
      </c>
      <c r="H34" s="29" t="s">
        <v>23</v>
      </c>
    </row>
    <row r="35" customFormat="false" ht="15" hidden="false" customHeight="true" outlineLevel="0" collapsed="false">
      <c r="B35" s="30" t="n">
        <f aca="false">B16</f>
        <v>0.5</v>
      </c>
      <c r="C35" s="33" t="n">
        <f aca="false">(E16+$C$8*F16+$C$9*G16)*$C$11</f>
        <v>0.242</v>
      </c>
      <c r="D35" s="34" t="n">
        <f aca="false">C35*$C$5*$C$10/B35</f>
        <v>80.707</v>
      </c>
      <c r="E35" s="34" t="n">
        <f aca="false">D35*(1+$C$7)^1</f>
        <v>88.7777</v>
      </c>
      <c r="F35" s="34" t="n">
        <f aca="false">D35*(1+$C$7)^2</f>
        <v>97.65547</v>
      </c>
      <c r="G35" s="34" t="n">
        <f aca="false">D35*(1+$C$7)^3</f>
        <v>107.421017</v>
      </c>
      <c r="H35" s="34" t="n">
        <f aca="false">D35*(1+$C$7)^4</f>
        <v>118.1631187</v>
      </c>
    </row>
    <row r="36" customFormat="false" ht="15" hidden="false" customHeight="true" outlineLevel="0" collapsed="false">
      <c r="B36" s="30" t="n">
        <f aca="false">B17</f>
        <v>0.75</v>
      </c>
      <c r="C36" s="33" t="n">
        <f aca="false">(E17+$C$8*F17+$C$9*G17)*$C$11</f>
        <v>0.286</v>
      </c>
      <c r="D36" s="34" t="n">
        <f aca="false">C36*$C$5*$C$10/B36</f>
        <v>63.5873333333333</v>
      </c>
      <c r="E36" s="34" t="n">
        <f aca="false">D36*(1+$C$7)^1</f>
        <v>69.9460666666667</v>
      </c>
      <c r="F36" s="34" t="n">
        <f aca="false">D36*(1+$C$7)^2</f>
        <v>76.9406733333334</v>
      </c>
      <c r="G36" s="34" t="n">
        <f aca="false">D36*(1+$C$7)^3</f>
        <v>84.6347406666667</v>
      </c>
      <c r="H36" s="34" t="n">
        <f aca="false">D36*(1+$C$7)^4</f>
        <v>93.0982147333334</v>
      </c>
    </row>
    <row r="37" customFormat="false" ht="15" hidden="false" customHeight="true" outlineLevel="0" collapsed="false">
      <c r="B37" s="30" t="n">
        <f aca="false">B18</f>
        <v>1</v>
      </c>
      <c r="C37" s="33" t="n">
        <f aca="false">(E18+$C$8*F18+$C$9*G18)*$C$11</f>
        <v>0.319</v>
      </c>
      <c r="D37" s="34" t="n">
        <f aca="false">C37*$C$5*$C$10/B37</f>
        <v>53.19325</v>
      </c>
      <c r="E37" s="34" t="n">
        <f aca="false">D37*(1+$C$7)^1</f>
        <v>58.512575</v>
      </c>
      <c r="F37" s="34" t="n">
        <f aca="false">D37*(1+$C$7)^2</f>
        <v>64.3638325</v>
      </c>
      <c r="G37" s="34" t="n">
        <f aca="false">D37*(1+$C$7)^3</f>
        <v>70.80021575</v>
      </c>
      <c r="H37" s="34" t="n">
        <f aca="false">D37*(1+$C$7)^4</f>
        <v>77.880237325</v>
      </c>
    </row>
    <row r="38" customFormat="false" ht="15" hidden="false" customHeight="true" outlineLevel="0" collapsed="false">
      <c r="B38" s="30" t="n">
        <f aca="false">B19</f>
        <v>1.5</v>
      </c>
      <c r="C38" s="33" t="n">
        <f aca="false">(E19+$C$8*F19+$C$9*G19)*$C$11</f>
        <v>0.407</v>
      </c>
      <c r="D38" s="34" t="n">
        <f aca="false">C38*$C$5*$C$10/B38</f>
        <v>45.2448333333333</v>
      </c>
      <c r="E38" s="34" t="n">
        <f aca="false">D38*(1+$C$7)^1</f>
        <v>49.7693166666667</v>
      </c>
      <c r="F38" s="34" t="n">
        <f aca="false">D38*(1+$C$7)^2</f>
        <v>54.7462483333334</v>
      </c>
      <c r="G38" s="34" t="n">
        <f aca="false">D38*(1+$C$7)^3</f>
        <v>60.2208731666667</v>
      </c>
      <c r="H38" s="34" t="n">
        <f aca="false">D38*(1+$C$7)^4</f>
        <v>66.2429604833334</v>
      </c>
    </row>
    <row r="39" customFormat="false" ht="15" hidden="false" customHeight="true" outlineLevel="0" collapsed="false">
      <c r="B39" s="30" t="n">
        <f aca="false">B20</f>
        <v>2</v>
      </c>
      <c r="C39" s="33" t="n">
        <f aca="false">(E20+$C$8*F20+$C$9*G20)*$C$11</f>
        <v>0.484</v>
      </c>
      <c r="D39" s="34" t="n">
        <f aca="false">C39*$C$5*$C$10/B39</f>
        <v>40.3535</v>
      </c>
      <c r="E39" s="34" t="n">
        <f aca="false">D39*(1+$C$7)^1</f>
        <v>44.38885</v>
      </c>
      <c r="F39" s="34" t="n">
        <f aca="false">D39*(1+$C$7)^2</f>
        <v>48.827735</v>
      </c>
      <c r="G39" s="34" t="n">
        <f aca="false">D39*(1+$C$7)^3</f>
        <v>53.7105085</v>
      </c>
      <c r="H39" s="34" t="n">
        <f aca="false">D39*(1+$C$7)^4</f>
        <v>59.08155935</v>
      </c>
    </row>
    <row r="40" customFormat="false" ht="15" hidden="false" customHeight="true" outlineLevel="0" collapsed="false">
      <c r="B40" s="30" t="n">
        <f aca="false">B21</f>
        <v>2.5</v>
      </c>
      <c r="C40" s="33" t="n">
        <f aca="false">(E21+$C$8*F21+$C$9*G21)*$C$11</f>
        <v>0.55</v>
      </c>
      <c r="D40" s="34" t="n">
        <f aca="false">C40*$C$5*$C$10/B40</f>
        <v>36.685</v>
      </c>
      <c r="E40" s="34" t="n">
        <f aca="false">D40*(1+$C$7)^1</f>
        <v>40.3535</v>
      </c>
      <c r="F40" s="34" t="n">
        <f aca="false">D40*(1+$C$7)^2</f>
        <v>44.38885</v>
      </c>
      <c r="G40" s="34" t="n">
        <f aca="false">D40*(1+$C$7)^3</f>
        <v>48.827735</v>
      </c>
      <c r="H40" s="34" t="n">
        <f aca="false">D40*(1+$C$7)^4</f>
        <v>53.7105085</v>
      </c>
    </row>
    <row r="41" customFormat="false" ht="15" hidden="false" customHeight="true" outlineLevel="0" collapsed="false">
      <c r="B41" s="30" t="n">
        <f aca="false">B22</f>
        <v>3</v>
      </c>
      <c r="C41" s="33" t="n">
        <f aca="false">(E22+$C$8*F22+$C$9*G22)*$C$11</f>
        <v>0.638</v>
      </c>
      <c r="D41" s="34" t="n">
        <f aca="false">C41*$C$5*$C$10/B41</f>
        <v>35.4621666666667</v>
      </c>
      <c r="E41" s="34" t="n">
        <f aca="false">D41*(1+$C$7)^1</f>
        <v>39.0083833333334</v>
      </c>
      <c r="F41" s="34" t="n">
        <f aca="false">D41*(1+$C$7)^2</f>
        <v>42.9092216666667</v>
      </c>
      <c r="G41" s="34" t="n">
        <f aca="false">D41*(1+$C$7)^3</f>
        <v>47.2001438333334</v>
      </c>
      <c r="H41" s="34" t="n">
        <f aca="false">D41*(1+$C$7)^4</f>
        <v>51.9201582166667</v>
      </c>
    </row>
    <row r="42" customFormat="false" ht="15" hidden="false" customHeight="true" outlineLevel="0" collapsed="false">
      <c r="B42" s="30" t="n">
        <f aca="false">B23</f>
        <v>4</v>
      </c>
      <c r="C42" s="33" t="n">
        <f aca="false">(E23+$C$8*F23+$C$9*G23)*$C$11</f>
        <v>0.77</v>
      </c>
      <c r="D42" s="34" t="n">
        <f aca="false">C42*$C$5*$C$10/B42</f>
        <v>32.099375</v>
      </c>
      <c r="E42" s="34" t="n">
        <f aca="false">D42*(1+$C$7)^1</f>
        <v>35.3093125</v>
      </c>
      <c r="F42" s="34" t="n">
        <f aca="false">D42*(1+$C$7)^2</f>
        <v>38.84024375</v>
      </c>
      <c r="G42" s="34" t="n">
        <f aca="false">D42*(1+$C$7)^3</f>
        <v>42.724268125</v>
      </c>
      <c r="H42" s="34" t="n">
        <f aca="false">D42*(1+$C$7)^4</f>
        <v>46.9966949375</v>
      </c>
    </row>
    <row r="43" customFormat="false" ht="15" hidden="false" customHeight="true" outlineLevel="0" collapsed="false">
      <c r="B43" s="30" t="n">
        <f aca="false">B24</f>
        <v>6</v>
      </c>
      <c r="C43" s="33" t="n">
        <f aca="false">(E24+$C$8*F24+$C$9*G24)*$C$11</f>
        <v>1.034</v>
      </c>
      <c r="D43" s="34" t="n">
        <f aca="false">C43*$C$5*$C$10/B43</f>
        <v>28.7365833333333</v>
      </c>
      <c r="E43" s="34" t="n">
        <f aca="false">D43*(1+$C$7)^1</f>
        <v>31.6102416666667</v>
      </c>
      <c r="F43" s="34" t="n">
        <f aca="false">D43*(1+$C$7)^2</f>
        <v>34.7712658333333</v>
      </c>
      <c r="G43" s="34" t="n">
        <f aca="false">D43*(1+$C$7)^3</f>
        <v>38.2483924166667</v>
      </c>
      <c r="H43" s="34" t="n">
        <f aca="false">D43*(1+$C$7)^4</f>
        <v>42.0732316583333</v>
      </c>
    </row>
    <row r="44" customFormat="false" ht="15" hidden="false" customHeight="true" outlineLevel="0" collapsed="false">
      <c r="B44" s="30" t="n">
        <f aca="false">B25</f>
        <v>8</v>
      </c>
      <c r="C44" s="33" t="n">
        <f aca="false">(E25+$C$8*F25+$C$9*G25)*$C$11</f>
        <v>1.287</v>
      </c>
      <c r="D44" s="34" t="n">
        <f aca="false">C44*$C$5*$C$10/B44</f>
        <v>26.82590625</v>
      </c>
      <c r="E44" s="34" t="n">
        <f aca="false">D44*(1+$C$7)^1</f>
        <v>29.508496875</v>
      </c>
      <c r="F44" s="34" t="n">
        <f aca="false">D44*(1+$C$7)^2</f>
        <v>32.4593465625</v>
      </c>
      <c r="G44" s="34" t="n">
        <f aca="false">D44*(1+$C$7)^3</f>
        <v>35.70528121875</v>
      </c>
      <c r="H44" s="34" t="n">
        <f aca="false">D44*(1+$C$7)^4</f>
        <v>39.275809340625</v>
      </c>
    </row>
    <row r="45" customFormat="false" ht="15" hidden="false" customHeight="true" outlineLevel="0" collapsed="false">
      <c r="B45" s="30" t="n">
        <f aca="false">B26</f>
        <v>10</v>
      </c>
      <c r="C45" s="33" t="n">
        <f aca="false">(E26+$C$8*F26+$C$9*G26)*$C$11</f>
        <v>1.573</v>
      </c>
      <c r="D45" s="34" t="n">
        <f aca="false">C45*$C$5*$C$10/B45</f>
        <v>26.229775</v>
      </c>
      <c r="E45" s="34" t="n">
        <f aca="false">D45*(1+$C$7)^1</f>
        <v>28.8527525</v>
      </c>
      <c r="F45" s="34" t="n">
        <f aca="false">D45*(1+$C$7)^2</f>
        <v>31.73802775</v>
      </c>
      <c r="G45" s="34" t="n">
        <f aca="false">D45*(1+$C$7)^3</f>
        <v>34.911830525</v>
      </c>
      <c r="H45" s="34" t="n">
        <f aca="false">D45*(1+$C$7)^4</f>
        <v>38.4030135775</v>
      </c>
    </row>
    <row r="46" customFormat="false" ht="15" hidden="false" customHeight="true" outlineLevel="0" collapsed="false">
      <c r="B46" s="30" t="n">
        <f aca="false">B27</f>
        <v>12</v>
      </c>
      <c r="C46" s="33" t="n">
        <f aca="false">(E27+$C$8*F27+$C$9*G27)*$C$11</f>
        <v>1.892</v>
      </c>
      <c r="D46" s="34" t="n">
        <f aca="false">C46*$C$5*$C$10/B46</f>
        <v>26.2909166666667</v>
      </c>
      <c r="E46" s="34" t="n">
        <f aca="false">D46*(1+$C$7)^1</f>
        <v>28.9200083333333</v>
      </c>
      <c r="F46" s="34" t="n">
        <f aca="false">D46*(1+$C$7)^2</f>
        <v>31.8120091666667</v>
      </c>
      <c r="G46" s="34" t="n">
        <f aca="false">D46*(1+$C$7)^3</f>
        <v>34.9932100833334</v>
      </c>
      <c r="H46" s="34" t="n">
        <f aca="false">D46*(1+$C$7)^4</f>
        <v>38.4925310916667</v>
      </c>
    </row>
    <row r="47" customFormat="false" ht="15" hidden="false" customHeight="true" outlineLevel="0" collapsed="false">
      <c r="B47" s="30" t="n">
        <f aca="false">B28</f>
        <v>14</v>
      </c>
      <c r="C47" s="33" t="n">
        <f aca="false">(E28+$C$8*F28+$C$9*G28)*$C$11</f>
        <v>2.222</v>
      </c>
      <c r="D47" s="34" t="n">
        <f aca="false">C47*$C$5*$C$10/B47</f>
        <v>26.4656071428572</v>
      </c>
      <c r="E47" s="34" t="n">
        <f aca="false">D47*(1+$C$7)^1</f>
        <v>29.1121678571429</v>
      </c>
      <c r="F47" s="34" t="n">
        <f aca="false">D47*(1+$C$7)^2</f>
        <v>32.0233846428572</v>
      </c>
      <c r="G47" s="34" t="n">
        <f aca="false">D47*(1+$C$7)^3</f>
        <v>35.2257231071429</v>
      </c>
      <c r="H47" s="34" t="n">
        <f aca="false">D47*(1+$C$7)^4</f>
        <v>38.7482954178572</v>
      </c>
    </row>
    <row r="48" customFormat="false" ht="15" hidden="false" customHeight="true" outlineLevel="0" collapsed="false">
      <c r="B48" s="30" t="n">
        <f aca="false">B29</f>
        <v>16</v>
      </c>
      <c r="C48" s="33" t="n">
        <f aca="false">(E29+$C$8*F29+$C$9*G29)*$C$11</f>
        <v>2.585</v>
      </c>
      <c r="D48" s="34" t="n">
        <f aca="false">C48*$C$5*$C$10/B48</f>
        <v>26.940546875</v>
      </c>
      <c r="E48" s="34" t="n">
        <f aca="false">D48*(1+$C$7)^1</f>
        <v>29.6346015625</v>
      </c>
      <c r="F48" s="34" t="n">
        <f aca="false">D48*(1+$C$7)^2</f>
        <v>32.59806171875</v>
      </c>
      <c r="G48" s="34" t="n">
        <f aca="false">D48*(1+$C$7)^3</f>
        <v>35.857867890625</v>
      </c>
      <c r="H48" s="34" t="n">
        <f aca="false">D48*(1+$C$7)^4</f>
        <v>39.4436546796875</v>
      </c>
    </row>
    <row r="49" customFormat="false" ht="15" hidden="false" customHeight="true" outlineLevel="0" collapsed="false">
      <c r="B49" s="30" t="n">
        <f aca="false">B30</f>
        <v>18</v>
      </c>
      <c r="C49" s="33" t="n">
        <f aca="false">(E30+$C$8*F30+$C$9*G30)*$C$11</f>
        <v>2.948</v>
      </c>
      <c r="D49" s="34" t="n">
        <f aca="false">C49*$C$5*$C$10/B49</f>
        <v>27.3099444444444</v>
      </c>
      <c r="E49" s="34" t="n">
        <f aca="false">D49*(1+$C$7)^1</f>
        <v>30.0409388888889</v>
      </c>
      <c r="F49" s="34" t="n">
        <f aca="false">D49*(1+$C$7)^2</f>
        <v>33.0450327777778</v>
      </c>
      <c r="G49" s="34" t="n">
        <f aca="false">D49*(1+$C$7)^3</f>
        <v>36.3495360555556</v>
      </c>
      <c r="H49" s="34" t="n">
        <f aca="false">D49*(1+$C$7)^4</f>
        <v>39.9844896611111</v>
      </c>
    </row>
    <row r="50" customFormat="false" ht="12" hidden="false" customHeight="true" outlineLevel="0" collapsed="false"/>
    <row r="51" customFormat="false" ht="15" hidden="false" customHeight="true" outlineLevel="0" collapsed="false">
      <c r="B51" s="16" t="s">
        <v>24</v>
      </c>
      <c r="C51" s="16"/>
      <c r="D51" s="16"/>
      <c r="E51" s="16"/>
      <c r="F51" s="16"/>
      <c r="G51" s="16"/>
      <c r="H51" s="16"/>
    </row>
    <row r="52" customFormat="false" ht="15" hidden="false" customHeight="true" outlineLevel="0" collapsed="false">
      <c r="B52" s="17" t="s">
        <v>42</v>
      </c>
      <c r="C52" s="17"/>
      <c r="D52" s="17"/>
      <c r="E52" s="17"/>
      <c r="F52" s="17"/>
      <c r="G52" s="17"/>
      <c r="H52" s="17"/>
    </row>
    <row r="53" customFormat="false" ht="15" hidden="false" customHeight="true" outlineLevel="0" collapsed="false">
      <c r="B53" s="17" t="s">
        <v>43</v>
      </c>
      <c r="C53" s="17"/>
      <c r="D53" s="17"/>
      <c r="E53" s="17"/>
      <c r="F53" s="17"/>
      <c r="G53" s="17"/>
      <c r="H53" s="17"/>
    </row>
    <row r="54" customFormat="false" ht="15" hidden="false" customHeight="true" outlineLevel="0" collapsed="false">
      <c r="B54" s="17" t="s">
        <v>44</v>
      </c>
      <c r="C54" s="17"/>
      <c r="D54" s="17"/>
      <c r="E54" s="17"/>
      <c r="F54" s="17"/>
      <c r="G54" s="17"/>
      <c r="H54" s="17"/>
    </row>
    <row r="55" customFormat="false" ht="15" hidden="false" customHeight="true" outlineLevel="0" collapsed="false">
      <c r="B55" s="17" t="s">
        <v>45</v>
      </c>
      <c r="C55" s="17"/>
      <c r="D55" s="17"/>
      <c r="E55" s="17"/>
      <c r="F55" s="17"/>
      <c r="G55" s="17"/>
      <c r="H55" s="17"/>
    </row>
    <row r="56" customFormat="false" ht="15" hidden="false" customHeight="true" outlineLevel="0" collapsed="false">
      <c r="B56" s="17" t="s">
        <v>46</v>
      </c>
      <c r="C56" s="17"/>
      <c r="D56" s="17"/>
      <c r="E56" s="17"/>
      <c r="F56" s="17"/>
      <c r="G56" s="17"/>
      <c r="H56" s="17"/>
    </row>
  </sheetData>
  <mergeCells count="10">
    <mergeCell ref="B2:H2"/>
    <mergeCell ref="B4:H4"/>
    <mergeCell ref="B14:H14"/>
    <mergeCell ref="B33:H33"/>
    <mergeCell ref="B51:H51"/>
    <mergeCell ref="B52:H52"/>
    <mergeCell ref="B53:H53"/>
    <mergeCell ref="B54:H54"/>
    <mergeCell ref="B55:H55"/>
    <mergeCell ref="B56:H56"/>
  </mergeCells>
  <printOptions headings="false" gridLines="false" gridLinesSet="true" horizontalCentered="false" verticalCentered="false"/>
  <pageMargins left="0.75" right="0.75" top="1" bottom="1"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99CCFF"/>
    <pageSetUpPr fitToPage="false"/>
  </sheetPr>
  <dimension ref="A1:W17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D192" activeCellId="0" sqref="D192"/>
    </sheetView>
  </sheetViews>
  <sheetFormatPr defaultColWidth="9.18359375" defaultRowHeight="12" customHeight="true" zeroHeight="false" outlineLevelRow="0" outlineLevelCol="0"/>
  <cols>
    <col collapsed="false" customWidth="true" hidden="false" outlineLevel="0" max="1" min="1" style="1512" width="30.82"/>
    <col collapsed="false" customWidth="true" hidden="false" outlineLevel="0" max="2" min="2" style="1512" width="12.73"/>
    <col collapsed="false" customWidth="true" hidden="false" outlineLevel="0" max="3" min="3" style="1512" width="17"/>
    <col collapsed="false" customWidth="true" hidden="false" outlineLevel="0" max="4" min="4" style="1512" width="12.73"/>
    <col collapsed="false" customWidth="true" hidden="false" outlineLevel="0" max="6" min="5" style="1512" width="12.18"/>
    <col collapsed="false" customWidth="true" hidden="false" outlineLevel="0" max="7" min="7" style="1512" width="12"/>
    <col collapsed="false" customWidth="true" hidden="false" outlineLevel="0" max="9" min="8" style="1512" width="9.27"/>
    <col collapsed="false" customWidth="true" hidden="false" outlineLevel="0" max="10" min="10" style="1512" width="12"/>
    <col collapsed="false" customWidth="true" hidden="false" outlineLevel="0" max="12" min="11" style="1512" width="9.27"/>
    <col collapsed="false" customWidth="true" hidden="false" outlineLevel="0" max="13" min="13" style="1512" width="12"/>
    <col collapsed="false" customWidth="true" hidden="false" outlineLevel="0" max="14" min="14" style="1512" width="9.54"/>
    <col collapsed="false" customWidth="true" hidden="false" outlineLevel="0" max="15" min="15" style="1512" width="10.45"/>
    <col collapsed="false" customWidth="true" hidden="false" outlineLevel="0" max="18" min="16" style="1512" width="10.82"/>
    <col collapsed="false" customWidth="true" hidden="false" outlineLevel="0" max="19" min="19" style="1512" width="9.45"/>
    <col collapsed="false" customWidth="true" hidden="false" outlineLevel="0" max="21" min="20" style="1512" width="9.27"/>
    <col collapsed="false" customWidth="false" hidden="false" outlineLevel="0" max="16384" min="22" style="1512" width="9.18"/>
  </cols>
  <sheetData>
    <row r="1" customFormat="false" ht="15" hidden="false" customHeight="true" outlineLevel="0" collapsed="false">
      <c r="A1" s="1513" t="s">
        <v>2066</v>
      </c>
      <c r="B1" s="1514"/>
      <c r="C1" s="1514"/>
      <c r="D1" s="1514"/>
      <c r="E1" s="1514"/>
      <c r="F1" s="1514"/>
      <c r="G1" s="1514"/>
      <c r="H1" s="1514"/>
      <c r="I1" s="1514"/>
      <c r="J1" s="1514"/>
      <c r="K1" s="1514"/>
      <c r="L1" s="1514"/>
      <c r="M1" s="1514"/>
      <c r="N1" s="1514"/>
      <c r="O1" s="1514"/>
      <c r="P1" s="1514"/>
      <c r="Q1" s="1514"/>
      <c r="R1" s="1514"/>
      <c r="S1" s="1514"/>
      <c r="T1" s="1514"/>
      <c r="U1" s="1514"/>
      <c r="V1" s="1514"/>
      <c r="W1" s="1514"/>
    </row>
    <row r="2" customFormat="false" ht="12" hidden="false" customHeight="true" outlineLevel="0" collapsed="false">
      <c r="A2" s="1514"/>
      <c r="B2" s="1514" t="str">
        <f aca="false">'3Y Tbls'!AL1</f>
        <v>Year 1</v>
      </c>
      <c r="C2" s="1514" t="str">
        <f aca="false">'3Y Tbls'!AM1</f>
        <v>Year 2</v>
      </c>
      <c r="D2" s="1514" t="str">
        <f aca="false">'3Y Tbls'!AN1</f>
        <v>Year 3</v>
      </c>
      <c r="E2" s="1514"/>
      <c r="F2" s="1514"/>
      <c r="G2" s="1514"/>
      <c r="H2" s="1514"/>
      <c r="I2" s="1514"/>
      <c r="J2" s="1514"/>
      <c r="K2" s="1514"/>
      <c r="L2" s="1514"/>
      <c r="M2" s="1514"/>
      <c r="N2" s="1514"/>
      <c r="O2" s="1514"/>
      <c r="P2" s="1514"/>
      <c r="Q2" s="1514"/>
      <c r="R2" s="1514"/>
      <c r="S2" s="1514"/>
      <c r="T2" s="1514"/>
      <c r="U2" s="1514"/>
      <c r="V2" s="1514"/>
      <c r="W2" s="1514"/>
    </row>
    <row r="3" customFormat="false" ht="12" hidden="false" customHeight="true" outlineLevel="0" collapsed="false">
      <c r="A3" s="1514" t="str">
        <f aca="false">'Graphs 5Y'!A3</f>
        <v>Revenue</v>
      </c>
      <c r="B3" s="1514" t="n">
        <f aca="false">'Tables 5Y'!CD2</f>
        <v>0</v>
      </c>
      <c r="C3" s="1514" t="n">
        <f aca="false">'Tables 5Y'!CE2</f>
        <v>0</v>
      </c>
      <c r="D3" s="1514" t="n">
        <f aca="false">'Tables 5Y'!CF2</f>
        <v>0</v>
      </c>
      <c r="E3" s="1514"/>
      <c r="F3" s="1514"/>
      <c r="G3" s="1514"/>
      <c r="H3" s="1514"/>
      <c r="I3" s="1514"/>
      <c r="J3" s="1514"/>
      <c r="K3" s="1514"/>
      <c r="L3" s="1514"/>
      <c r="M3" s="1514"/>
      <c r="N3" s="1514"/>
      <c r="O3" s="1514"/>
      <c r="P3" s="1514"/>
      <c r="Q3" s="1514"/>
      <c r="R3" s="1514"/>
      <c r="S3" s="1514"/>
      <c r="T3" s="1514"/>
      <c r="U3" s="1514"/>
      <c r="V3" s="1514"/>
      <c r="W3" s="1514"/>
    </row>
    <row r="4" customFormat="false" ht="12" hidden="false" customHeight="true" outlineLevel="0" collapsed="false">
      <c r="A4" s="1514"/>
      <c r="B4" s="1514"/>
      <c r="C4" s="1514"/>
      <c r="D4" s="1514"/>
      <c r="E4" s="1514"/>
      <c r="F4" s="1514"/>
      <c r="G4" s="1514"/>
      <c r="H4" s="1514"/>
      <c r="I4" s="1514"/>
      <c r="J4" s="1514"/>
      <c r="K4" s="1514"/>
      <c r="L4" s="1514"/>
      <c r="M4" s="1514"/>
      <c r="N4" s="1514"/>
      <c r="O4" s="1514"/>
      <c r="P4" s="1514"/>
      <c r="Q4" s="1514"/>
      <c r="R4" s="1514"/>
      <c r="S4" s="1514"/>
      <c r="T4" s="1514"/>
      <c r="U4" s="1514"/>
      <c r="V4" s="1514"/>
      <c r="W4" s="1514"/>
    </row>
    <row r="5" customFormat="false" ht="12" hidden="false" customHeight="true" outlineLevel="0" collapsed="false">
      <c r="A5" s="1514" t="str">
        <f aca="false">'Graphs 5Y'!A5</f>
        <v>Operating Expenses</v>
      </c>
      <c r="B5" s="1514" t="n">
        <f aca="false">'Tables 5Y'!CD21</f>
        <v>7158057.74494405</v>
      </c>
      <c r="C5" s="1514" t="n">
        <f aca="false">'Tables 5Y'!CE21</f>
        <v>20895282.5696614</v>
      </c>
      <c r="D5" s="1514" t="n">
        <f aca="false">'Tables 5Y'!CF21</f>
        <v>35027776.063542</v>
      </c>
      <c r="E5" s="1514"/>
      <c r="F5" s="1514"/>
      <c r="G5" s="1514"/>
      <c r="H5" s="1514"/>
      <c r="I5" s="1514"/>
      <c r="J5" s="1514"/>
      <c r="K5" s="1514"/>
      <c r="L5" s="1514"/>
      <c r="M5" s="1514"/>
      <c r="N5" s="1514"/>
      <c r="O5" s="1514"/>
      <c r="P5" s="1514"/>
      <c r="Q5" s="1514"/>
      <c r="R5" s="1514"/>
      <c r="S5" s="1514"/>
      <c r="T5" s="1514"/>
      <c r="U5" s="1514"/>
      <c r="V5" s="1514"/>
      <c r="W5" s="1514"/>
    </row>
    <row r="6" customFormat="false" ht="12" hidden="false" customHeight="true" outlineLevel="0" collapsed="false">
      <c r="A6" s="1514" t="str">
        <f aca="false">'Graphs 5Y'!A6</f>
        <v>Net Profit</v>
      </c>
      <c r="B6" s="1514" t="n">
        <f aca="false">'Tables 5Y'!CD28</f>
        <v>0</v>
      </c>
      <c r="C6" s="1514" t="n">
        <f aca="false">'Tables 5Y'!CE28</f>
        <v>0</v>
      </c>
      <c r="D6" s="1514" t="n">
        <f aca="false">'Tables 5Y'!CF28</f>
        <v>0</v>
      </c>
      <c r="E6" s="1514"/>
      <c r="F6" s="1514"/>
      <c r="G6" s="1514"/>
      <c r="H6" s="1514"/>
      <c r="I6" s="1514"/>
      <c r="J6" s="1514"/>
      <c r="K6" s="1514"/>
      <c r="L6" s="1514"/>
      <c r="M6" s="1514"/>
      <c r="N6" s="1514"/>
      <c r="O6" s="1514"/>
      <c r="P6" s="1514"/>
      <c r="Q6" s="1514"/>
      <c r="R6" s="1514"/>
      <c r="S6" s="1514"/>
      <c r="T6" s="1514"/>
      <c r="U6" s="1514"/>
      <c r="V6" s="1514"/>
      <c r="W6" s="1514"/>
    </row>
    <row r="7" customFormat="false" ht="12" hidden="false" customHeight="true" outlineLevel="0" collapsed="false">
      <c r="A7" s="1514"/>
      <c r="B7" s="1514"/>
      <c r="C7" s="1514"/>
      <c r="D7" s="1514"/>
      <c r="E7" s="1514"/>
      <c r="F7" s="1514"/>
      <c r="G7" s="1514"/>
      <c r="H7" s="1514"/>
      <c r="I7" s="1514"/>
      <c r="J7" s="1514"/>
      <c r="K7" s="1514"/>
      <c r="L7" s="1514"/>
      <c r="M7" s="1514"/>
      <c r="N7" s="1514"/>
      <c r="O7" s="1514"/>
      <c r="P7" s="1514"/>
      <c r="Q7" s="1514"/>
      <c r="R7" s="1514"/>
      <c r="S7" s="1514"/>
      <c r="T7" s="1514"/>
      <c r="U7" s="1514"/>
      <c r="V7" s="1514"/>
      <c r="W7" s="1514"/>
    </row>
    <row r="8" customFormat="false" ht="12" hidden="false" customHeight="true" outlineLevel="0" collapsed="false">
      <c r="A8" s="1514"/>
      <c r="B8" s="1514"/>
      <c r="C8" s="1514"/>
      <c r="D8" s="1514"/>
      <c r="E8" s="1514"/>
      <c r="F8" s="1514"/>
      <c r="G8" s="1514"/>
      <c r="H8" s="1514"/>
      <c r="I8" s="1514"/>
      <c r="J8" s="1514"/>
      <c r="K8" s="1514"/>
      <c r="L8" s="1514"/>
      <c r="M8" s="1514"/>
      <c r="N8" s="1514"/>
      <c r="O8" s="1514"/>
      <c r="P8" s="1514"/>
      <c r="Q8" s="1514"/>
      <c r="R8" s="1514"/>
      <c r="S8" s="1514"/>
      <c r="T8" s="1514"/>
      <c r="U8" s="1514"/>
      <c r="V8" s="1514"/>
      <c r="W8" s="1514"/>
    </row>
    <row r="9" customFormat="false" ht="12" hidden="false" customHeight="true" outlineLevel="0" collapsed="false">
      <c r="A9" s="1514"/>
      <c r="B9" s="1514"/>
      <c r="C9" s="1514"/>
      <c r="D9" s="1514"/>
      <c r="E9" s="1514"/>
      <c r="F9" s="1514"/>
      <c r="G9" s="1514"/>
      <c r="H9" s="1514"/>
      <c r="I9" s="1514"/>
      <c r="J9" s="1514"/>
      <c r="K9" s="1514"/>
      <c r="L9" s="1514"/>
      <c r="M9" s="1514"/>
      <c r="N9" s="1514"/>
      <c r="O9" s="1514"/>
      <c r="P9" s="1514"/>
      <c r="Q9" s="1514"/>
      <c r="R9" s="1514"/>
      <c r="S9" s="1514"/>
      <c r="T9" s="1514"/>
      <c r="U9" s="1514"/>
      <c r="V9" s="1514"/>
      <c r="W9" s="1514"/>
    </row>
    <row r="10" customFormat="false" ht="12" hidden="false" customHeight="true" outlineLevel="0" collapsed="false">
      <c r="A10" s="1514"/>
      <c r="B10" s="1514"/>
      <c r="C10" s="1514"/>
      <c r="D10" s="1514"/>
      <c r="E10" s="1514"/>
      <c r="F10" s="1514"/>
      <c r="G10" s="1514"/>
      <c r="H10" s="1514"/>
      <c r="I10" s="1514"/>
      <c r="J10" s="1514"/>
      <c r="K10" s="1514"/>
      <c r="L10" s="1514"/>
      <c r="M10" s="1514"/>
      <c r="N10" s="1514"/>
      <c r="O10" s="1514"/>
      <c r="P10" s="1514"/>
      <c r="Q10" s="1514"/>
      <c r="R10" s="1514"/>
      <c r="S10" s="1514"/>
      <c r="T10" s="1514"/>
      <c r="U10" s="1514"/>
      <c r="V10" s="1514"/>
      <c r="W10" s="1514"/>
    </row>
    <row r="11" customFormat="false" ht="12" hidden="false" customHeight="true" outlineLevel="0" collapsed="false">
      <c r="A11" s="1514"/>
      <c r="B11" s="1514"/>
      <c r="C11" s="1514"/>
      <c r="D11" s="1514"/>
      <c r="E11" s="1514"/>
      <c r="F11" s="1514"/>
      <c r="G11" s="1514"/>
      <c r="H11" s="1514"/>
      <c r="I11" s="1514"/>
      <c r="J11" s="1514"/>
      <c r="K11" s="1514"/>
      <c r="L11" s="1514"/>
      <c r="M11" s="1514"/>
      <c r="N11" s="1514"/>
      <c r="O11" s="1514"/>
      <c r="P11" s="1514"/>
      <c r="Q11" s="1514"/>
      <c r="R11" s="1514"/>
      <c r="S11" s="1514"/>
      <c r="T11" s="1514"/>
      <c r="U11" s="1514"/>
      <c r="V11" s="1514"/>
      <c r="W11" s="1514"/>
    </row>
    <row r="12" customFormat="false" ht="12" hidden="false" customHeight="true" outlineLevel="0" collapsed="false">
      <c r="A12" s="1514"/>
      <c r="B12" s="1514"/>
      <c r="C12" s="1514"/>
      <c r="D12" s="1514"/>
      <c r="E12" s="1514"/>
      <c r="F12" s="1514"/>
      <c r="G12" s="1514"/>
      <c r="H12" s="1514"/>
      <c r="I12" s="1514"/>
      <c r="J12" s="1514"/>
      <c r="K12" s="1514"/>
      <c r="L12" s="1514"/>
      <c r="M12" s="1514"/>
      <c r="N12" s="1514"/>
      <c r="O12" s="1514"/>
      <c r="P12" s="1514"/>
      <c r="Q12" s="1514"/>
      <c r="R12" s="1514"/>
      <c r="S12" s="1514"/>
      <c r="T12" s="1514"/>
      <c r="U12" s="1514"/>
      <c r="V12" s="1514"/>
      <c r="W12" s="1514"/>
    </row>
    <row r="13" customFormat="false" ht="12" hidden="false" customHeight="true" outlineLevel="0" collapsed="false">
      <c r="A13" s="1514"/>
      <c r="B13" s="1514"/>
      <c r="C13" s="1514"/>
      <c r="D13" s="1514"/>
      <c r="E13" s="1514"/>
      <c r="F13" s="1514"/>
      <c r="G13" s="1514"/>
      <c r="H13" s="1514"/>
      <c r="I13" s="1514"/>
      <c r="J13" s="1514"/>
      <c r="K13" s="1514"/>
      <c r="L13" s="1514"/>
      <c r="M13" s="1514"/>
      <c r="N13" s="1514"/>
      <c r="O13" s="1514"/>
      <c r="P13" s="1514"/>
      <c r="Q13" s="1514"/>
      <c r="R13" s="1514"/>
      <c r="S13" s="1514"/>
      <c r="T13" s="1514"/>
      <c r="U13" s="1514"/>
      <c r="V13" s="1514"/>
      <c r="W13" s="1514"/>
    </row>
    <row r="14" customFormat="false" ht="12" hidden="false" customHeight="true" outlineLevel="0" collapsed="false">
      <c r="A14" s="1514"/>
      <c r="B14" s="1514"/>
      <c r="C14" s="1514"/>
      <c r="D14" s="1514"/>
      <c r="E14" s="1514"/>
      <c r="F14" s="1514"/>
      <c r="G14" s="1514"/>
      <c r="H14" s="1514"/>
      <c r="I14" s="1514"/>
      <c r="J14" s="1514"/>
      <c r="K14" s="1514"/>
      <c r="L14" s="1514"/>
      <c r="M14" s="1514"/>
      <c r="N14" s="1514"/>
      <c r="O14" s="1514"/>
      <c r="P14" s="1514"/>
      <c r="Q14" s="1514"/>
      <c r="R14" s="1514"/>
      <c r="S14" s="1514"/>
      <c r="T14" s="1514"/>
      <c r="U14" s="1514"/>
      <c r="V14" s="1514"/>
      <c r="W14" s="1514"/>
    </row>
    <row r="15" customFormat="false" ht="12.75" hidden="false" customHeight="true" outlineLevel="0" collapsed="false">
      <c r="A15" s="1516"/>
      <c r="B15" s="1514"/>
      <c r="C15" s="1514"/>
      <c r="D15" s="1514"/>
      <c r="E15" s="1514"/>
      <c r="F15" s="1514"/>
      <c r="G15" s="1514"/>
      <c r="H15" s="1514"/>
      <c r="I15" s="1514"/>
      <c r="J15" s="1514"/>
      <c r="K15" s="1514"/>
      <c r="L15" s="1514"/>
      <c r="M15" s="1514"/>
      <c r="N15" s="1514"/>
      <c r="O15" s="1514"/>
      <c r="P15" s="1514"/>
      <c r="Q15" s="1514"/>
      <c r="R15" s="1514"/>
      <c r="S15" s="1514"/>
      <c r="T15" s="1514"/>
      <c r="U15" s="1514"/>
      <c r="V15" s="1514"/>
      <c r="W15" s="1514"/>
    </row>
    <row r="16" customFormat="false" ht="12" hidden="false" customHeight="true" outlineLevel="0" collapsed="false">
      <c r="A16" s="1514"/>
      <c r="B16" s="1514"/>
      <c r="C16" s="1514"/>
      <c r="D16" s="1514"/>
      <c r="E16" s="1514"/>
      <c r="F16" s="1514"/>
      <c r="G16" s="1514"/>
      <c r="H16" s="1514"/>
      <c r="I16" s="1514"/>
      <c r="J16" s="1514"/>
      <c r="K16" s="1514"/>
      <c r="L16" s="1514"/>
      <c r="M16" s="1514"/>
      <c r="N16" s="1514"/>
      <c r="O16" s="1514"/>
      <c r="P16" s="1514"/>
      <c r="Q16" s="1514"/>
      <c r="R16" s="1514"/>
      <c r="S16" s="1514"/>
      <c r="T16" s="1514"/>
      <c r="U16" s="1514"/>
      <c r="V16" s="1514"/>
      <c r="W16" s="1514"/>
    </row>
    <row r="17" customFormat="false" ht="12" hidden="false" customHeight="true" outlineLevel="0" collapsed="false">
      <c r="A17" s="1514"/>
      <c r="B17" s="1514"/>
      <c r="C17" s="1514"/>
      <c r="D17" s="1514"/>
      <c r="E17" s="1514"/>
      <c r="F17" s="1514"/>
      <c r="G17" s="1514"/>
      <c r="H17" s="1514"/>
      <c r="I17" s="1514"/>
      <c r="J17" s="1514"/>
      <c r="K17" s="1514"/>
      <c r="L17" s="1514"/>
      <c r="M17" s="1514"/>
      <c r="N17" s="1514"/>
      <c r="O17" s="1514"/>
      <c r="P17" s="1514"/>
      <c r="Q17" s="1514"/>
      <c r="R17" s="1514"/>
      <c r="S17" s="1514"/>
      <c r="T17" s="1514"/>
      <c r="U17" s="1514"/>
      <c r="V17" s="1514"/>
      <c r="W17" s="1514"/>
    </row>
    <row r="18" customFormat="false" ht="12" hidden="false" customHeight="true" outlineLevel="0" collapsed="false">
      <c r="A18" s="1514"/>
      <c r="B18" s="1514"/>
      <c r="C18" s="1514"/>
      <c r="D18" s="1514"/>
      <c r="E18" s="1514"/>
      <c r="F18" s="1514"/>
      <c r="G18" s="1514"/>
      <c r="H18" s="1514"/>
      <c r="I18" s="1514"/>
      <c r="J18" s="1514"/>
      <c r="K18" s="1514"/>
      <c r="L18" s="1514"/>
      <c r="M18" s="1514"/>
      <c r="N18" s="1514"/>
      <c r="O18" s="1514"/>
      <c r="P18" s="1514"/>
      <c r="Q18" s="1514"/>
      <c r="R18" s="1514"/>
      <c r="S18" s="1514"/>
      <c r="T18" s="1514"/>
      <c r="U18" s="1514"/>
      <c r="V18" s="1514"/>
      <c r="W18" s="1514"/>
    </row>
    <row r="19" customFormat="false" ht="12" hidden="false" customHeight="true" outlineLevel="0" collapsed="false">
      <c r="A19" s="1514"/>
      <c r="B19" s="1514"/>
      <c r="C19" s="1514"/>
      <c r="D19" s="1514"/>
      <c r="E19" s="1514"/>
      <c r="F19" s="1514"/>
      <c r="G19" s="1514"/>
      <c r="H19" s="1514"/>
      <c r="I19" s="1514"/>
      <c r="J19" s="1514"/>
      <c r="K19" s="1514"/>
      <c r="L19" s="1514"/>
      <c r="M19" s="1514"/>
      <c r="N19" s="1514"/>
      <c r="O19" s="1514"/>
      <c r="P19" s="1514"/>
      <c r="Q19" s="1514"/>
      <c r="R19" s="1514"/>
      <c r="S19" s="1514"/>
      <c r="T19" s="1514"/>
      <c r="U19" s="1514"/>
      <c r="V19" s="1514"/>
      <c r="W19" s="1514"/>
    </row>
    <row r="20" customFormat="false" ht="12" hidden="false" customHeight="true" outlineLevel="0" collapsed="false">
      <c r="A20" s="1514"/>
      <c r="B20" s="1514"/>
      <c r="C20" s="1514"/>
      <c r="D20" s="1514"/>
      <c r="E20" s="1514"/>
      <c r="F20" s="1514"/>
      <c r="G20" s="1514"/>
      <c r="H20" s="1514"/>
      <c r="I20" s="1514"/>
      <c r="J20" s="1514"/>
      <c r="K20" s="1514"/>
      <c r="L20" s="1514"/>
      <c r="M20" s="1514"/>
      <c r="N20" s="1514"/>
      <c r="O20" s="1514"/>
      <c r="P20" s="1514"/>
      <c r="Q20" s="1514"/>
      <c r="R20" s="1514"/>
      <c r="S20" s="1514"/>
      <c r="T20" s="1514"/>
      <c r="U20" s="1514"/>
      <c r="V20" s="1514"/>
      <c r="W20" s="1514"/>
    </row>
    <row r="21" customFormat="false" ht="12" hidden="false" customHeight="true" outlineLevel="0" collapsed="false">
      <c r="A21" s="1514"/>
      <c r="B21" s="1514"/>
      <c r="C21" s="1514"/>
      <c r="D21" s="1514"/>
      <c r="E21" s="1514"/>
      <c r="F21" s="1514"/>
      <c r="G21" s="1514"/>
      <c r="H21" s="1514"/>
      <c r="I21" s="1514"/>
      <c r="J21" s="1514"/>
      <c r="K21" s="1514"/>
      <c r="L21" s="1514"/>
      <c r="M21" s="1514"/>
      <c r="N21" s="1514"/>
      <c r="O21" s="1514"/>
      <c r="P21" s="1514"/>
      <c r="Q21" s="1514"/>
      <c r="R21" s="1514"/>
      <c r="S21" s="1514"/>
      <c r="T21" s="1514"/>
      <c r="U21" s="1514"/>
      <c r="V21" s="1514"/>
      <c r="W21" s="1514"/>
    </row>
    <row r="22" customFormat="false" ht="12" hidden="false" customHeight="true" outlineLevel="0" collapsed="false">
      <c r="A22" s="1514"/>
      <c r="B22" s="1514"/>
      <c r="C22" s="1514"/>
      <c r="D22" s="1514"/>
      <c r="E22" s="1514"/>
      <c r="F22" s="1514"/>
      <c r="G22" s="1514"/>
      <c r="H22" s="1514"/>
      <c r="I22" s="1514"/>
      <c r="J22" s="1514"/>
      <c r="K22" s="1514"/>
      <c r="L22" s="1514"/>
      <c r="M22" s="1514"/>
      <c r="N22" s="1514"/>
      <c r="O22" s="1514"/>
      <c r="P22" s="1514"/>
      <c r="Q22" s="1514"/>
      <c r="R22" s="1514"/>
      <c r="S22" s="1514"/>
      <c r="T22" s="1514"/>
      <c r="U22" s="1514"/>
      <c r="V22" s="1514"/>
      <c r="W22" s="1514"/>
    </row>
    <row r="23" customFormat="false" ht="12" hidden="false" customHeight="true" outlineLevel="0" collapsed="false">
      <c r="A23" s="1514"/>
      <c r="B23" s="1514"/>
      <c r="C23" s="1514"/>
      <c r="D23" s="1514"/>
      <c r="E23" s="1514"/>
      <c r="F23" s="1514"/>
      <c r="G23" s="1514"/>
      <c r="H23" s="1514"/>
      <c r="I23" s="1514"/>
      <c r="J23" s="1514"/>
      <c r="K23" s="1514"/>
      <c r="L23" s="1514"/>
      <c r="M23" s="1514"/>
      <c r="N23" s="1514"/>
      <c r="O23" s="1514"/>
      <c r="P23" s="1514"/>
      <c r="Q23" s="1514"/>
      <c r="R23" s="1514"/>
      <c r="S23" s="1514"/>
      <c r="T23" s="1514"/>
      <c r="U23" s="1514"/>
      <c r="V23" s="1514"/>
      <c r="W23" s="1514"/>
    </row>
    <row r="24" customFormat="false" ht="12" hidden="false" customHeight="true" outlineLevel="0" collapsed="false">
      <c r="A24" s="1514"/>
      <c r="B24" s="1514"/>
      <c r="C24" s="1514"/>
      <c r="D24" s="1514"/>
      <c r="E24" s="1514"/>
      <c r="F24" s="1514"/>
      <c r="G24" s="1514"/>
      <c r="H24" s="1514"/>
      <c r="I24" s="1514"/>
      <c r="J24" s="1514"/>
      <c r="K24" s="1514"/>
      <c r="L24" s="1514"/>
      <c r="M24" s="1514"/>
      <c r="N24" s="1514"/>
      <c r="O24" s="1514"/>
      <c r="P24" s="1514"/>
      <c r="Q24" s="1514"/>
      <c r="R24" s="1514"/>
      <c r="S24" s="1514"/>
      <c r="T24" s="1514"/>
      <c r="U24" s="1514"/>
      <c r="V24" s="1514"/>
      <c r="W24" s="1514"/>
    </row>
    <row r="25" customFormat="false" ht="12" hidden="false" customHeight="true" outlineLevel="0" collapsed="false">
      <c r="A25" s="1514"/>
      <c r="B25" s="1514"/>
      <c r="C25" s="1514"/>
      <c r="D25" s="1514"/>
      <c r="E25" s="1514"/>
      <c r="F25" s="1514"/>
      <c r="G25" s="1514"/>
      <c r="H25" s="1514"/>
      <c r="I25" s="1514"/>
      <c r="J25" s="1514"/>
      <c r="K25" s="1514"/>
      <c r="L25" s="1514"/>
      <c r="M25" s="1514"/>
      <c r="N25" s="1514"/>
      <c r="O25" s="1514"/>
      <c r="P25" s="1514"/>
      <c r="Q25" s="1514"/>
      <c r="R25" s="1514"/>
      <c r="S25" s="1514"/>
      <c r="T25" s="1514"/>
      <c r="U25" s="1514"/>
      <c r="V25" s="1514"/>
      <c r="W25" s="1514"/>
    </row>
    <row r="26" customFormat="false" ht="12" hidden="false" customHeight="true" outlineLevel="0" collapsed="false">
      <c r="A26" s="1514"/>
      <c r="B26" s="1514"/>
      <c r="C26" s="1514"/>
      <c r="D26" s="1514"/>
      <c r="E26" s="1514"/>
      <c r="F26" s="1514"/>
      <c r="G26" s="1514"/>
      <c r="H26" s="1514"/>
      <c r="I26" s="1514"/>
      <c r="J26" s="1514"/>
      <c r="K26" s="1514"/>
      <c r="L26" s="1514"/>
      <c r="M26" s="1514"/>
      <c r="N26" s="1514"/>
      <c r="O26" s="1514"/>
      <c r="P26" s="1514"/>
      <c r="Q26" s="1514"/>
      <c r="R26" s="1514"/>
      <c r="S26" s="1514"/>
      <c r="T26" s="1514"/>
      <c r="U26" s="1514"/>
      <c r="V26" s="1514"/>
      <c r="W26" s="1514"/>
    </row>
    <row r="27" customFormat="false" ht="12" hidden="false" customHeight="true" outlineLevel="0" collapsed="false">
      <c r="A27" s="1514"/>
      <c r="B27" s="1514"/>
      <c r="C27" s="1514"/>
      <c r="D27" s="1514"/>
      <c r="E27" s="1514"/>
      <c r="F27" s="1514"/>
      <c r="G27" s="1514"/>
      <c r="H27" s="1514"/>
      <c r="I27" s="1514"/>
      <c r="J27" s="1514"/>
      <c r="K27" s="1514"/>
      <c r="L27" s="1514"/>
      <c r="M27" s="1514"/>
      <c r="N27" s="1514"/>
      <c r="O27" s="1514"/>
      <c r="P27" s="1514"/>
      <c r="Q27" s="1514"/>
      <c r="R27" s="1514"/>
      <c r="S27" s="1514"/>
      <c r="T27" s="1514"/>
      <c r="U27" s="1514"/>
      <c r="V27" s="1514"/>
      <c r="W27" s="1514"/>
    </row>
    <row r="28" customFormat="false" ht="12" hidden="false" customHeight="true" outlineLevel="0" collapsed="false">
      <c r="A28" s="1514"/>
      <c r="B28" s="1514"/>
      <c r="C28" s="1514"/>
      <c r="D28" s="1514"/>
      <c r="E28" s="1514"/>
      <c r="F28" s="1514"/>
      <c r="G28" s="1514"/>
      <c r="H28" s="1514"/>
      <c r="I28" s="1514"/>
      <c r="J28" s="1514"/>
      <c r="K28" s="1514"/>
      <c r="L28" s="1514"/>
      <c r="M28" s="1514"/>
      <c r="N28" s="1514"/>
      <c r="O28" s="1514"/>
      <c r="P28" s="1514"/>
      <c r="Q28" s="1514"/>
      <c r="R28" s="1514"/>
      <c r="S28" s="1514"/>
      <c r="T28" s="1514"/>
      <c r="U28" s="1514"/>
      <c r="V28" s="1514"/>
      <c r="W28" s="1514"/>
    </row>
    <row r="29" customFormat="false" ht="12" hidden="false" customHeight="true" outlineLevel="0" collapsed="false">
      <c r="A29" s="1514"/>
      <c r="B29" s="1514"/>
      <c r="C29" s="1514"/>
      <c r="D29" s="1514"/>
      <c r="E29" s="1514"/>
      <c r="F29" s="1514"/>
      <c r="G29" s="1514"/>
      <c r="H29" s="1514"/>
      <c r="I29" s="1514"/>
      <c r="J29" s="1514"/>
      <c r="K29" s="1514"/>
      <c r="L29" s="1514"/>
      <c r="M29" s="1514"/>
      <c r="N29" s="1514"/>
      <c r="O29" s="1514"/>
      <c r="P29" s="1514"/>
      <c r="Q29" s="1514"/>
      <c r="R29" s="1514"/>
      <c r="S29" s="1514"/>
      <c r="T29" s="1514"/>
      <c r="U29" s="1514"/>
      <c r="V29" s="1514"/>
      <c r="W29" s="1514"/>
    </row>
    <row r="30" customFormat="false" ht="15" hidden="false" customHeight="true" outlineLevel="0" collapsed="false">
      <c r="A30" s="1513" t="s">
        <v>227</v>
      </c>
      <c r="B30" s="1514"/>
      <c r="C30" s="1514"/>
      <c r="D30" s="1514"/>
      <c r="E30" s="1514"/>
      <c r="F30" s="1514"/>
      <c r="G30" s="1514"/>
      <c r="H30" s="1514"/>
      <c r="I30" s="1514"/>
      <c r="J30" s="1514"/>
      <c r="K30" s="1514"/>
      <c r="L30" s="1514"/>
      <c r="M30" s="1514"/>
      <c r="N30" s="1514"/>
      <c r="O30" s="1514"/>
      <c r="P30" s="1514"/>
      <c r="Q30" s="1514"/>
      <c r="R30" s="1514"/>
      <c r="S30" s="1514"/>
      <c r="T30" s="1514"/>
      <c r="U30" s="1514"/>
      <c r="V30" s="1514"/>
      <c r="W30" s="1514"/>
    </row>
    <row r="31" customFormat="false" ht="12" hidden="false" customHeight="true" outlineLevel="0" collapsed="false">
      <c r="A31" s="1514"/>
      <c r="B31" s="1514" t="str">
        <f aca="false">B2</f>
        <v>Year 1</v>
      </c>
      <c r="C31" s="1514" t="str">
        <f aca="false">C2</f>
        <v>Year 2</v>
      </c>
      <c r="D31" s="1514" t="str">
        <f aca="false">D2</f>
        <v>Year 3</v>
      </c>
      <c r="E31" s="1514"/>
      <c r="F31" s="1514"/>
      <c r="G31" s="1514"/>
      <c r="H31" s="1514"/>
      <c r="I31" s="1514"/>
      <c r="J31" s="1514"/>
      <c r="K31" s="1514"/>
      <c r="L31" s="1514"/>
      <c r="M31" s="1514"/>
      <c r="N31" s="1514"/>
      <c r="O31" s="1514"/>
      <c r="P31" s="1514"/>
      <c r="Q31" s="1514"/>
      <c r="R31" s="1514"/>
      <c r="S31" s="1514"/>
      <c r="T31" s="1514"/>
      <c r="U31" s="1514"/>
      <c r="V31" s="1514"/>
      <c r="W31" s="1514"/>
    </row>
    <row r="32" customFormat="false" ht="12" hidden="false" customHeight="true" outlineLevel="0" collapsed="false">
      <c r="A32" s="1514" t="str">
        <f aca="false">'Tables 5Y'!ET25</f>
        <v>Net Cash Flow</v>
      </c>
      <c r="B32" s="1514" t="n">
        <f aca="false">'Tables 5Y'!EU25</f>
        <v>6344386.38122366</v>
      </c>
      <c r="C32" s="1514" t="n">
        <f aca="false">'Tables 5Y'!EV25</f>
        <v>7591274.12745243</v>
      </c>
      <c r="D32" s="1514" t="n">
        <f aca="false">'Tables 5Y'!EW25</f>
        <v>40237740.4209782</v>
      </c>
      <c r="E32" s="1514"/>
      <c r="F32" s="1514"/>
      <c r="G32" s="1514"/>
      <c r="H32" s="1514"/>
      <c r="I32" s="1514"/>
      <c r="J32" s="1514"/>
      <c r="K32" s="1514"/>
      <c r="L32" s="1514"/>
      <c r="M32" s="1514"/>
      <c r="N32" s="1514"/>
      <c r="O32" s="1514"/>
      <c r="P32" s="1514"/>
      <c r="Q32" s="1514"/>
      <c r="R32" s="1514"/>
      <c r="S32" s="1514"/>
      <c r="T32" s="1514"/>
      <c r="U32" s="1514"/>
      <c r="V32" s="1514"/>
      <c r="W32" s="1514"/>
    </row>
    <row r="33" customFormat="false" ht="12" hidden="false" customHeight="true" outlineLevel="0" collapsed="false">
      <c r="A33" s="1514" t="s">
        <v>1914</v>
      </c>
      <c r="B33" s="1514" t="n">
        <f aca="false">'Tables 5Y'!EU26</f>
        <v>6344386.38122366</v>
      </c>
      <c r="C33" s="1514" t="n">
        <f aca="false">'Tables 5Y'!EV26</f>
        <v>13935660.5086761</v>
      </c>
      <c r="D33" s="1514" t="n">
        <f aca="false">'Tables 5Y'!EW26</f>
        <v>54173400.9296542</v>
      </c>
      <c r="E33" s="1514"/>
      <c r="F33" s="1514"/>
      <c r="G33" s="1514"/>
      <c r="H33" s="1514"/>
      <c r="I33" s="1514"/>
      <c r="J33" s="1514"/>
      <c r="K33" s="1514"/>
      <c r="L33" s="1514"/>
      <c r="M33" s="1514"/>
      <c r="N33" s="1514"/>
      <c r="O33" s="1514"/>
      <c r="P33" s="1514"/>
      <c r="Q33" s="1514"/>
      <c r="R33" s="1514"/>
      <c r="S33" s="1514"/>
      <c r="T33" s="1514"/>
      <c r="U33" s="1514"/>
      <c r="V33" s="1514"/>
      <c r="W33" s="1514"/>
    </row>
    <row r="34" customFormat="false" ht="12" hidden="false" customHeight="true" outlineLevel="0" collapsed="false">
      <c r="A34" s="1514"/>
      <c r="B34" s="1514"/>
      <c r="C34" s="1514"/>
      <c r="D34" s="1514"/>
      <c r="E34" s="1514"/>
      <c r="F34" s="1514"/>
      <c r="G34" s="1514"/>
      <c r="H34" s="1514"/>
      <c r="I34" s="1514"/>
      <c r="J34" s="1514"/>
      <c r="K34" s="1514"/>
      <c r="L34" s="1514"/>
      <c r="M34" s="1514"/>
      <c r="N34" s="1514"/>
      <c r="O34" s="1514"/>
      <c r="P34" s="1514"/>
      <c r="Q34" s="1514"/>
      <c r="R34" s="1514"/>
      <c r="S34" s="1514"/>
      <c r="T34" s="1514"/>
      <c r="U34" s="1514"/>
      <c r="V34" s="1514"/>
      <c r="W34" s="1514"/>
    </row>
    <row r="35" customFormat="false" ht="12" hidden="false" customHeight="true" outlineLevel="0" collapsed="false">
      <c r="A35" s="1514"/>
      <c r="B35" s="1514"/>
      <c r="C35" s="1514"/>
      <c r="D35" s="1514"/>
      <c r="E35" s="1514"/>
      <c r="F35" s="1514"/>
      <c r="G35" s="1514"/>
      <c r="H35" s="1514"/>
      <c r="I35" s="1514"/>
      <c r="J35" s="1514"/>
      <c r="K35" s="1514"/>
      <c r="L35" s="1514"/>
      <c r="M35" s="1514"/>
      <c r="N35" s="1514"/>
      <c r="O35" s="1514"/>
      <c r="P35" s="1514"/>
      <c r="Q35" s="1514"/>
      <c r="R35" s="1514"/>
      <c r="S35" s="1514"/>
      <c r="T35" s="1514"/>
      <c r="U35" s="1514"/>
      <c r="V35" s="1514"/>
      <c r="W35" s="1514"/>
    </row>
    <row r="36" customFormat="false" ht="12" hidden="false" customHeight="true" outlineLevel="0" collapsed="false">
      <c r="A36" s="1514"/>
      <c r="B36" s="1514"/>
      <c r="C36" s="1514"/>
      <c r="D36" s="1514"/>
      <c r="E36" s="1514"/>
      <c r="F36" s="1514"/>
      <c r="G36" s="1514"/>
      <c r="H36" s="1514"/>
      <c r="I36" s="1514"/>
      <c r="J36" s="1514"/>
      <c r="K36" s="1514"/>
      <c r="L36" s="1514"/>
      <c r="M36" s="1514"/>
      <c r="N36" s="1514"/>
      <c r="O36" s="1514"/>
      <c r="P36" s="1514"/>
      <c r="Q36" s="1514"/>
      <c r="R36" s="1514"/>
      <c r="S36" s="1514"/>
      <c r="T36" s="1514"/>
      <c r="U36" s="1514"/>
      <c r="V36" s="1514"/>
      <c r="W36" s="1514"/>
    </row>
    <row r="37" customFormat="false" ht="12" hidden="false" customHeight="true" outlineLevel="0" collapsed="false">
      <c r="A37" s="1514"/>
      <c r="B37" s="1514"/>
      <c r="C37" s="1514"/>
      <c r="D37" s="1514"/>
      <c r="E37" s="1514"/>
      <c r="F37" s="1514"/>
      <c r="G37" s="1514"/>
      <c r="H37" s="1514"/>
      <c r="I37" s="1514"/>
      <c r="J37" s="1514"/>
      <c r="K37" s="1514"/>
      <c r="L37" s="1514"/>
      <c r="M37" s="1514"/>
      <c r="N37" s="1514"/>
      <c r="O37" s="1514"/>
      <c r="P37" s="1514"/>
      <c r="Q37" s="1514"/>
      <c r="R37" s="1514"/>
      <c r="S37" s="1514"/>
      <c r="T37" s="1514"/>
      <c r="U37" s="1514"/>
      <c r="V37" s="1514"/>
      <c r="W37" s="1514"/>
    </row>
    <row r="38" customFormat="false" ht="12" hidden="false" customHeight="true" outlineLevel="0" collapsed="false">
      <c r="A38" s="1514"/>
      <c r="B38" s="1514"/>
      <c r="C38" s="1514"/>
      <c r="D38" s="1514"/>
      <c r="E38" s="1514"/>
      <c r="F38" s="1514"/>
      <c r="G38" s="1514"/>
      <c r="H38" s="1514"/>
      <c r="I38" s="1514"/>
      <c r="J38" s="1514"/>
      <c r="K38" s="1514"/>
      <c r="L38" s="1514"/>
      <c r="M38" s="1514"/>
      <c r="N38" s="1514"/>
      <c r="O38" s="1514"/>
      <c r="P38" s="1514"/>
      <c r="Q38" s="1514"/>
      <c r="R38" s="1514"/>
      <c r="S38" s="1514"/>
      <c r="T38" s="1514"/>
      <c r="U38" s="1514"/>
      <c r="V38" s="1514"/>
      <c r="W38" s="1514"/>
    </row>
    <row r="39" customFormat="false" ht="12" hidden="false" customHeight="true" outlineLevel="0" collapsed="false">
      <c r="A39" s="1514"/>
      <c r="B39" s="1514"/>
      <c r="C39" s="1514"/>
      <c r="D39" s="1514"/>
      <c r="E39" s="1514"/>
      <c r="F39" s="1514"/>
      <c r="G39" s="1514"/>
      <c r="H39" s="1514"/>
      <c r="I39" s="1514"/>
      <c r="J39" s="1514"/>
      <c r="K39" s="1514"/>
      <c r="L39" s="1514"/>
      <c r="M39" s="1514"/>
      <c r="N39" s="1514"/>
      <c r="O39" s="1514"/>
      <c r="P39" s="1514"/>
      <c r="Q39" s="1514"/>
      <c r="R39" s="1514"/>
      <c r="S39" s="1514"/>
      <c r="T39" s="1514"/>
      <c r="U39" s="1514"/>
      <c r="V39" s="1514"/>
      <c r="W39" s="1514"/>
    </row>
    <row r="40" customFormat="false" ht="12" hidden="false" customHeight="true" outlineLevel="0" collapsed="false">
      <c r="A40" s="1514"/>
      <c r="B40" s="1514"/>
      <c r="C40" s="1514"/>
      <c r="D40" s="1514"/>
      <c r="E40" s="1514"/>
      <c r="F40" s="1514"/>
      <c r="G40" s="1514"/>
      <c r="H40" s="1514"/>
      <c r="I40" s="1514"/>
      <c r="J40" s="1514"/>
      <c r="K40" s="1514"/>
      <c r="L40" s="1514"/>
      <c r="M40" s="1514"/>
      <c r="N40" s="1514"/>
      <c r="O40" s="1514"/>
      <c r="P40" s="1514"/>
      <c r="Q40" s="1514"/>
      <c r="R40" s="1514"/>
      <c r="S40" s="1514"/>
      <c r="T40" s="1514"/>
      <c r="U40" s="1514"/>
      <c r="V40" s="1514"/>
      <c r="W40" s="1514"/>
    </row>
    <row r="41" customFormat="false" ht="12" hidden="false" customHeight="true" outlineLevel="0" collapsed="false">
      <c r="A41" s="1514"/>
      <c r="B41" s="1514"/>
      <c r="C41" s="1514"/>
      <c r="D41" s="1514"/>
      <c r="E41" s="1514"/>
      <c r="F41" s="1514"/>
      <c r="G41" s="1514"/>
      <c r="H41" s="1514"/>
      <c r="I41" s="1514"/>
      <c r="J41" s="1514"/>
      <c r="K41" s="1514"/>
      <c r="L41" s="1514"/>
      <c r="M41" s="1514"/>
      <c r="N41" s="1514"/>
      <c r="O41" s="1514"/>
      <c r="P41" s="1514"/>
      <c r="Q41" s="1514"/>
      <c r="R41" s="1514"/>
      <c r="S41" s="1514"/>
      <c r="T41" s="1514"/>
      <c r="U41" s="1514"/>
      <c r="V41" s="1514"/>
      <c r="W41" s="1514"/>
    </row>
    <row r="42" customFormat="false" ht="12" hidden="false" customHeight="true" outlineLevel="0" collapsed="false">
      <c r="A42" s="1514"/>
      <c r="B42" s="1514"/>
      <c r="C42" s="1514"/>
      <c r="D42" s="1514"/>
      <c r="E42" s="1514"/>
      <c r="F42" s="1514"/>
      <c r="G42" s="1514"/>
      <c r="H42" s="1514"/>
      <c r="I42" s="1514"/>
      <c r="J42" s="1514"/>
      <c r="K42" s="1514"/>
      <c r="L42" s="1514"/>
      <c r="M42" s="1514"/>
      <c r="N42" s="1514"/>
      <c r="O42" s="1514"/>
      <c r="P42" s="1514"/>
      <c r="Q42" s="1514"/>
      <c r="R42" s="1514"/>
      <c r="S42" s="1514"/>
      <c r="T42" s="1514"/>
      <c r="U42" s="1514"/>
      <c r="V42" s="1514"/>
      <c r="W42" s="1514"/>
    </row>
    <row r="43" customFormat="false" ht="12" hidden="false" customHeight="true" outlineLevel="0" collapsed="false">
      <c r="A43" s="1514"/>
      <c r="B43" s="1514"/>
      <c r="C43" s="1514"/>
      <c r="D43" s="1514"/>
      <c r="E43" s="1514"/>
      <c r="F43" s="1514"/>
      <c r="G43" s="1514"/>
      <c r="H43" s="1514"/>
      <c r="I43" s="1514"/>
      <c r="J43" s="1514"/>
      <c r="K43" s="1514"/>
      <c r="L43" s="1514"/>
      <c r="M43" s="1514"/>
      <c r="N43" s="1514"/>
      <c r="O43" s="1514"/>
      <c r="P43" s="1514"/>
      <c r="Q43" s="1514"/>
      <c r="R43" s="1514"/>
      <c r="S43" s="1514"/>
      <c r="T43" s="1514"/>
      <c r="U43" s="1514"/>
      <c r="V43" s="1514"/>
      <c r="W43" s="1514"/>
    </row>
    <row r="44" customFormat="false" ht="12" hidden="false" customHeight="true" outlineLevel="0" collapsed="false">
      <c r="A44" s="1514"/>
      <c r="B44" s="1514"/>
      <c r="C44" s="1514"/>
      <c r="D44" s="1514"/>
      <c r="E44" s="1514"/>
      <c r="F44" s="1514"/>
      <c r="G44" s="1514"/>
      <c r="H44" s="1514"/>
      <c r="I44" s="1514"/>
      <c r="J44" s="1514"/>
      <c r="K44" s="1514"/>
      <c r="L44" s="1514"/>
      <c r="M44" s="1514"/>
      <c r="N44" s="1514"/>
      <c r="O44" s="1514"/>
      <c r="P44" s="1514"/>
      <c r="Q44" s="1514"/>
      <c r="R44" s="1514"/>
      <c r="S44" s="1514"/>
      <c r="T44" s="1514"/>
      <c r="U44" s="1514"/>
      <c r="V44" s="1514"/>
      <c r="W44" s="1514"/>
    </row>
    <row r="45" customFormat="false" ht="12" hidden="false" customHeight="true" outlineLevel="0" collapsed="false">
      <c r="A45" s="1514"/>
      <c r="B45" s="1514"/>
      <c r="C45" s="1514"/>
      <c r="D45" s="1514"/>
      <c r="E45" s="1514"/>
      <c r="F45" s="1514"/>
      <c r="G45" s="1514"/>
      <c r="H45" s="1514"/>
      <c r="I45" s="1514"/>
      <c r="J45" s="1514"/>
      <c r="K45" s="1514"/>
      <c r="L45" s="1514"/>
      <c r="M45" s="1514"/>
      <c r="N45" s="1514"/>
      <c r="O45" s="1514"/>
      <c r="P45" s="1514"/>
      <c r="Q45" s="1514"/>
      <c r="R45" s="1514"/>
      <c r="S45" s="1514"/>
      <c r="T45" s="1514"/>
      <c r="U45" s="1514"/>
      <c r="V45" s="1514"/>
      <c r="W45" s="1514"/>
    </row>
    <row r="46" customFormat="false" ht="12" hidden="false" customHeight="true" outlineLevel="0" collapsed="false">
      <c r="A46" s="1514"/>
      <c r="B46" s="1514"/>
      <c r="C46" s="1514"/>
      <c r="D46" s="1514"/>
      <c r="E46" s="1514"/>
      <c r="F46" s="1514"/>
      <c r="G46" s="1514"/>
      <c r="H46" s="1514"/>
      <c r="I46" s="1514"/>
      <c r="J46" s="1514"/>
      <c r="K46" s="1514"/>
      <c r="L46" s="1514"/>
      <c r="M46" s="1514"/>
      <c r="N46" s="1514"/>
      <c r="O46" s="1514"/>
      <c r="P46" s="1514"/>
      <c r="Q46" s="1514"/>
      <c r="R46" s="1514"/>
      <c r="S46" s="1514"/>
      <c r="T46" s="1514"/>
      <c r="U46" s="1514"/>
      <c r="V46" s="1514"/>
      <c r="W46" s="1514"/>
    </row>
    <row r="47" customFormat="false" ht="12" hidden="false" customHeight="true" outlineLevel="0" collapsed="false">
      <c r="A47" s="1514"/>
      <c r="B47" s="1514"/>
      <c r="C47" s="1514"/>
      <c r="D47" s="1514"/>
      <c r="E47" s="1514"/>
      <c r="F47" s="1514"/>
      <c r="G47" s="1514"/>
      <c r="H47" s="1514"/>
      <c r="I47" s="1514"/>
      <c r="J47" s="1514"/>
      <c r="K47" s="1514"/>
      <c r="L47" s="1514"/>
      <c r="M47" s="1514"/>
      <c r="N47" s="1514"/>
      <c r="O47" s="1514"/>
      <c r="P47" s="1514"/>
      <c r="Q47" s="1514"/>
      <c r="R47" s="1514"/>
      <c r="S47" s="1514"/>
      <c r="T47" s="1514"/>
      <c r="U47" s="1514"/>
      <c r="V47" s="1514"/>
      <c r="W47" s="1514"/>
    </row>
    <row r="48" customFormat="false" ht="12" hidden="false" customHeight="true" outlineLevel="0" collapsed="false">
      <c r="A48" s="1514"/>
      <c r="B48" s="1514"/>
      <c r="C48" s="1514"/>
      <c r="D48" s="1514"/>
      <c r="E48" s="1514"/>
      <c r="F48" s="1514"/>
      <c r="G48" s="1514"/>
      <c r="H48" s="1514"/>
      <c r="I48" s="1514"/>
      <c r="J48" s="1514"/>
      <c r="K48" s="1514"/>
      <c r="L48" s="1514"/>
      <c r="M48" s="1514"/>
      <c r="N48" s="1514"/>
      <c r="O48" s="1514"/>
      <c r="P48" s="1514"/>
      <c r="Q48" s="1514"/>
      <c r="R48" s="1514"/>
      <c r="S48" s="1514"/>
      <c r="T48" s="1514"/>
      <c r="U48" s="1514"/>
      <c r="V48" s="1514"/>
      <c r="W48" s="1514"/>
    </row>
    <row r="49" customFormat="false" ht="12" hidden="false" customHeight="true" outlineLevel="0" collapsed="false">
      <c r="A49" s="1514"/>
      <c r="B49" s="1514"/>
      <c r="C49" s="1514"/>
      <c r="D49" s="1514"/>
      <c r="E49" s="1514"/>
      <c r="F49" s="1514"/>
      <c r="G49" s="1514"/>
      <c r="H49" s="1514"/>
      <c r="I49" s="1514"/>
      <c r="J49" s="1514"/>
      <c r="K49" s="1514"/>
      <c r="L49" s="1514"/>
      <c r="M49" s="1514"/>
      <c r="N49" s="1514"/>
      <c r="O49" s="1514"/>
      <c r="P49" s="1514"/>
      <c r="Q49" s="1514"/>
      <c r="R49" s="1514"/>
      <c r="S49" s="1514"/>
      <c r="T49" s="1514"/>
      <c r="U49" s="1514"/>
      <c r="V49" s="1514"/>
      <c r="W49" s="1514"/>
    </row>
    <row r="50" customFormat="false" ht="12" hidden="false" customHeight="true" outlineLevel="0" collapsed="false">
      <c r="A50" s="1514"/>
      <c r="B50" s="1514"/>
      <c r="C50" s="1514"/>
      <c r="D50" s="1514"/>
      <c r="E50" s="1514"/>
      <c r="F50" s="1514"/>
      <c r="G50" s="1514"/>
      <c r="H50" s="1514"/>
      <c r="I50" s="1514"/>
      <c r="J50" s="1514"/>
      <c r="K50" s="1514"/>
      <c r="L50" s="1514"/>
      <c r="M50" s="1514"/>
      <c r="N50" s="1514"/>
      <c r="O50" s="1514"/>
      <c r="P50" s="1514"/>
      <c r="Q50" s="1514"/>
      <c r="R50" s="1514"/>
      <c r="S50" s="1514"/>
      <c r="T50" s="1514"/>
      <c r="U50" s="1514"/>
      <c r="V50" s="1514"/>
      <c r="W50" s="1514"/>
    </row>
    <row r="51" customFormat="false" ht="12" hidden="false" customHeight="true" outlineLevel="0" collapsed="false">
      <c r="A51" s="1514"/>
      <c r="B51" s="1514"/>
      <c r="C51" s="1514"/>
      <c r="D51" s="1514"/>
      <c r="E51" s="1514"/>
      <c r="F51" s="1514"/>
      <c r="G51" s="1514"/>
      <c r="H51" s="1514"/>
      <c r="I51" s="1514"/>
      <c r="J51" s="1514"/>
      <c r="K51" s="1514"/>
      <c r="L51" s="1514"/>
      <c r="M51" s="1514"/>
      <c r="N51" s="1514"/>
      <c r="O51" s="1514"/>
      <c r="P51" s="1514"/>
      <c r="Q51" s="1514"/>
      <c r="R51" s="1514"/>
      <c r="S51" s="1514"/>
      <c r="T51" s="1514"/>
      <c r="U51" s="1514"/>
      <c r="V51" s="1514"/>
      <c r="W51" s="1514"/>
    </row>
    <row r="52" customFormat="false" ht="12" hidden="false" customHeight="true" outlineLevel="0" collapsed="false">
      <c r="A52" s="1514"/>
      <c r="B52" s="1514"/>
      <c r="C52" s="1514"/>
      <c r="D52" s="1514"/>
      <c r="E52" s="1514"/>
      <c r="F52" s="1514"/>
      <c r="G52" s="1514"/>
      <c r="H52" s="1514"/>
      <c r="I52" s="1514"/>
      <c r="J52" s="1514"/>
      <c r="K52" s="1514"/>
      <c r="L52" s="1514"/>
      <c r="M52" s="1514"/>
      <c r="N52" s="1514"/>
      <c r="O52" s="1514"/>
      <c r="P52" s="1514"/>
      <c r="Q52" s="1514"/>
      <c r="R52" s="1514"/>
      <c r="S52" s="1514"/>
      <c r="T52" s="1514"/>
      <c r="U52" s="1514"/>
      <c r="V52" s="1514"/>
      <c r="W52" s="1514"/>
    </row>
    <row r="53" customFormat="false" ht="12" hidden="false" customHeight="true" outlineLevel="0" collapsed="false">
      <c r="A53" s="1514"/>
      <c r="B53" s="1514"/>
      <c r="C53" s="1514"/>
      <c r="D53" s="1514"/>
      <c r="E53" s="1514"/>
      <c r="F53" s="1514"/>
      <c r="G53" s="1514"/>
      <c r="H53" s="1514"/>
      <c r="I53" s="1514"/>
      <c r="J53" s="1514"/>
      <c r="K53" s="1514"/>
      <c r="L53" s="1514"/>
      <c r="M53" s="1514"/>
      <c r="N53" s="1514"/>
      <c r="O53" s="1514"/>
      <c r="P53" s="1514"/>
      <c r="Q53" s="1514"/>
      <c r="R53" s="1514"/>
      <c r="S53" s="1514"/>
      <c r="T53" s="1514"/>
      <c r="U53" s="1514"/>
      <c r="V53" s="1514"/>
      <c r="W53" s="1514"/>
    </row>
    <row r="54" customFormat="false" ht="12" hidden="false" customHeight="true" outlineLevel="0" collapsed="false">
      <c r="A54" s="1514"/>
      <c r="B54" s="1514"/>
      <c r="C54" s="1514"/>
      <c r="D54" s="1514"/>
      <c r="E54" s="1514"/>
      <c r="F54" s="1514"/>
      <c r="G54" s="1514"/>
      <c r="H54" s="1514"/>
      <c r="I54" s="1514"/>
      <c r="J54" s="1514"/>
      <c r="K54" s="1514"/>
      <c r="L54" s="1514"/>
      <c r="M54" s="1514"/>
      <c r="N54" s="1514"/>
      <c r="O54" s="1514"/>
      <c r="P54" s="1514"/>
      <c r="Q54" s="1514"/>
      <c r="R54" s="1514"/>
      <c r="S54" s="1514"/>
      <c r="T54" s="1514"/>
      <c r="U54" s="1514"/>
      <c r="V54" s="1514"/>
      <c r="W54" s="1514"/>
    </row>
    <row r="55" customFormat="false" ht="12" hidden="false" customHeight="true" outlineLevel="0" collapsed="false">
      <c r="A55" s="1514"/>
      <c r="B55" s="1514"/>
      <c r="C55" s="1514"/>
      <c r="D55" s="1514"/>
      <c r="E55" s="1514"/>
      <c r="F55" s="1514"/>
      <c r="G55" s="1514"/>
      <c r="H55" s="1514"/>
      <c r="I55" s="1514"/>
      <c r="J55" s="1514"/>
      <c r="K55" s="1514"/>
      <c r="L55" s="1514"/>
      <c r="M55" s="1514"/>
      <c r="N55" s="1514"/>
      <c r="O55" s="1514"/>
      <c r="P55" s="1514"/>
      <c r="Q55" s="1514"/>
      <c r="R55" s="1514"/>
      <c r="S55" s="1514"/>
      <c r="T55" s="1514"/>
      <c r="U55" s="1514"/>
      <c r="V55" s="1514"/>
      <c r="W55" s="1514"/>
    </row>
    <row r="56" customFormat="false" ht="12" hidden="false" customHeight="true" outlineLevel="0" collapsed="false">
      <c r="A56" s="1514"/>
      <c r="B56" s="1514"/>
      <c r="C56" s="1514"/>
      <c r="D56" s="1514"/>
      <c r="E56" s="1514"/>
      <c r="F56" s="1514"/>
      <c r="G56" s="1514"/>
      <c r="H56" s="1514"/>
      <c r="I56" s="1514"/>
      <c r="J56" s="1514"/>
      <c r="K56" s="1514"/>
      <c r="L56" s="1514"/>
      <c r="M56" s="1514"/>
      <c r="N56" s="1514"/>
      <c r="O56" s="1514"/>
      <c r="P56" s="1514"/>
      <c r="Q56" s="1514"/>
      <c r="R56" s="1514"/>
      <c r="S56" s="1514"/>
      <c r="T56" s="1514"/>
      <c r="U56" s="1514"/>
      <c r="V56" s="1514"/>
      <c r="W56" s="1514"/>
    </row>
    <row r="57" customFormat="false" ht="12" hidden="false" customHeight="true" outlineLevel="0" collapsed="false">
      <c r="A57" s="1514"/>
      <c r="B57" s="1514"/>
      <c r="C57" s="1514"/>
      <c r="D57" s="1514"/>
      <c r="E57" s="1514"/>
      <c r="F57" s="1514"/>
      <c r="G57" s="1514"/>
      <c r="H57" s="1514"/>
      <c r="I57" s="1514"/>
      <c r="J57" s="1514"/>
      <c r="K57" s="1514"/>
      <c r="L57" s="1514"/>
      <c r="M57" s="1514"/>
      <c r="N57" s="1514"/>
      <c r="O57" s="1514"/>
      <c r="P57" s="1514"/>
      <c r="Q57" s="1514"/>
      <c r="R57" s="1514"/>
      <c r="S57" s="1514"/>
      <c r="T57" s="1514"/>
      <c r="U57" s="1514"/>
      <c r="V57" s="1514"/>
      <c r="W57" s="1514"/>
    </row>
    <row r="58" customFormat="false" ht="12" hidden="false" customHeight="true" outlineLevel="0" collapsed="false">
      <c r="A58" s="1514"/>
      <c r="B58" s="1514"/>
      <c r="C58" s="1514"/>
      <c r="D58" s="1514"/>
      <c r="E58" s="1514"/>
      <c r="F58" s="1514"/>
      <c r="G58" s="1514"/>
      <c r="H58" s="1514"/>
      <c r="I58" s="1514"/>
      <c r="J58" s="1514"/>
      <c r="K58" s="1514"/>
      <c r="L58" s="1514"/>
      <c r="M58" s="1514"/>
      <c r="N58" s="1514"/>
      <c r="O58" s="1514"/>
      <c r="P58" s="1514"/>
      <c r="Q58" s="1514"/>
      <c r="R58" s="1514"/>
      <c r="S58" s="1514"/>
      <c r="T58" s="1514"/>
      <c r="U58" s="1514"/>
      <c r="V58" s="1514"/>
      <c r="W58" s="1514"/>
    </row>
    <row r="59" customFormat="false" ht="12" hidden="false" customHeight="true" outlineLevel="0" collapsed="false">
      <c r="A59" s="1514"/>
      <c r="B59" s="1514"/>
      <c r="C59" s="1514"/>
      <c r="D59" s="1514"/>
      <c r="E59" s="1514"/>
      <c r="F59" s="1514"/>
      <c r="G59" s="1514"/>
      <c r="H59" s="1514"/>
      <c r="I59" s="1514"/>
      <c r="J59" s="1514"/>
      <c r="K59" s="1514"/>
      <c r="L59" s="1514"/>
      <c r="M59" s="1514"/>
      <c r="N59" s="1514"/>
      <c r="O59" s="1514"/>
      <c r="P59" s="1514"/>
      <c r="Q59" s="1514"/>
      <c r="R59" s="1514"/>
      <c r="S59" s="1514"/>
      <c r="T59" s="1514"/>
      <c r="U59" s="1514"/>
      <c r="V59" s="1514"/>
      <c r="W59" s="1514"/>
    </row>
    <row r="60" customFormat="false" ht="15" hidden="false" customHeight="true" outlineLevel="0" collapsed="false">
      <c r="A60" s="1513" t="str">
        <f aca="false">'Graphs 5Y'!A60</f>
        <v>Revenue Monthly</v>
      </c>
      <c r="B60" s="1514"/>
      <c r="C60" s="1514"/>
      <c r="D60" s="1514"/>
      <c r="E60" s="1514"/>
      <c r="F60" s="1514"/>
      <c r="G60" s="1514"/>
      <c r="H60" s="1514"/>
      <c r="I60" s="1514"/>
      <c r="J60" s="1514"/>
      <c r="K60" s="1514"/>
      <c r="L60" s="1514"/>
      <c r="M60" s="1514"/>
      <c r="N60" s="1514"/>
      <c r="O60" s="1514"/>
      <c r="P60" s="1514"/>
      <c r="Q60" s="1514"/>
      <c r="R60" s="1514"/>
      <c r="S60" s="1514"/>
      <c r="T60" s="1514"/>
      <c r="U60" s="1514"/>
      <c r="V60" s="1514"/>
      <c r="W60" s="1514"/>
    </row>
    <row r="61" customFormat="false" ht="12.75" hidden="false" customHeight="true" outlineLevel="0" collapsed="false">
      <c r="A61" s="1516"/>
      <c r="B61" s="1514" t="str">
        <f aca="false">'Tables 5Y'!S1</f>
        <v>Month 1</v>
      </c>
      <c r="C61" s="1514" t="str">
        <f aca="false">'Tables 5Y'!T1</f>
        <v>Month 2</v>
      </c>
      <c r="D61" s="1514" t="str">
        <f aca="false">'Tables 5Y'!U1</f>
        <v>Month 3</v>
      </c>
      <c r="E61" s="1514" t="str">
        <f aca="false">'Tables 5Y'!V1</f>
        <v>Month 4</v>
      </c>
      <c r="F61" s="1514" t="str">
        <f aca="false">'Tables 5Y'!W1</f>
        <v>Month 5</v>
      </c>
      <c r="G61" s="1514" t="str">
        <f aca="false">'Tables 5Y'!X1</f>
        <v>Month 6</v>
      </c>
      <c r="H61" s="1514" t="str">
        <f aca="false">'Tables 5Y'!Y1</f>
        <v>Month 7</v>
      </c>
      <c r="I61" s="1514" t="str">
        <f aca="false">'Tables 5Y'!Z1</f>
        <v>Month 8</v>
      </c>
      <c r="J61" s="1514" t="str">
        <f aca="false">'Tables 5Y'!AA1</f>
        <v>Month 9</v>
      </c>
      <c r="K61" s="1514" t="str">
        <f aca="false">'Tables 5Y'!AB1</f>
        <v>Month 10</v>
      </c>
      <c r="L61" s="1514" t="str">
        <f aca="false">'Tables 5Y'!AC1</f>
        <v>Month 11</v>
      </c>
      <c r="M61" s="1514" t="str">
        <f aca="false">'Tables 5Y'!AD1</f>
        <v>Month 12</v>
      </c>
      <c r="N61" s="1514"/>
      <c r="O61" s="1514"/>
      <c r="P61" s="1514"/>
      <c r="Q61" s="1514"/>
      <c r="R61" s="1514"/>
      <c r="S61" s="1514"/>
      <c r="T61" s="1516"/>
      <c r="U61" s="1514"/>
      <c r="V61" s="1514"/>
      <c r="W61" s="1514"/>
    </row>
    <row r="62" customFormat="false" ht="12" hidden="false" customHeight="true" outlineLevel="0" collapsed="false">
      <c r="A62" s="1514"/>
      <c r="B62" s="1514"/>
      <c r="C62" s="1514"/>
      <c r="D62" s="1514"/>
      <c r="E62" s="1514"/>
      <c r="F62" s="1514"/>
      <c r="G62" s="1514"/>
      <c r="H62" s="1514"/>
      <c r="I62" s="1514"/>
      <c r="J62" s="1514"/>
      <c r="K62" s="1514"/>
      <c r="L62" s="1514"/>
      <c r="M62" s="1514"/>
      <c r="N62" s="1514"/>
      <c r="O62" s="1514"/>
      <c r="P62" s="1514"/>
      <c r="Q62" s="1514"/>
      <c r="R62" s="1514"/>
      <c r="S62" s="1514"/>
      <c r="T62" s="1514"/>
      <c r="U62" s="1514"/>
      <c r="V62" s="1514"/>
      <c r="W62" s="1514"/>
    </row>
    <row r="63" customFormat="false" ht="12" hidden="false" customHeight="true" outlineLevel="0" collapsed="false">
      <c r="A63" s="1514"/>
      <c r="B63" s="1514"/>
      <c r="C63" s="1514"/>
      <c r="D63" s="1514"/>
      <c r="E63" s="1514"/>
      <c r="F63" s="1514"/>
      <c r="G63" s="1514"/>
      <c r="H63" s="1514"/>
      <c r="I63" s="1514"/>
      <c r="J63" s="1514"/>
      <c r="K63" s="1514"/>
      <c r="L63" s="1514"/>
      <c r="M63" s="1514"/>
      <c r="N63" s="1514"/>
      <c r="O63" s="1514"/>
      <c r="P63" s="1514"/>
      <c r="Q63" s="1514"/>
      <c r="R63" s="1514"/>
      <c r="S63" s="1514"/>
      <c r="T63" s="1514"/>
      <c r="U63" s="1514"/>
      <c r="V63" s="1514"/>
      <c r="W63" s="1514"/>
    </row>
    <row r="64" customFormat="false" ht="12" hidden="false" customHeight="true" outlineLevel="0" collapsed="false">
      <c r="A64" s="1514"/>
      <c r="B64" s="1514"/>
      <c r="C64" s="1514"/>
      <c r="D64" s="1514"/>
      <c r="E64" s="1514"/>
      <c r="F64" s="1514"/>
      <c r="G64" s="1514"/>
      <c r="H64" s="1514"/>
      <c r="I64" s="1514"/>
      <c r="J64" s="1514"/>
      <c r="K64" s="1514"/>
      <c r="L64" s="1514"/>
      <c r="M64" s="1514"/>
      <c r="N64" s="1514"/>
      <c r="O64" s="1514"/>
      <c r="P64" s="1514"/>
      <c r="Q64" s="1514"/>
      <c r="R64" s="1514"/>
      <c r="S64" s="1514"/>
      <c r="T64" s="1514"/>
      <c r="U64" s="1514"/>
      <c r="V64" s="1514"/>
      <c r="W64" s="1514"/>
    </row>
    <row r="65" customFormat="false" ht="12" hidden="false" customHeight="true" outlineLevel="0" collapsed="false">
      <c r="A65" s="1514"/>
      <c r="B65" s="1514"/>
      <c r="C65" s="1514"/>
      <c r="D65" s="1514"/>
      <c r="E65" s="1514"/>
      <c r="F65" s="1514"/>
      <c r="G65" s="1514"/>
      <c r="H65" s="1514"/>
      <c r="I65" s="1514"/>
      <c r="J65" s="1514"/>
      <c r="K65" s="1514"/>
      <c r="L65" s="1514"/>
      <c r="M65" s="1514"/>
      <c r="N65" s="1514"/>
      <c r="O65" s="1514"/>
      <c r="P65" s="1514"/>
      <c r="Q65" s="1514"/>
      <c r="R65" s="1514"/>
      <c r="S65" s="1514"/>
      <c r="T65" s="1514"/>
      <c r="U65" s="1514"/>
      <c r="V65" s="1514"/>
      <c r="W65" s="1514"/>
    </row>
    <row r="66" customFormat="false" ht="12" hidden="false" customHeight="true" outlineLevel="0" collapsed="false">
      <c r="A66" s="1514"/>
      <c r="B66" s="1514"/>
      <c r="C66" s="1514"/>
      <c r="D66" s="1514"/>
      <c r="E66" s="1514"/>
      <c r="F66" s="1514"/>
      <c r="G66" s="1514"/>
      <c r="H66" s="1514"/>
      <c r="I66" s="1514"/>
      <c r="J66" s="1514"/>
      <c r="K66" s="1514"/>
      <c r="L66" s="1514"/>
      <c r="M66" s="1514"/>
      <c r="N66" s="1514"/>
      <c r="O66" s="1514"/>
      <c r="P66" s="1514"/>
      <c r="Q66" s="1514"/>
      <c r="R66" s="1514"/>
      <c r="S66" s="1514"/>
      <c r="T66" s="1514"/>
      <c r="U66" s="1514"/>
      <c r="V66" s="1514"/>
      <c r="W66" s="1514"/>
    </row>
    <row r="67" customFormat="false" ht="12" hidden="false" customHeight="true" outlineLevel="0" collapsed="false">
      <c r="A67" s="1514"/>
      <c r="B67" s="1514"/>
      <c r="C67" s="1514"/>
      <c r="D67" s="1514"/>
      <c r="E67" s="1514"/>
      <c r="F67" s="1514"/>
      <c r="G67" s="1514"/>
      <c r="H67" s="1514"/>
      <c r="I67" s="1514"/>
      <c r="J67" s="1514"/>
      <c r="K67" s="1514"/>
      <c r="L67" s="1514"/>
      <c r="M67" s="1514"/>
      <c r="N67" s="1514"/>
      <c r="O67" s="1514"/>
      <c r="P67" s="1514"/>
      <c r="Q67" s="1514"/>
      <c r="R67" s="1514"/>
      <c r="S67" s="1514"/>
      <c r="T67" s="1514"/>
      <c r="U67" s="1514"/>
      <c r="V67" s="1514"/>
      <c r="W67" s="1514"/>
    </row>
    <row r="68" customFormat="false" ht="12" hidden="false" customHeight="true" outlineLevel="0" collapsed="false">
      <c r="A68" s="1514"/>
      <c r="B68" s="1514"/>
      <c r="C68" s="1514"/>
      <c r="D68" s="1514"/>
      <c r="E68" s="1514"/>
      <c r="F68" s="1514"/>
      <c r="G68" s="1514"/>
      <c r="H68" s="1514"/>
      <c r="I68" s="1514"/>
      <c r="J68" s="1514"/>
      <c r="K68" s="1514"/>
      <c r="L68" s="1514"/>
      <c r="M68" s="1514"/>
      <c r="N68" s="1514"/>
      <c r="O68" s="1514"/>
      <c r="P68" s="1514"/>
      <c r="Q68" s="1514"/>
      <c r="R68" s="1514"/>
      <c r="S68" s="1514"/>
      <c r="T68" s="1514"/>
      <c r="U68" s="1514"/>
      <c r="V68" s="1514"/>
      <c r="W68" s="1514"/>
    </row>
    <row r="69" customFormat="false" ht="12" hidden="false" customHeight="true" outlineLevel="0" collapsed="false">
      <c r="A69" s="1514"/>
      <c r="B69" s="1514"/>
      <c r="C69" s="1514"/>
      <c r="D69" s="1514"/>
      <c r="E69" s="1514"/>
      <c r="F69" s="1514"/>
      <c r="G69" s="1514"/>
      <c r="H69" s="1514"/>
      <c r="I69" s="1514"/>
      <c r="J69" s="1514"/>
      <c r="K69" s="1514"/>
      <c r="L69" s="1514"/>
      <c r="M69" s="1514"/>
      <c r="N69" s="1514"/>
      <c r="O69" s="1514"/>
      <c r="P69" s="1514"/>
      <c r="Q69" s="1514"/>
      <c r="R69" s="1514"/>
      <c r="S69" s="1514"/>
      <c r="T69" s="1514"/>
      <c r="U69" s="1514"/>
      <c r="V69" s="1514"/>
      <c r="W69" s="1514"/>
    </row>
    <row r="70" customFormat="false" ht="12" hidden="false" customHeight="true" outlineLevel="0" collapsed="false">
      <c r="A70" s="1514"/>
      <c r="B70" s="1514"/>
      <c r="C70" s="1514"/>
      <c r="D70" s="1514"/>
      <c r="E70" s="1514"/>
      <c r="F70" s="1514"/>
      <c r="G70" s="1514"/>
      <c r="H70" s="1514"/>
      <c r="I70" s="1514"/>
      <c r="J70" s="1514"/>
      <c r="K70" s="1514"/>
      <c r="L70" s="1514"/>
      <c r="M70" s="1514"/>
      <c r="N70" s="1514"/>
      <c r="O70" s="1514"/>
      <c r="P70" s="1514"/>
      <c r="Q70" s="1514"/>
      <c r="R70" s="1514"/>
      <c r="S70" s="1514"/>
      <c r="T70" s="1514"/>
      <c r="U70" s="1514"/>
      <c r="V70" s="1514"/>
      <c r="W70" s="1514"/>
    </row>
    <row r="71" customFormat="false" ht="12" hidden="false" customHeight="true" outlineLevel="0" collapsed="false">
      <c r="A71" s="1514"/>
      <c r="B71" s="1514"/>
      <c r="C71" s="1514"/>
      <c r="D71" s="1514"/>
      <c r="E71" s="1514"/>
      <c r="F71" s="1514"/>
      <c r="G71" s="1514"/>
      <c r="H71" s="1514"/>
      <c r="I71" s="1514"/>
      <c r="J71" s="1514"/>
      <c r="K71" s="1514"/>
      <c r="L71" s="1514"/>
      <c r="M71" s="1514"/>
      <c r="N71" s="1514"/>
      <c r="O71" s="1514"/>
      <c r="P71" s="1514"/>
      <c r="Q71" s="1514"/>
      <c r="R71" s="1514"/>
      <c r="S71" s="1514"/>
      <c r="T71" s="1514"/>
      <c r="U71" s="1514"/>
      <c r="V71" s="1514"/>
      <c r="W71" s="1514"/>
    </row>
    <row r="72" customFormat="false" ht="12" hidden="false" customHeight="true" outlineLevel="0" collapsed="false">
      <c r="A72" s="1514"/>
      <c r="B72" s="1514"/>
      <c r="C72" s="1514"/>
      <c r="D72" s="1514"/>
      <c r="E72" s="1514"/>
      <c r="F72" s="1514"/>
      <c r="G72" s="1514"/>
      <c r="H72" s="1514"/>
      <c r="I72" s="1514"/>
      <c r="J72" s="1514"/>
      <c r="K72" s="1514"/>
      <c r="L72" s="1514"/>
      <c r="M72" s="1514"/>
      <c r="N72" s="1514"/>
      <c r="O72" s="1514"/>
      <c r="P72" s="1514"/>
      <c r="Q72" s="1514"/>
      <c r="R72" s="1514"/>
      <c r="S72" s="1514"/>
      <c r="T72" s="1514"/>
      <c r="U72" s="1514"/>
      <c r="V72" s="1514"/>
      <c r="W72" s="1514"/>
    </row>
    <row r="73" customFormat="false" ht="12" hidden="false" customHeight="true" outlineLevel="0" collapsed="false">
      <c r="A73" s="1514"/>
      <c r="B73" s="1514"/>
      <c r="C73" s="1514"/>
      <c r="D73" s="1514"/>
      <c r="E73" s="1514"/>
      <c r="F73" s="1514"/>
      <c r="G73" s="1514"/>
      <c r="H73" s="1514"/>
      <c r="I73" s="1514"/>
      <c r="J73" s="1514"/>
      <c r="K73" s="1514"/>
      <c r="L73" s="1514"/>
      <c r="M73" s="1514"/>
      <c r="N73" s="1514"/>
      <c r="O73" s="1514"/>
      <c r="P73" s="1514"/>
      <c r="Q73" s="1514"/>
      <c r="R73" s="1514"/>
      <c r="S73" s="1514"/>
      <c r="T73" s="1514"/>
      <c r="U73" s="1514"/>
      <c r="V73" s="1514"/>
      <c r="W73" s="1514"/>
    </row>
    <row r="74" customFormat="false" ht="12" hidden="false" customHeight="true" outlineLevel="0" collapsed="false">
      <c r="A74" s="1514"/>
      <c r="B74" s="1514"/>
      <c r="C74" s="1514"/>
      <c r="D74" s="1514"/>
      <c r="E74" s="1514"/>
      <c r="F74" s="1514"/>
      <c r="G74" s="1514"/>
      <c r="H74" s="1514"/>
      <c r="I74" s="1514"/>
      <c r="J74" s="1514"/>
      <c r="K74" s="1514"/>
      <c r="L74" s="1514"/>
      <c r="M74" s="1514"/>
      <c r="N74" s="1514"/>
      <c r="O74" s="1514"/>
      <c r="P74" s="1514"/>
      <c r="Q74" s="1514"/>
      <c r="R74" s="1514"/>
      <c r="S74" s="1514"/>
      <c r="T74" s="1514"/>
      <c r="U74" s="1514"/>
      <c r="V74" s="1514"/>
      <c r="W74" s="1514"/>
    </row>
    <row r="75" customFormat="false" ht="12" hidden="false" customHeight="true" outlineLevel="0" collapsed="false">
      <c r="A75" s="1514"/>
      <c r="B75" s="1514"/>
      <c r="C75" s="1514"/>
      <c r="D75" s="1514"/>
      <c r="E75" s="1514"/>
      <c r="F75" s="1514"/>
      <c r="G75" s="1514"/>
      <c r="H75" s="1514"/>
      <c r="I75" s="1514"/>
      <c r="J75" s="1514"/>
      <c r="K75" s="1514"/>
      <c r="L75" s="1514"/>
      <c r="M75" s="1514"/>
      <c r="N75" s="1514"/>
      <c r="O75" s="1514"/>
      <c r="P75" s="1514"/>
      <c r="Q75" s="1514"/>
      <c r="R75" s="1514"/>
      <c r="S75" s="1514"/>
      <c r="T75" s="1514"/>
      <c r="U75" s="1514"/>
      <c r="V75" s="1514"/>
      <c r="W75" s="1514"/>
    </row>
    <row r="76" customFormat="false" ht="12" hidden="false" customHeight="true" outlineLevel="0" collapsed="false">
      <c r="A76" s="1514"/>
      <c r="B76" s="1514"/>
      <c r="C76" s="1514"/>
      <c r="D76" s="1514"/>
      <c r="E76" s="1514"/>
      <c r="F76" s="1514"/>
      <c r="G76" s="1514"/>
      <c r="H76" s="1514"/>
      <c r="I76" s="1514"/>
      <c r="J76" s="1514"/>
      <c r="K76" s="1514"/>
      <c r="L76" s="1514"/>
      <c r="M76" s="1514"/>
      <c r="N76" s="1514"/>
      <c r="O76" s="1514"/>
      <c r="P76" s="1514"/>
      <c r="Q76" s="1514"/>
      <c r="R76" s="1514"/>
      <c r="S76" s="1514"/>
      <c r="T76" s="1514"/>
      <c r="U76" s="1514"/>
      <c r="V76" s="1514"/>
      <c r="W76" s="1514"/>
    </row>
    <row r="77" customFormat="false" ht="12" hidden="false" customHeight="true" outlineLevel="0" collapsed="false">
      <c r="A77" s="1514"/>
      <c r="B77" s="1514"/>
      <c r="C77" s="1514"/>
      <c r="D77" s="1514"/>
      <c r="E77" s="1514"/>
      <c r="F77" s="1514"/>
      <c r="G77" s="1514"/>
      <c r="H77" s="1514"/>
      <c r="I77" s="1514"/>
      <c r="J77" s="1514"/>
      <c r="K77" s="1514"/>
      <c r="L77" s="1514"/>
      <c r="M77" s="1514"/>
      <c r="N77" s="1514"/>
      <c r="O77" s="1514"/>
      <c r="P77" s="1514"/>
      <c r="Q77" s="1514"/>
      <c r="R77" s="1514"/>
      <c r="S77" s="1514"/>
      <c r="T77" s="1514"/>
      <c r="U77" s="1514"/>
      <c r="V77" s="1514"/>
      <c r="W77" s="1514"/>
    </row>
    <row r="78" customFormat="false" ht="12" hidden="false" customHeight="true" outlineLevel="0" collapsed="false">
      <c r="A78" s="1514"/>
      <c r="B78" s="1514"/>
      <c r="C78" s="1514"/>
      <c r="D78" s="1514"/>
      <c r="E78" s="1514"/>
      <c r="F78" s="1514"/>
      <c r="G78" s="1514"/>
      <c r="H78" s="1514"/>
      <c r="I78" s="1514"/>
      <c r="J78" s="1514"/>
      <c r="K78" s="1514"/>
      <c r="L78" s="1514"/>
      <c r="M78" s="1514"/>
      <c r="N78" s="1514"/>
      <c r="O78" s="1514"/>
      <c r="P78" s="1514"/>
      <c r="Q78" s="1514"/>
      <c r="R78" s="1514"/>
      <c r="S78" s="1514"/>
      <c r="T78" s="1514"/>
      <c r="U78" s="1514"/>
      <c r="V78" s="1514"/>
      <c r="W78" s="1514"/>
    </row>
    <row r="79" customFormat="false" ht="12" hidden="false" customHeight="true" outlineLevel="0" collapsed="false">
      <c r="A79" s="1514"/>
      <c r="B79" s="1514"/>
      <c r="C79" s="1514"/>
      <c r="D79" s="1514"/>
      <c r="E79" s="1514"/>
      <c r="F79" s="1514"/>
      <c r="G79" s="1514"/>
      <c r="H79" s="1514"/>
      <c r="I79" s="1514"/>
      <c r="J79" s="1514"/>
      <c r="K79" s="1514"/>
      <c r="L79" s="1514"/>
      <c r="M79" s="1514"/>
      <c r="N79" s="1514"/>
      <c r="O79" s="1514"/>
      <c r="P79" s="1514"/>
      <c r="Q79" s="1514"/>
      <c r="R79" s="1514"/>
      <c r="S79" s="1514"/>
      <c r="T79" s="1514"/>
      <c r="U79" s="1514"/>
      <c r="V79" s="1514"/>
      <c r="W79" s="1514"/>
    </row>
    <row r="80" customFormat="false" ht="12" hidden="false" customHeight="true" outlineLevel="0" collapsed="false">
      <c r="A80" s="1514"/>
      <c r="B80" s="1514"/>
      <c r="C80" s="1514"/>
      <c r="D80" s="1514"/>
      <c r="E80" s="1514"/>
      <c r="F80" s="1514"/>
      <c r="G80" s="1514"/>
      <c r="H80" s="1514"/>
      <c r="I80" s="1514"/>
      <c r="J80" s="1514"/>
      <c r="K80" s="1514"/>
      <c r="L80" s="1514"/>
      <c r="M80" s="1514"/>
      <c r="N80" s="1514"/>
      <c r="O80" s="1514"/>
      <c r="P80" s="1514"/>
      <c r="Q80" s="1514"/>
      <c r="R80" s="1514"/>
      <c r="S80" s="1514"/>
      <c r="T80" s="1514"/>
      <c r="U80" s="1514"/>
      <c r="V80" s="1514"/>
      <c r="W80" s="1514"/>
    </row>
    <row r="81" customFormat="false" ht="12" hidden="false" customHeight="true" outlineLevel="0" collapsed="false">
      <c r="A81" s="1514"/>
      <c r="B81" s="1514"/>
      <c r="C81" s="1514"/>
      <c r="D81" s="1514"/>
      <c r="E81" s="1514"/>
      <c r="F81" s="1514"/>
      <c r="G81" s="1514"/>
      <c r="H81" s="1514"/>
      <c r="I81" s="1514"/>
      <c r="J81" s="1514"/>
      <c r="K81" s="1514"/>
      <c r="L81" s="1514"/>
      <c r="M81" s="1514"/>
      <c r="N81" s="1514"/>
      <c r="O81" s="1514"/>
      <c r="P81" s="1514"/>
      <c r="Q81" s="1514"/>
      <c r="R81" s="1514"/>
      <c r="S81" s="1514"/>
      <c r="T81" s="1514"/>
      <c r="U81" s="1514"/>
      <c r="V81" s="1514"/>
      <c r="W81" s="1514"/>
    </row>
    <row r="82" customFormat="false" ht="12" hidden="false" customHeight="true" outlineLevel="0" collapsed="false">
      <c r="A82" s="1514"/>
      <c r="B82" s="1514"/>
      <c r="C82" s="1514"/>
      <c r="D82" s="1514"/>
      <c r="E82" s="1514"/>
      <c r="F82" s="1514"/>
      <c r="G82" s="1514"/>
      <c r="H82" s="1514"/>
      <c r="I82" s="1514"/>
      <c r="J82" s="1514"/>
      <c r="K82" s="1514"/>
      <c r="L82" s="1514"/>
      <c r="M82" s="1514"/>
      <c r="N82" s="1514"/>
      <c r="O82" s="1514"/>
      <c r="P82" s="1514"/>
      <c r="Q82" s="1514"/>
      <c r="R82" s="1514"/>
      <c r="S82" s="1514"/>
      <c r="T82" s="1514"/>
      <c r="U82" s="1514"/>
      <c r="V82" s="1514"/>
      <c r="W82" s="1514"/>
    </row>
    <row r="83" customFormat="false" ht="12" hidden="false" customHeight="true" outlineLevel="0" collapsed="false">
      <c r="A83" s="1514"/>
      <c r="B83" s="1514"/>
      <c r="C83" s="1514"/>
      <c r="D83" s="1514"/>
      <c r="E83" s="1514"/>
      <c r="F83" s="1514"/>
      <c r="G83" s="1514"/>
      <c r="H83" s="1514"/>
      <c r="I83" s="1514"/>
      <c r="J83" s="1514"/>
      <c r="K83" s="1514"/>
      <c r="L83" s="1514"/>
      <c r="M83" s="1514"/>
      <c r="N83" s="1514"/>
      <c r="O83" s="1514"/>
      <c r="P83" s="1514"/>
      <c r="Q83" s="1514"/>
      <c r="R83" s="1514"/>
      <c r="S83" s="1514"/>
      <c r="T83" s="1514"/>
      <c r="U83" s="1514"/>
      <c r="V83" s="1514"/>
      <c r="W83" s="1514"/>
    </row>
    <row r="84" customFormat="false" ht="12" hidden="false" customHeight="true" outlineLevel="0" collapsed="false">
      <c r="A84" s="1514"/>
      <c r="B84" s="1514"/>
      <c r="C84" s="1514"/>
      <c r="D84" s="1514"/>
      <c r="E84" s="1514"/>
      <c r="F84" s="1514"/>
      <c r="G84" s="1514"/>
      <c r="H84" s="1514"/>
      <c r="I84" s="1514"/>
      <c r="J84" s="1514"/>
      <c r="K84" s="1514"/>
      <c r="L84" s="1514"/>
      <c r="M84" s="1514"/>
      <c r="N84" s="1514"/>
      <c r="O84" s="1514"/>
      <c r="P84" s="1514"/>
      <c r="Q84" s="1514"/>
      <c r="R84" s="1514"/>
      <c r="S84" s="1514"/>
      <c r="T84" s="1514"/>
      <c r="U84" s="1514"/>
      <c r="V84" s="1514"/>
      <c r="W84" s="1514"/>
    </row>
    <row r="85" customFormat="false" ht="12" hidden="false" customHeight="true" outlineLevel="0" collapsed="false">
      <c r="A85" s="1514"/>
      <c r="B85" s="1514"/>
      <c r="C85" s="1514"/>
      <c r="D85" s="1514"/>
      <c r="E85" s="1514"/>
      <c r="F85" s="1514"/>
      <c r="G85" s="1514"/>
      <c r="H85" s="1514"/>
      <c r="I85" s="1514"/>
      <c r="J85" s="1514"/>
      <c r="K85" s="1514"/>
      <c r="L85" s="1514"/>
      <c r="M85" s="1514"/>
      <c r="N85" s="1514"/>
      <c r="O85" s="1514"/>
      <c r="P85" s="1514"/>
      <c r="Q85" s="1514"/>
      <c r="R85" s="1514"/>
      <c r="S85" s="1514"/>
      <c r="T85" s="1514"/>
      <c r="U85" s="1514"/>
      <c r="V85" s="1514"/>
      <c r="W85" s="1514"/>
    </row>
    <row r="86" customFormat="false" ht="12" hidden="false" customHeight="true" outlineLevel="0" collapsed="false">
      <c r="A86" s="1514"/>
      <c r="B86" s="1514"/>
      <c r="C86" s="1514"/>
      <c r="D86" s="1514"/>
      <c r="E86" s="1514"/>
      <c r="F86" s="1514"/>
      <c r="G86" s="1514"/>
      <c r="H86" s="1514"/>
      <c r="I86" s="1514"/>
      <c r="J86" s="1514"/>
      <c r="K86" s="1514"/>
      <c r="L86" s="1514"/>
      <c r="M86" s="1514"/>
      <c r="N86" s="1514"/>
      <c r="O86" s="1514"/>
      <c r="P86" s="1514"/>
      <c r="Q86" s="1514"/>
      <c r="R86" s="1514"/>
      <c r="S86" s="1514"/>
      <c r="T86" s="1514"/>
      <c r="U86" s="1514"/>
      <c r="V86" s="1514"/>
      <c r="W86" s="1514"/>
    </row>
    <row r="87" customFormat="false" ht="12" hidden="false" customHeight="true" outlineLevel="0" collapsed="false">
      <c r="A87" s="1514"/>
      <c r="B87" s="1514"/>
      <c r="C87" s="1514"/>
      <c r="D87" s="1514"/>
      <c r="E87" s="1514"/>
      <c r="F87" s="1514"/>
      <c r="G87" s="1514"/>
      <c r="H87" s="1514"/>
      <c r="I87" s="1514"/>
      <c r="J87" s="1514"/>
      <c r="K87" s="1514"/>
      <c r="L87" s="1514"/>
      <c r="M87" s="1514"/>
      <c r="N87" s="1514"/>
      <c r="O87" s="1514"/>
      <c r="P87" s="1514"/>
      <c r="Q87" s="1514"/>
      <c r="R87" s="1514"/>
      <c r="S87" s="1514"/>
      <c r="T87" s="1514"/>
      <c r="U87" s="1514"/>
      <c r="V87" s="1514"/>
      <c r="W87" s="1514"/>
    </row>
    <row r="88" customFormat="false" ht="12" hidden="false" customHeight="true" outlineLevel="0" collapsed="false">
      <c r="A88" s="1514"/>
      <c r="B88" s="1514"/>
      <c r="C88" s="1514"/>
      <c r="D88" s="1514"/>
      <c r="E88" s="1514"/>
      <c r="F88" s="1514"/>
      <c r="G88" s="1514"/>
      <c r="H88" s="1514"/>
      <c r="I88" s="1514"/>
      <c r="J88" s="1514"/>
      <c r="K88" s="1514"/>
      <c r="L88" s="1514"/>
      <c r="M88" s="1514"/>
      <c r="N88" s="1514"/>
      <c r="O88" s="1514"/>
      <c r="P88" s="1514"/>
      <c r="Q88" s="1514"/>
      <c r="R88" s="1514"/>
      <c r="S88" s="1514"/>
      <c r="T88" s="1514"/>
      <c r="U88" s="1514"/>
      <c r="V88" s="1514"/>
      <c r="W88" s="1514"/>
    </row>
    <row r="89" customFormat="false" ht="12" hidden="false" customHeight="true" outlineLevel="0" collapsed="false">
      <c r="A89" s="1514"/>
      <c r="B89" s="1514"/>
      <c r="C89" s="1514"/>
      <c r="D89" s="1514"/>
      <c r="E89" s="1514"/>
      <c r="F89" s="1514"/>
      <c r="G89" s="1514"/>
      <c r="H89" s="1514"/>
      <c r="I89" s="1514"/>
      <c r="J89" s="1514"/>
      <c r="K89" s="1514"/>
      <c r="L89" s="1514"/>
      <c r="M89" s="1514"/>
      <c r="N89" s="1514"/>
      <c r="O89" s="1514"/>
      <c r="P89" s="1514"/>
      <c r="Q89" s="1514"/>
      <c r="R89" s="1514"/>
      <c r="S89" s="1514"/>
      <c r="T89" s="1514"/>
      <c r="U89" s="1514"/>
      <c r="V89" s="1514"/>
      <c r="W89" s="1514"/>
    </row>
    <row r="90" customFormat="false" ht="12" hidden="false" customHeight="true" outlineLevel="0" collapsed="false">
      <c r="A90" s="1514"/>
      <c r="B90" s="1514"/>
      <c r="C90" s="1514"/>
      <c r="D90" s="1514"/>
      <c r="E90" s="1514"/>
      <c r="F90" s="1514"/>
      <c r="G90" s="1514"/>
      <c r="H90" s="1514"/>
      <c r="I90" s="1514"/>
      <c r="J90" s="1514"/>
      <c r="K90" s="1514"/>
      <c r="L90" s="1514"/>
      <c r="M90" s="1514"/>
      <c r="N90" s="1514"/>
      <c r="O90" s="1514"/>
      <c r="P90" s="1514"/>
      <c r="Q90" s="1514"/>
      <c r="R90" s="1514"/>
      <c r="S90" s="1514"/>
      <c r="T90" s="1514"/>
      <c r="U90" s="1514"/>
      <c r="V90" s="1514"/>
      <c r="W90" s="1514"/>
    </row>
    <row r="91" customFormat="false" ht="12" hidden="false" customHeight="true" outlineLevel="0" collapsed="false">
      <c r="A91" s="1514"/>
      <c r="B91" s="1514"/>
      <c r="C91" s="1514"/>
      <c r="D91" s="1514"/>
      <c r="E91" s="1514"/>
      <c r="F91" s="1514"/>
      <c r="G91" s="1514"/>
      <c r="H91" s="1514"/>
      <c r="I91" s="1514"/>
      <c r="J91" s="1514"/>
      <c r="K91" s="1514"/>
      <c r="L91" s="1514"/>
      <c r="M91" s="1514"/>
      <c r="N91" s="1514"/>
      <c r="O91" s="1514"/>
      <c r="P91" s="1514"/>
      <c r="Q91" s="1514"/>
      <c r="R91" s="1514"/>
      <c r="S91" s="1514"/>
      <c r="T91" s="1514"/>
      <c r="U91" s="1514"/>
      <c r="V91" s="1514"/>
      <c r="W91" s="1514"/>
    </row>
    <row r="92" customFormat="false" ht="12" hidden="false" customHeight="true" outlineLevel="0" collapsed="false">
      <c r="A92" s="1514"/>
      <c r="B92" s="1514"/>
      <c r="C92" s="1514"/>
      <c r="D92" s="1514"/>
      <c r="E92" s="1514"/>
      <c r="F92" s="1514"/>
      <c r="G92" s="1514"/>
      <c r="H92" s="1514"/>
      <c r="I92" s="1514"/>
      <c r="J92" s="1514"/>
      <c r="K92" s="1514"/>
      <c r="L92" s="1514"/>
      <c r="M92" s="1514"/>
      <c r="N92" s="1514"/>
      <c r="O92" s="1514"/>
      <c r="P92" s="1514"/>
      <c r="Q92" s="1514"/>
      <c r="R92" s="1514"/>
      <c r="S92" s="1514"/>
      <c r="T92" s="1514"/>
      <c r="U92" s="1514"/>
      <c r="V92" s="1514"/>
      <c r="W92" s="1514"/>
    </row>
    <row r="93" customFormat="false" ht="12" hidden="false" customHeight="true" outlineLevel="0" collapsed="false">
      <c r="A93" s="1514"/>
      <c r="B93" s="1514"/>
      <c r="C93" s="1514"/>
      <c r="D93" s="1514"/>
      <c r="E93" s="1514"/>
      <c r="F93" s="1514"/>
      <c r="G93" s="1514"/>
      <c r="H93" s="1514"/>
      <c r="I93" s="1514"/>
      <c r="J93" s="1514"/>
      <c r="K93" s="1514"/>
      <c r="L93" s="1514"/>
      <c r="M93" s="1514"/>
      <c r="N93" s="1514"/>
      <c r="O93" s="1514"/>
      <c r="P93" s="1514"/>
      <c r="Q93" s="1514"/>
      <c r="R93" s="1514"/>
      <c r="S93" s="1514"/>
      <c r="T93" s="1514"/>
      <c r="U93" s="1514"/>
      <c r="V93" s="1514"/>
      <c r="W93" s="1514"/>
    </row>
    <row r="94" customFormat="false" ht="15" hidden="false" customHeight="true" outlineLevel="0" collapsed="false">
      <c r="A94" s="1513" t="str">
        <f aca="false">'Graphs 5Y'!A94</f>
        <v>Revenue By Year</v>
      </c>
      <c r="B94" s="1514"/>
      <c r="C94" s="1514"/>
      <c r="D94" s="1514"/>
      <c r="E94" s="1514"/>
      <c r="F94" s="1514"/>
      <c r="G94" s="1514"/>
      <c r="H94" s="1514"/>
      <c r="I94" s="1514"/>
      <c r="J94" s="1514"/>
      <c r="K94" s="1514"/>
      <c r="L94" s="1514"/>
      <c r="M94" s="1514"/>
      <c r="N94" s="1514"/>
      <c r="O94" s="1514"/>
      <c r="P94" s="1514"/>
      <c r="Q94" s="1514"/>
      <c r="R94" s="1514"/>
      <c r="S94" s="1514"/>
      <c r="T94" s="1514"/>
      <c r="U94" s="1514"/>
      <c r="V94" s="1514"/>
      <c r="W94" s="1514"/>
    </row>
    <row r="95" customFormat="false" ht="12" hidden="false" customHeight="true" outlineLevel="0" collapsed="false">
      <c r="A95" s="1514"/>
      <c r="B95" s="1514" t="str">
        <f aca="false">B2</f>
        <v>Year 1</v>
      </c>
      <c r="C95" s="1514" t="str">
        <f aca="false">C2</f>
        <v>Year 2</v>
      </c>
      <c r="D95" s="1514" t="str">
        <f aca="false">D2</f>
        <v>Year 3</v>
      </c>
      <c r="E95" s="1514"/>
      <c r="F95" s="1514"/>
      <c r="G95" s="1514"/>
      <c r="H95" s="1514"/>
      <c r="I95" s="1514"/>
      <c r="J95" s="1514"/>
      <c r="K95" s="1514"/>
      <c r="L95" s="1514"/>
      <c r="M95" s="1514"/>
      <c r="N95" s="1514"/>
      <c r="O95" s="1514"/>
      <c r="P95" s="1514"/>
      <c r="Q95" s="1514"/>
      <c r="R95" s="1514"/>
      <c r="S95" s="1514"/>
      <c r="T95" s="1514"/>
      <c r="U95" s="1514"/>
      <c r="V95" s="1514"/>
      <c r="W95" s="1514"/>
    </row>
    <row r="96" customFormat="false" ht="12" hidden="false" customHeight="true" outlineLevel="0" collapsed="false">
      <c r="A96" s="1514"/>
      <c r="B96" s="1514"/>
      <c r="C96" s="1514"/>
      <c r="D96" s="1514"/>
      <c r="E96" s="1514"/>
      <c r="F96" s="1514"/>
      <c r="G96" s="1514"/>
      <c r="H96" s="1514"/>
      <c r="I96" s="1514"/>
      <c r="J96" s="1514"/>
      <c r="K96" s="1514"/>
      <c r="L96" s="1514"/>
      <c r="M96" s="1514"/>
      <c r="N96" s="1514"/>
      <c r="O96" s="1514"/>
      <c r="P96" s="1514"/>
      <c r="Q96" s="1514"/>
      <c r="R96" s="1514"/>
      <c r="S96" s="1514"/>
      <c r="T96" s="1514"/>
      <c r="U96" s="1514"/>
      <c r="V96" s="1514"/>
      <c r="W96" s="1514"/>
    </row>
    <row r="97" customFormat="false" ht="12" hidden="false" customHeight="true" outlineLevel="0" collapsed="false">
      <c r="A97" s="1514"/>
      <c r="B97" s="1514"/>
      <c r="C97" s="1514"/>
      <c r="D97" s="1514"/>
      <c r="E97" s="1514"/>
      <c r="F97" s="1514"/>
      <c r="G97" s="1514"/>
      <c r="H97" s="1514"/>
      <c r="I97" s="1514"/>
      <c r="J97" s="1514"/>
      <c r="K97" s="1514"/>
      <c r="L97" s="1514"/>
      <c r="M97" s="1514"/>
      <c r="N97" s="1514"/>
      <c r="O97" s="1514"/>
      <c r="P97" s="1514"/>
      <c r="Q97" s="1514"/>
      <c r="R97" s="1514"/>
      <c r="S97" s="1514"/>
      <c r="T97" s="1514"/>
      <c r="U97" s="1514"/>
      <c r="V97" s="1514"/>
      <c r="W97" s="1514"/>
    </row>
    <row r="98" customFormat="false" ht="12" hidden="false" customHeight="true" outlineLevel="0" collapsed="false">
      <c r="A98" s="1514"/>
      <c r="B98" s="1514"/>
      <c r="C98" s="1514"/>
      <c r="D98" s="1514"/>
      <c r="E98" s="1514"/>
      <c r="F98" s="1514"/>
      <c r="G98" s="1514"/>
      <c r="H98" s="1514"/>
      <c r="I98" s="1514"/>
      <c r="J98" s="1514"/>
      <c r="K98" s="1514"/>
      <c r="L98" s="1514"/>
      <c r="M98" s="1514"/>
      <c r="N98" s="1514"/>
      <c r="O98" s="1514"/>
      <c r="P98" s="1514"/>
      <c r="Q98" s="1514"/>
      <c r="R98" s="1514"/>
      <c r="S98" s="1514"/>
      <c r="T98" s="1514"/>
      <c r="U98" s="1514"/>
      <c r="V98" s="1514"/>
      <c r="W98" s="1514"/>
    </row>
    <row r="99" customFormat="false" ht="12" hidden="false" customHeight="true" outlineLevel="0" collapsed="false">
      <c r="A99" s="1514"/>
      <c r="B99" s="1514"/>
      <c r="C99" s="1514"/>
      <c r="D99" s="1514"/>
      <c r="E99" s="1514"/>
      <c r="F99" s="1514"/>
      <c r="G99" s="1514"/>
      <c r="H99" s="1514"/>
      <c r="I99" s="1514"/>
      <c r="J99" s="1514"/>
      <c r="K99" s="1514"/>
      <c r="L99" s="1514"/>
      <c r="M99" s="1514"/>
      <c r="N99" s="1514"/>
      <c r="O99" s="1514"/>
      <c r="P99" s="1514"/>
      <c r="Q99" s="1514"/>
      <c r="R99" s="1514"/>
      <c r="S99" s="1514"/>
      <c r="T99" s="1514"/>
      <c r="U99" s="1514"/>
      <c r="V99" s="1514"/>
      <c r="W99" s="1514"/>
    </row>
    <row r="100" customFormat="false" ht="12" hidden="false" customHeight="true" outlineLevel="0" collapsed="false">
      <c r="A100" s="1514"/>
      <c r="B100" s="1514"/>
      <c r="C100" s="1514"/>
      <c r="D100" s="1514"/>
      <c r="E100" s="1514"/>
      <c r="F100" s="1514"/>
      <c r="G100" s="1514"/>
      <c r="H100" s="1514"/>
      <c r="I100" s="1514"/>
      <c r="J100" s="1514"/>
      <c r="K100" s="1514"/>
      <c r="L100" s="1514"/>
      <c r="M100" s="1514"/>
      <c r="N100" s="1514"/>
      <c r="O100" s="1514"/>
      <c r="P100" s="1514"/>
      <c r="Q100" s="1514"/>
      <c r="R100" s="1514"/>
      <c r="S100" s="1514"/>
      <c r="T100" s="1514"/>
      <c r="U100" s="1514"/>
      <c r="V100" s="1514"/>
      <c r="W100" s="1514"/>
    </row>
    <row r="101" customFormat="false" ht="12" hidden="false" customHeight="true" outlineLevel="0" collapsed="false">
      <c r="A101" s="1514"/>
      <c r="B101" s="1514"/>
      <c r="C101" s="1514"/>
      <c r="D101" s="1514"/>
      <c r="E101" s="1514"/>
      <c r="F101" s="1514"/>
      <c r="G101" s="1514"/>
      <c r="H101" s="1514"/>
      <c r="I101" s="1514"/>
      <c r="J101" s="1514"/>
      <c r="K101" s="1514"/>
      <c r="L101" s="1514"/>
      <c r="M101" s="1514"/>
      <c r="N101" s="1514"/>
      <c r="O101" s="1514"/>
      <c r="P101" s="1514"/>
      <c r="Q101" s="1514"/>
      <c r="R101" s="1514"/>
      <c r="S101" s="1514"/>
      <c r="T101" s="1514"/>
      <c r="U101" s="1514"/>
      <c r="V101" s="1514"/>
      <c r="W101" s="1514"/>
    </row>
    <row r="102" customFormat="false" ht="12" hidden="false" customHeight="true" outlineLevel="0" collapsed="false">
      <c r="A102" s="1514"/>
      <c r="B102" s="1514"/>
      <c r="C102" s="1514"/>
      <c r="D102" s="1514"/>
      <c r="E102" s="1514"/>
      <c r="F102" s="1514"/>
      <c r="G102" s="1514"/>
      <c r="H102" s="1514"/>
      <c r="I102" s="1514"/>
      <c r="J102" s="1514"/>
      <c r="K102" s="1514"/>
      <c r="L102" s="1514"/>
      <c r="M102" s="1514"/>
      <c r="N102" s="1514"/>
      <c r="O102" s="1514"/>
      <c r="P102" s="1514"/>
      <c r="Q102" s="1514"/>
      <c r="R102" s="1514"/>
      <c r="S102" s="1514"/>
      <c r="T102" s="1514"/>
      <c r="U102" s="1514"/>
      <c r="V102" s="1514"/>
      <c r="W102" s="1514"/>
    </row>
    <row r="103" customFormat="false" ht="12" hidden="false" customHeight="true" outlineLevel="0" collapsed="false">
      <c r="A103" s="1514"/>
      <c r="B103" s="1514"/>
      <c r="C103" s="1514"/>
      <c r="D103" s="1514"/>
      <c r="E103" s="1514"/>
      <c r="F103" s="1514"/>
      <c r="G103" s="1514"/>
      <c r="H103" s="1514"/>
      <c r="I103" s="1514"/>
      <c r="J103" s="1514"/>
      <c r="K103" s="1514"/>
      <c r="L103" s="1514"/>
      <c r="M103" s="1514"/>
      <c r="N103" s="1514"/>
      <c r="O103" s="1514"/>
      <c r="P103" s="1514"/>
      <c r="Q103" s="1514"/>
      <c r="R103" s="1514"/>
      <c r="S103" s="1514"/>
      <c r="T103" s="1514"/>
      <c r="U103" s="1514"/>
      <c r="V103" s="1514"/>
      <c r="W103" s="1514"/>
    </row>
    <row r="104" customFormat="false" ht="12" hidden="false" customHeight="true" outlineLevel="0" collapsed="false">
      <c r="A104" s="1514"/>
      <c r="B104" s="1514"/>
      <c r="C104" s="1514"/>
      <c r="D104" s="1514"/>
      <c r="E104" s="1514"/>
      <c r="F104" s="1514"/>
      <c r="G104" s="1514"/>
      <c r="H104" s="1514"/>
      <c r="I104" s="1514"/>
      <c r="J104" s="1514"/>
      <c r="K104" s="1514"/>
      <c r="L104" s="1514"/>
      <c r="M104" s="1514"/>
      <c r="N104" s="1514"/>
      <c r="O104" s="1514"/>
      <c r="P104" s="1514"/>
      <c r="Q104" s="1514"/>
      <c r="R104" s="1514"/>
      <c r="S104" s="1514"/>
      <c r="T104" s="1514"/>
      <c r="U104" s="1514"/>
      <c r="V104" s="1514"/>
      <c r="W104" s="1514"/>
    </row>
    <row r="105" customFormat="false" ht="12" hidden="false" customHeight="true" outlineLevel="0" collapsed="false">
      <c r="A105" s="1514"/>
      <c r="B105" s="1514"/>
      <c r="C105" s="1514"/>
      <c r="D105" s="1514"/>
      <c r="E105" s="1514"/>
      <c r="F105" s="1514"/>
      <c r="G105" s="1514"/>
      <c r="H105" s="1514"/>
      <c r="I105" s="1514"/>
      <c r="J105" s="1514"/>
      <c r="K105" s="1514"/>
      <c r="L105" s="1514"/>
      <c r="M105" s="1514"/>
      <c r="N105" s="1514"/>
      <c r="O105" s="1514"/>
      <c r="P105" s="1514"/>
      <c r="Q105" s="1514"/>
      <c r="R105" s="1514"/>
      <c r="S105" s="1514"/>
      <c r="T105" s="1514"/>
      <c r="U105" s="1514"/>
      <c r="V105" s="1514"/>
      <c r="W105" s="1514"/>
    </row>
    <row r="106" customFormat="false" ht="12" hidden="false" customHeight="true" outlineLevel="0" collapsed="false">
      <c r="A106" s="1514"/>
      <c r="B106" s="1514"/>
      <c r="C106" s="1514"/>
      <c r="D106" s="1514"/>
      <c r="E106" s="1514"/>
      <c r="F106" s="1514"/>
      <c r="G106" s="1514"/>
      <c r="H106" s="1514"/>
      <c r="I106" s="1514"/>
      <c r="J106" s="1514"/>
      <c r="K106" s="1514"/>
      <c r="L106" s="1514"/>
      <c r="M106" s="1514"/>
      <c r="N106" s="1514"/>
      <c r="O106" s="1514"/>
      <c r="P106" s="1514"/>
      <c r="Q106" s="1514"/>
      <c r="R106" s="1514"/>
      <c r="S106" s="1514"/>
      <c r="T106" s="1514"/>
      <c r="U106" s="1514"/>
      <c r="V106" s="1514"/>
      <c r="W106" s="1514"/>
    </row>
    <row r="107" customFormat="false" ht="12" hidden="false" customHeight="true" outlineLevel="0" collapsed="false">
      <c r="A107" s="1514"/>
      <c r="B107" s="1514"/>
      <c r="C107" s="1514"/>
      <c r="D107" s="1514"/>
      <c r="E107" s="1514"/>
      <c r="F107" s="1514"/>
      <c r="G107" s="1514"/>
      <c r="H107" s="1514"/>
      <c r="I107" s="1514"/>
      <c r="J107" s="1514"/>
      <c r="K107" s="1514"/>
      <c r="L107" s="1514"/>
      <c r="M107" s="1514"/>
      <c r="N107" s="1514"/>
      <c r="O107" s="1514"/>
      <c r="P107" s="1514"/>
      <c r="Q107" s="1514"/>
      <c r="R107" s="1514"/>
      <c r="S107" s="1514"/>
      <c r="T107" s="1514"/>
      <c r="U107" s="1514"/>
      <c r="V107" s="1514"/>
      <c r="W107" s="1514"/>
    </row>
    <row r="108" customFormat="false" ht="12" hidden="false" customHeight="true" outlineLevel="0" collapsed="false">
      <c r="A108" s="1514"/>
      <c r="B108" s="1514"/>
      <c r="C108" s="1514"/>
      <c r="D108" s="1514"/>
      <c r="E108" s="1514"/>
      <c r="F108" s="1514"/>
      <c r="G108" s="1514"/>
      <c r="H108" s="1514"/>
      <c r="I108" s="1514"/>
      <c r="J108" s="1514"/>
      <c r="K108" s="1514"/>
      <c r="L108" s="1514"/>
      <c r="M108" s="1514"/>
      <c r="N108" s="1514"/>
      <c r="O108" s="1514"/>
      <c r="P108" s="1514"/>
      <c r="Q108" s="1514"/>
      <c r="R108" s="1514"/>
      <c r="S108" s="1514"/>
      <c r="T108" s="1514"/>
      <c r="U108" s="1514"/>
      <c r="V108" s="1514"/>
      <c r="W108" s="1514"/>
    </row>
    <row r="109" customFormat="false" ht="12" hidden="false" customHeight="true" outlineLevel="0" collapsed="false">
      <c r="A109" s="1514"/>
      <c r="B109" s="1514"/>
      <c r="C109" s="1514"/>
      <c r="D109" s="1514"/>
      <c r="E109" s="1514"/>
      <c r="F109" s="1514"/>
      <c r="G109" s="1514"/>
      <c r="H109" s="1514"/>
      <c r="I109" s="1514"/>
      <c r="J109" s="1514"/>
      <c r="K109" s="1514"/>
      <c r="L109" s="1514"/>
      <c r="M109" s="1514"/>
      <c r="N109" s="1514"/>
      <c r="O109" s="1514"/>
      <c r="P109" s="1514"/>
      <c r="Q109" s="1514"/>
      <c r="R109" s="1514"/>
      <c r="S109" s="1514"/>
      <c r="T109" s="1514"/>
      <c r="U109" s="1514"/>
      <c r="V109" s="1514"/>
      <c r="W109" s="1514"/>
    </row>
    <row r="110" customFormat="false" ht="12" hidden="false" customHeight="true" outlineLevel="0" collapsed="false">
      <c r="A110" s="1514"/>
      <c r="B110" s="1514"/>
      <c r="C110" s="1514"/>
      <c r="D110" s="1514"/>
      <c r="E110" s="1514"/>
      <c r="F110" s="1514"/>
      <c r="G110" s="1514"/>
      <c r="H110" s="1514"/>
      <c r="I110" s="1514"/>
      <c r="J110" s="1514"/>
      <c r="K110" s="1514"/>
      <c r="L110" s="1514"/>
      <c r="M110" s="1514"/>
      <c r="N110" s="1514"/>
      <c r="O110" s="1514"/>
      <c r="P110" s="1514"/>
      <c r="Q110" s="1514"/>
      <c r="R110" s="1514"/>
      <c r="S110" s="1514"/>
      <c r="T110" s="1514"/>
      <c r="U110" s="1514"/>
      <c r="V110" s="1514"/>
      <c r="W110" s="1514"/>
    </row>
    <row r="111" customFormat="false" ht="12" hidden="false" customHeight="true" outlineLevel="0" collapsed="false">
      <c r="A111" s="1514"/>
      <c r="B111" s="1514"/>
      <c r="C111" s="1514"/>
      <c r="D111" s="1514"/>
      <c r="E111" s="1514"/>
      <c r="F111" s="1514"/>
      <c r="G111" s="1514"/>
      <c r="H111" s="1514"/>
      <c r="I111" s="1514"/>
      <c r="J111" s="1514"/>
      <c r="K111" s="1514"/>
      <c r="L111" s="1514"/>
      <c r="M111" s="1514"/>
      <c r="N111" s="1514"/>
      <c r="O111" s="1514"/>
      <c r="P111" s="1514"/>
      <c r="Q111" s="1514"/>
      <c r="R111" s="1514"/>
      <c r="S111" s="1514"/>
      <c r="T111" s="1514"/>
      <c r="U111" s="1514"/>
      <c r="V111" s="1514"/>
      <c r="W111" s="1514"/>
    </row>
    <row r="112" customFormat="false" ht="12" hidden="false" customHeight="true" outlineLevel="0" collapsed="false">
      <c r="A112" s="1514"/>
      <c r="B112" s="1514"/>
      <c r="C112" s="1514"/>
      <c r="D112" s="1514"/>
      <c r="E112" s="1514"/>
      <c r="F112" s="1514"/>
      <c r="G112" s="1514"/>
      <c r="H112" s="1514"/>
      <c r="I112" s="1514"/>
      <c r="J112" s="1514"/>
      <c r="K112" s="1514"/>
      <c r="L112" s="1514"/>
      <c r="M112" s="1514"/>
      <c r="N112" s="1514"/>
      <c r="O112" s="1514"/>
      <c r="P112" s="1514"/>
      <c r="Q112" s="1514"/>
      <c r="R112" s="1514"/>
      <c r="S112" s="1514"/>
      <c r="T112" s="1514"/>
      <c r="U112" s="1514"/>
      <c r="V112" s="1514"/>
      <c r="W112" s="1514"/>
    </row>
    <row r="113" customFormat="false" ht="12" hidden="false" customHeight="true" outlineLevel="0" collapsed="false">
      <c r="A113" s="1514"/>
      <c r="B113" s="1514"/>
      <c r="C113" s="1514"/>
      <c r="D113" s="1514"/>
      <c r="E113" s="1514"/>
      <c r="F113" s="1514"/>
      <c r="G113" s="1514"/>
      <c r="H113" s="1514"/>
      <c r="I113" s="1514"/>
      <c r="J113" s="1514"/>
      <c r="K113" s="1514"/>
      <c r="L113" s="1514"/>
      <c r="M113" s="1514"/>
      <c r="N113" s="1514"/>
      <c r="O113" s="1514"/>
      <c r="P113" s="1514"/>
      <c r="Q113" s="1514"/>
      <c r="R113" s="1514"/>
      <c r="S113" s="1514"/>
      <c r="T113" s="1514"/>
      <c r="U113" s="1514"/>
      <c r="V113" s="1514"/>
      <c r="W113" s="1514"/>
    </row>
    <row r="114" customFormat="false" ht="12" hidden="false" customHeight="true" outlineLevel="0" collapsed="false">
      <c r="A114" s="1514"/>
      <c r="B114" s="1514"/>
      <c r="C114" s="1514"/>
      <c r="D114" s="1514"/>
      <c r="E114" s="1514"/>
      <c r="F114" s="1514"/>
      <c r="G114" s="1514"/>
      <c r="H114" s="1514"/>
      <c r="I114" s="1514"/>
      <c r="J114" s="1514"/>
      <c r="K114" s="1514"/>
      <c r="L114" s="1514"/>
      <c r="M114" s="1514"/>
      <c r="N114" s="1514"/>
      <c r="O114" s="1514"/>
      <c r="P114" s="1514"/>
      <c r="Q114" s="1514"/>
      <c r="R114" s="1514"/>
      <c r="S114" s="1514"/>
      <c r="T114" s="1514"/>
      <c r="U114" s="1514"/>
      <c r="V114" s="1514"/>
      <c r="W114" s="1514"/>
    </row>
    <row r="115" customFormat="false" ht="12" hidden="false" customHeight="true" outlineLevel="0" collapsed="false">
      <c r="A115" s="1514"/>
      <c r="B115" s="1514"/>
      <c r="C115" s="1514"/>
      <c r="D115" s="1514"/>
      <c r="E115" s="1514"/>
      <c r="F115" s="1514"/>
      <c r="G115" s="1514"/>
      <c r="H115" s="1514"/>
      <c r="I115" s="1514"/>
      <c r="J115" s="1514"/>
      <c r="K115" s="1514"/>
      <c r="L115" s="1514"/>
      <c r="M115" s="1514"/>
      <c r="N115" s="1514"/>
      <c r="O115" s="1514"/>
      <c r="P115" s="1514"/>
      <c r="Q115" s="1514"/>
      <c r="R115" s="1514"/>
      <c r="S115" s="1514"/>
      <c r="T115" s="1514"/>
      <c r="U115" s="1514"/>
      <c r="V115" s="1514"/>
      <c r="W115" s="1514"/>
    </row>
    <row r="116" customFormat="false" ht="12" hidden="false" customHeight="true" outlineLevel="0" collapsed="false">
      <c r="A116" s="1514"/>
      <c r="B116" s="1514"/>
      <c r="C116" s="1514"/>
      <c r="D116" s="1514"/>
      <c r="E116" s="1514"/>
      <c r="F116" s="1514"/>
      <c r="G116" s="1514"/>
      <c r="H116" s="1514"/>
      <c r="I116" s="1514"/>
      <c r="J116" s="1514"/>
      <c r="K116" s="1514"/>
      <c r="L116" s="1514"/>
      <c r="M116" s="1514"/>
      <c r="N116" s="1514"/>
      <c r="O116" s="1514"/>
      <c r="P116" s="1514"/>
      <c r="Q116" s="1514"/>
      <c r="R116" s="1514"/>
      <c r="S116" s="1514"/>
      <c r="T116" s="1514"/>
      <c r="U116" s="1514"/>
      <c r="V116" s="1514"/>
      <c r="W116" s="1514"/>
    </row>
    <row r="117" customFormat="false" ht="12" hidden="false" customHeight="true" outlineLevel="0" collapsed="false">
      <c r="A117" s="1514"/>
      <c r="B117" s="1514"/>
      <c r="C117" s="1514"/>
      <c r="D117" s="1514"/>
      <c r="E117" s="1514"/>
      <c r="F117" s="1514"/>
      <c r="G117" s="1514"/>
      <c r="H117" s="1514"/>
      <c r="I117" s="1514"/>
      <c r="J117" s="1514"/>
      <c r="K117" s="1514"/>
      <c r="L117" s="1514"/>
      <c r="M117" s="1514"/>
      <c r="N117" s="1514"/>
      <c r="O117" s="1514"/>
      <c r="P117" s="1514"/>
      <c r="Q117" s="1514"/>
      <c r="R117" s="1514"/>
      <c r="S117" s="1514"/>
      <c r="T117" s="1514"/>
      <c r="U117" s="1514"/>
      <c r="V117" s="1514"/>
      <c r="W117" s="1514"/>
    </row>
    <row r="118" customFormat="false" ht="12" hidden="false" customHeight="true" outlineLevel="0" collapsed="false">
      <c r="A118" s="1514"/>
      <c r="B118" s="1514"/>
      <c r="C118" s="1514"/>
      <c r="D118" s="1514"/>
      <c r="E118" s="1514"/>
      <c r="F118" s="1514"/>
      <c r="G118" s="1514"/>
      <c r="H118" s="1514"/>
      <c r="I118" s="1514"/>
      <c r="J118" s="1514"/>
      <c r="K118" s="1514"/>
      <c r="L118" s="1514"/>
      <c r="M118" s="1514"/>
      <c r="N118" s="1514"/>
      <c r="O118" s="1514"/>
      <c r="P118" s="1514"/>
      <c r="Q118" s="1514"/>
      <c r="R118" s="1514"/>
      <c r="S118" s="1514"/>
      <c r="T118" s="1514"/>
      <c r="U118" s="1514"/>
      <c r="V118" s="1514"/>
      <c r="W118" s="1514"/>
    </row>
    <row r="119" customFormat="false" ht="12" hidden="false" customHeight="true" outlineLevel="0" collapsed="false">
      <c r="A119" s="1514"/>
      <c r="B119" s="1514"/>
      <c r="C119" s="1514"/>
      <c r="D119" s="1514"/>
      <c r="E119" s="1514"/>
      <c r="F119" s="1514"/>
      <c r="G119" s="1514"/>
      <c r="H119" s="1514"/>
      <c r="I119" s="1514"/>
      <c r="J119" s="1514"/>
      <c r="K119" s="1514"/>
      <c r="L119" s="1514"/>
      <c r="M119" s="1514"/>
      <c r="N119" s="1514"/>
      <c r="O119" s="1514"/>
      <c r="P119" s="1514"/>
      <c r="Q119" s="1514"/>
      <c r="R119" s="1514"/>
      <c r="S119" s="1514"/>
      <c r="T119" s="1514"/>
      <c r="U119" s="1514"/>
      <c r="V119" s="1514"/>
      <c r="W119" s="1514"/>
    </row>
    <row r="120" customFormat="false" ht="12" hidden="false" customHeight="true" outlineLevel="0" collapsed="false">
      <c r="A120" s="1514"/>
      <c r="B120" s="1514"/>
      <c r="C120" s="1514"/>
      <c r="D120" s="1514"/>
      <c r="E120" s="1514"/>
      <c r="F120" s="1514"/>
      <c r="G120" s="1514"/>
      <c r="H120" s="1514"/>
      <c r="I120" s="1514"/>
      <c r="J120" s="1514"/>
      <c r="K120" s="1514"/>
      <c r="L120" s="1514"/>
      <c r="M120" s="1514"/>
      <c r="N120" s="1514"/>
      <c r="O120" s="1514"/>
      <c r="P120" s="1514"/>
      <c r="Q120" s="1514"/>
      <c r="R120" s="1514"/>
      <c r="S120" s="1514"/>
      <c r="T120" s="1514"/>
      <c r="U120" s="1514"/>
      <c r="V120" s="1514"/>
      <c r="W120" s="1514"/>
    </row>
    <row r="121" customFormat="false" ht="12" hidden="false" customHeight="true" outlineLevel="0" collapsed="false">
      <c r="A121" s="1514"/>
      <c r="B121" s="1514"/>
      <c r="C121" s="1514"/>
      <c r="D121" s="1514"/>
      <c r="E121" s="1514"/>
      <c r="F121" s="1514"/>
      <c r="G121" s="1514"/>
      <c r="H121" s="1514"/>
      <c r="I121" s="1514"/>
      <c r="J121" s="1514"/>
      <c r="K121" s="1514"/>
      <c r="L121" s="1514"/>
      <c r="M121" s="1514"/>
      <c r="N121" s="1514"/>
      <c r="O121" s="1514"/>
      <c r="P121" s="1514"/>
      <c r="Q121" s="1514"/>
      <c r="R121" s="1514"/>
      <c r="S121" s="1514"/>
      <c r="T121" s="1514"/>
      <c r="U121" s="1514"/>
      <c r="V121" s="1514"/>
      <c r="W121" s="1514"/>
    </row>
    <row r="122" customFormat="false" ht="12" hidden="false" customHeight="true" outlineLevel="0" collapsed="false">
      <c r="A122" s="1514"/>
      <c r="B122" s="1514"/>
      <c r="C122" s="1514"/>
      <c r="D122" s="1514"/>
      <c r="E122" s="1514"/>
      <c r="F122" s="1514"/>
      <c r="G122" s="1514"/>
      <c r="H122" s="1514"/>
      <c r="I122" s="1514"/>
      <c r="J122" s="1514"/>
      <c r="K122" s="1514"/>
      <c r="L122" s="1514"/>
      <c r="M122" s="1514"/>
      <c r="N122" s="1514"/>
      <c r="O122" s="1514"/>
      <c r="P122" s="1514"/>
      <c r="Q122" s="1514"/>
      <c r="R122" s="1514"/>
      <c r="S122" s="1514"/>
      <c r="T122" s="1514"/>
      <c r="U122" s="1514"/>
      <c r="V122" s="1514"/>
      <c r="W122" s="1514"/>
    </row>
    <row r="123" customFormat="false" ht="12" hidden="false" customHeight="true" outlineLevel="0" collapsed="false">
      <c r="A123" s="1514"/>
      <c r="B123" s="1514"/>
      <c r="C123" s="1514"/>
      <c r="D123" s="1514"/>
      <c r="E123" s="1514"/>
      <c r="F123" s="1514"/>
      <c r="G123" s="1514"/>
      <c r="H123" s="1514"/>
      <c r="I123" s="1514"/>
      <c r="J123" s="1514"/>
      <c r="K123" s="1514"/>
      <c r="L123" s="1514"/>
      <c r="M123" s="1514"/>
      <c r="N123" s="1514"/>
      <c r="O123" s="1514"/>
      <c r="P123" s="1514"/>
      <c r="Q123" s="1514"/>
      <c r="R123" s="1514"/>
      <c r="S123" s="1514"/>
      <c r="T123" s="1514"/>
      <c r="U123" s="1514"/>
      <c r="V123" s="1514"/>
      <c r="W123" s="1514"/>
    </row>
    <row r="124" customFormat="false" ht="12" hidden="false" customHeight="true" outlineLevel="0" collapsed="false">
      <c r="A124" s="1514"/>
      <c r="B124" s="1514"/>
      <c r="C124" s="1514"/>
      <c r="D124" s="1514"/>
      <c r="E124" s="1514"/>
      <c r="F124" s="1514"/>
      <c r="G124" s="1514"/>
      <c r="H124" s="1514"/>
      <c r="I124" s="1514"/>
      <c r="J124" s="1514"/>
      <c r="K124" s="1514"/>
      <c r="L124" s="1514"/>
      <c r="M124" s="1514"/>
      <c r="N124" s="1514"/>
      <c r="O124" s="1514"/>
      <c r="P124" s="1514"/>
      <c r="Q124" s="1514"/>
      <c r="R124" s="1514"/>
      <c r="S124" s="1514"/>
      <c r="T124" s="1514"/>
      <c r="U124" s="1514"/>
      <c r="V124" s="1514"/>
      <c r="W124" s="1514"/>
    </row>
    <row r="125" customFormat="false" ht="12" hidden="false" customHeight="true" outlineLevel="0" collapsed="false">
      <c r="A125" s="1514"/>
      <c r="B125" s="1514"/>
      <c r="C125" s="1514"/>
      <c r="D125" s="1514"/>
      <c r="E125" s="1514"/>
      <c r="F125" s="1514"/>
      <c r="G125" s="1514"/>
      <c r="H125" s="1514"/>
      <c r="I125" s="1514"/>
      <c r="J125" s="1514"/>
      <c r="K125" s="1514"/>
      <c r="L125" s="1514"/>
      <c r="M125" s="1514"/>
      <c r="N125" s="1514"/>
      <c r="O125" s="1514"/>
      <c r="P125" s="1514"/>
      <c r="Q125" s="1514"/>
      <c r="R125" s="1514"/>
      <c r="S125" s="1514"/>
      <c r="T125" s="1514"/>
      <c r="U125" s="1514"/>
      <c r="V125" s="1514"/>
      <c r="W125" s="1514"/>
    </row>
    <row r="126" customFormat="false" ht="12" hidden="false" customHeight="true" outlineLevel="0" collapsed="false">
      <c r="A126" s="1514"/>
      <c r="B126" s="1514"/>
      <c r="C126" s="1514"/>
      <c r="D126" s="1514"/>
      <c r="E126" s="1514"/>
      <c r="F126" s="1514"/>
      <c r="G126" s="1514"/>
      <c r="H126" s="1514"/>
      <c r="I126" s="1514"/>
      <c r="J126" s="1514"/>
      <c r="K126" s="1514"/>
      <c r="L126" s="1514"/>
      <c r="M126" s="1514"/>
      <c r="N126" s="1514"/>
      <c r="O126" s="1514"/>
      <c r="P126" s="1514"/>
      <c r="Q126" s="1514"/>
      <c r="R126" s="1514"/>
      <c r="S126" s="1514"/>
      <c r="T126" s="1514"/>
      <c r="U126" s="1514"/>
      <c r="V126" s="1514"/>
      <c r="W126" s="1514"/>
    </row>
    <row r="127" customFormat="false" ht="12" hidden="false" customHeight="true" outlineLevel="0" collapsed="false">
      <c r="A127" s="1514"/>
      <c r="B127" s="1514"/>
      <c r="C127" s="1514"/>
      <c r="D127" s="1514"/>
      <c r="E127" s="1514"/>
      <c r="F127" s="1514"/>
      <c r="G127" s="1514"/>
      <c r="H127" s="1514"/>
      <c r="I127" s="1514"/>
      <c r="J127" s="1514"/>
      <c r="K127" s="1514"/>
      <c r="L127" s="1514"/>
      <c r="M127" s="1514"/>
      <c r="N127" s="1514"/>
      <c r="O127" s="1514"/>
      <c r="P127" s="1514"/>
      <c r="Q127" s="1514"/>
      <c r="R127" s="1514"/>
      <c r="S127" s="1514"/>
      <c r="T127" s="1514"/>
      <c r="U127" s="1514"/>
      <c r="V127" s="1514"/>
      <c r="W127" s="1514"/>
    </row>
    <row r="128" customFormat="false" ht="12" hidden="false" customHeight="true" outlineLevel="0" collapsed="false">
      <c r="A128" s="1141" t="s">
        <v>2069</v>
      </c>
      <c r="B128" s="1517"/>
      <c r="C128" s="1517"/>
      <c r="D128" s="1517"/>
      <c r="E128" s="1517"/>
      <c r="F128" s="1517"/>
      <c r="G128" s="1517"/>
      <c r="H128" s="1517"/>
      <c r="I128" s="1517"/>
      <c r="J128" s="1517"/>
      <c r="K128" s="1517"/>
      <c r="L128" s="1517"/>
      <c r="M128" s="1517"/>
      <c r="N128" s="1517"/>
      <c r="O128" s="1517"/>
      <c r="P128" s="1517"/>
      <c r="Q128" s="1517"/>
      <c r="R128" s="1517"/>
      <c r="S128" s="1517"/>
      <c r="T128" s="1514"/>
      <c r="U128" s="1514"/>
      <c r="V128" s="1514"/>
      <c r="W128" s="1514"/>
    </row>
    <row r="129" customFormat="false" ht="12" hidden="false" customHeight="true" outlineLevel="0" collapsed="false">
      <c r="A129" s="1517"/>
      <c r="B129" s="1518" t="str">
        <f aca="false">'3Y Grphs'!B61</f>
        <v>Month 1</v>
      </c>
      <c r="C129" s="1518" t="str">
        <f aca="false">'3Y Grphs'!C61</f>
        <v>Month 2</v>
      </c>
      <c r="D129" s="1518" t="str">
        <f aca="false">'3Y Grphs'!D61</f>
        <v>Month 3</v>
      </c>
      <c r="E129" s="1518" t="str">
        <f aca="false">'3Y Grphs'!E61</f>
        <v>Month 4</v>
      </c>
      <c r="F129" s="1518" t="str">
        <f aca="false">'3Y Grphs'!F61</f>
        <v>Month 5</v>
      </c>
      <c r="G129" s="1518" t="str">
        <f aca="false">'3Y Grphs'!G61</f>
        <v>Month 6</v>
      </c>
      <c r="H129" s="1518" t="str">
        <f aca="false">'3Y Grphs'!H61</f>
        <v>Month 7</v>
      </c>
      <c r="I129" s="1518" t="str">
        <f aca="false">'3Y Grphs'!I61</f>
        <v>Month 8</v>
      </c>
      <c r="J129" s="1518" t="str">
        <f aca="false">'3Y Grphs'!J61</f>
        <v>Month 9</v>
      </c>
      <c r="K129" s="1518" t="str">
        <f aca="false">'3Y Grphs'!K61</f>
        <v>Month 10</v>
      </c>
      <c r="L129" s="1518" t="str">
        <f aca="false">'3Y Grphs'!L61</f>
        <v>Month 11</v>
      </c>
      <c r="M129" s="1518" t="str">
        <f aca="false">'3Y Grphs'!M61</f>
        <v>Month 12</v>
      </c>
      <c r="N129" s="1518" t="str">
        <f aca="false">B95</f>
        <v>Year 1</v>
      </c>
      <c r="O129" s="1518" t="str">
        <f aca="false">C95</f>
        <v>Year 2</v>
      </c>
      <c r="P129" s="1518" t="str">
        <f aca="false">D95</f>
        <v>Year 3</v>
      </c>
      <c r="Q129" s="1518"/>
      <c r="R129" s="1518"/>
      <c r="S129" s="1517"/>
      <c r="T129" s="1514"/>
      <c r="U129" s="1514"/>
      <c r="V129" s="1514"/>
      <c r="W129" s="1514"/>
    </row>
    <row r="130" customFormat="false" ht="12" hidden="false" customHeight="true" outlineLevel="0" collapsed="false">
      <c r="A130" s="1517" t="str">
        <f aca="false">'Graphs 5Y'!A130</f>
        <v>Revenue</v>
      </c>
      <c r="B130" s="1518" t="n">
        <f aca="false">'P&amp;L'!B19</f>
        <v>0</v>
      </c>
      <c r="C130" s="1518" t="n">
        <f aca="false">'P&amp;L'!C19</f>
        <v>0</v>
      </c>
      <c r="D130" s="1518" t="n">
        <f aca="false">'P&amp;L'!D19</f>
        <v>917.14</v>
      </c>
      <c r="E130" s="1518" t="n">
        <f aca="false">'P&amp;L'!E19</f>
        <v>134197.060869048</v>
      </c>
      <c r="F130" s="1518" t="n">
        <f aca="false">'P&amp;L'!F19</f>
        <v>268394.121738095</v>
      </c>
      <c r="G130" s="1518" t="n">
        <f aca="false">'P&amp;L'!G19</f>
        <v>536788.243476191</v>
      </c>
      <c r="H130" s="1518" t="n">
        <f aca="false">'P&amp;L'!H19</f>
        <v>805182.365214286</v>
      </c>
      <c r="I130" s="1518" t="n">
        <f aca="false">'P&amp;L'!I19</f>
        <v>1073576.48695238</v>
      </c>
      <c r="J130" s="1518" t="n">
        <f aca="false">'P&amp;L'!J19</f>
        <v>1341970.60869048</v>
      </c>
      <c r="K130" s="1518" t="n">
        <f aca="false">'P&amp;L'!K19</f>
        <v>1610364.73042857</v>
      </c>
      <c r="L130" s="1518" t="n">
        <f aca="false">'P&amp;L'!L19</f>
        <v>1878758.85216667</v>
      </c>
      <c r="M130" s="1518" t="n">
        <f aca="false">'P&amp;L'!M19</f>
        <v>2147152.97390476</v>
      </c>
      <c r="N130" s="1518" t="n">
        <f aca="false">'P&amp;L'!BJ19</f>
        <v>9796385.44344048</v>
      </c>
      <c r="O130" s="1518" t="n">
        <f aca="false">'P&amp;L'!BK19</f>
        <v>63473726.2030143</v>
      </c>
      <c r="P130" s="1518" t="n">
        <f aca="false">'P&amp;L'!BL19</f>
        <v>167140846.428</v>
      </c>
      <c r="Q130" s="1518"/>
      <c r="R130" s="1518"/>
      <c r="S130" s="1517"/>
      <c r="T130" s="1514"/>
      <c r="U130" s="1514"/>
      <c r="V130" s="1514"/>
      <c r="W130" s="1514"/>
    </row>
    <row r="131" customFormat="false" ht="12" hidden="false" customHeight="true" outlineLevel="0" collapsed="false">
      <c r="A131" s="1517" t="s">
        <v>1718</v>
      </c>
      <c r="B131" s="1518" t="n">
        <f aca="false">SUM(B135:B137)</f>
        <v>395805.9718</v>
      </c>
      <c r="C131" s="1518" t="n">
        <f aca="false">SUM(C135:C137)</f>
        <v>412861.9718</v>
      </c>
      <c r="D131" s="1518" t="n">
        <f aca="false">SUM(D135:D137)</f>
        <v>422177.669631429</v>
      </c>
      <c r="E131" s="1518" t="n">
        <f aca="false">SUM(E135:E137)</f>
        <v>518202.139226859</v>
      </c>
      <c r="F131" s="1518" t="n">
        <f aca="false">SUM(F135:F137)</f>
        <v>615014.306653719</v>
      </c>
      <c r="G131" s="1518" t="n">
        <f aca="false">SUM(G135:G137)</f>
        <v>829958.641507438</v>
      </c>
      <c r="H131" s="1518" t="n">
        <f aca="false">SUM(H135:H137)</f>
        <v>1091896.07636116</v>
      </c>
      <c r="I131" s="1518" t="n">
        <f aca="false">SUM(I135:I137)</f>
        <v>1324491.72567004</v>
      </c>
      <c r="J131" s="1518" t="n">
        <f aca="false">SUM(J135:J137)</f>
        <v>1532187.56854109</v>
      </c>
      <c r="K131" s="1518" t="n">
        <f aca="false">SUM(K135:K137)</f>
        <v>1740868.25603083</v>
      </c>
      <c r="L131" s="1518" t="n">
        <f aca="false">SUM(L135:L137)</f>
        <v>1946228.77649074</v>
      </c>
      <c r="M131" s="1518" t="n">
        <f aca="false">SUM(M135:M137)</f>
        <v>2154737.03000342</v>
      </c>
      <c r="N131" s="1518" t="n">
        <f aca="false">SUM(N135:N137)</f>
        <v>12983734.1498853</v>
      </c>
      <c r="O131" s="1518" t="n">
        <f aca="false">SUM(O135:O137)</f>
        <v>52730474.6261889</v>
      </c>
      <c r="P131" s="1518" t="n">
        <f aca="false">SUM(P135:P137)</f>
        <v>122699238.746533</v>
      </c>
      <c r="Q131" s="1518"/>
      <c r="R131" s="1518"/>
      <c r="S131" s="1517"/>
      <c r="T131" s="1514"/>
      <c r="U131" s="1514"/>
      <c r="V131" s="1514"/>
      <c r="W131" s="1514"/>
    </row>
    <row r="132" customFormat="false" ht="12" hidden="false" customHeight="true" outlineLevel="0" collapsed="false">
      <c r="A132" s="1517"/>
      <c r="B132" s="1518"/>
      <c r="C132" s="1518"/>
      <c r="D132" s="1518"/>
      <c r="E132" s="1518"/>
      <c r="F132" s="1518"/>
      <c r="G132" s="1518"/>
      <c r="H132" s="1518"/>
      <c r="I132" s="1518"/>
      <c r="J132" s="1518"/>
      <c r="K132" s="1518"/>
      <c r="L132" s="1518"/>
      <c r="M132" s="1518"/>
      <c r="N132" s="1518"/>
      <c r="O132" s="1518"/>
      <c r="P132" s="1518"/>
      <c r="Q132" s="1518"/>
      <c r="R132" s="1518"/>
      <c r="S132" s="1517"/>
      <c r="T132" s="1514"/>
      <c r="U132" s="1514"/>
      <c r="V132" s="1514"/>
      <c r="W132" s="1514"/>
    </row>
    <row r="133" customFormat="false" ht="12" hidden="false" customHeight="true" outlineLevel="0" collapsed="false">
      <c r="A133" s="1517" t="s">
        <v>1718</v>
      </c>
      <c r="B133" s="1518"/>
      <c r="C133" s="1518"/>
      <c r="D133" s="1518"/>
      <c r="E133" s="1518"/>
      <c r="F133" s="1518"/>
      <c r="G133" s="1518"/>
      <c r="H133" s="1518"/>
      <c r="I133" s="1518"/>
      <c r="J133" s="1518"/>
      <c r="K133" s="1518"/>
      <c r="L133" s="1518"/>
      <c r="M133" s="1518"/>
      <c r="N133" s="1518"/>
      <c r="O133" s="1518"/>
      <c r="P133" s="1518"/>
      <c r="Q133" s="1518"/>
      <c r="R133" s="1518"/>
      <c r="S133" s="1517"/>
      <c r="T133" s="1514"/>
      <c r="U133" s="1514"/>
      <c r="V133" s="1514"/>
      <c r="W133" s="1514"/>
    </row>
    <row r="134" customFormat="false" ht="12" hidden="false" customHeight="true" outlineLevel="0" collapsed="false">
      <c r="A134" s="1517"/>
      <c r="B134" s="1518"/>
      <c r="C134" s="1518"/>
      <c r="D134" s="1518"/>
      <c r="E134" s="1518"/>
      <c r="F134" s="1518"/>
      <c r="G134" s="1518"/>
      <c r="H134" s="1518"/>
      <c r="I134" s="1518"/>
      <c r="J134" s="1518"/>
      <c r="K134" s="1518"/>
      <c r="L134" s="1518"/>
      <c r="M134" s="1518"/>
      <c r="N134" s="1518"/>
      <c r="O134" s="1518"/>
      <c r="P134" s="1518"/>
      <c r="Q134" s="1518"/>
      <c r="R134" s="1518"/>
      <c r="S134" s="1517"/>
      <c r="T134" s="1514"/>
      <c r="U134" s="1514"/>
      <c r="V134" s="1514"/>
      <c r="W134" s="1514"/>
    </row>
    <row r="135" customFormat="false" ht="12" hidden="false" customHeight="true" outlineLevel="0" collapsed="false">
      <c r="A135" s="1517" t="s">
        <v>2067</v>
      </c>
      <c r="B135" s="1518" t="n">
        <f aca="false">'P&amp;L'!B22+Revenue!B150</f>
        <v>0</v>
      </c>
      <c r="C135" s="1518" t="n">
        <f aca="false">'P&amp;L'!C22+Revenue!C150</f>
        <v>0</v>
      </c>
      <c r="D135" s="1518" t="n">
        <f aca="false">'P&amp;L'!D22+Revenue!D150</f>
        <v>695.983831428571</v>
      </c>
      <c r="E135" s="1518" t="n">
        <f aca="false">'P&amp;L'!E22+Revenue!E150</f>
        <v>83392.4613399547</v>
      </c>
      <c r="F135" s="1518" t="n">
        <f aca="false">'P&amp;L'!F22+Revenue!F150</f>
        <v>166784.922679909</v>
      </c>
      <c r="G135" s="1518" t="n">
        <f aca="false">'P&amp;L'!G22+Revenue!G150</f>
        <v>333569.845359819</v>
      </c>
      <c r="H135" s="1518" t="n">
        <f aca="false">'P&amp;L'!H22+Revenue!H150</f>
        <v>500354.768039728</v>
      </c>
      <c r="I135" s="1518" t="n">
        <f aca="false">'P&amp;L'!I22+Revenue!I150</f>
        <v>667139.690719637</v>
      </c>
      <c r="J135" s="1518" t="n">
        <f aca="false">'P&amp;L'!J22+Revenue!J150</f>
        <v>833924.613399547</v>
      </c>
      <c r="K135" s="1518" t="n">
        <f aca="false">'P&amp;L'!K22+Revenue!K150</f>
        <v>1000709.53607946</v>
      </c>
      <c r="L135" s="1518" t="n">
        <f aca="false">'P&amp;L'!L22+Revenue!L150</f>
        <v>1167494.45875937</v>
      </c>
      <c r="M135" s="1518" t="n">
        <f aca="false">'P&amp;L'!M22+Revenue!M150</f>
        <v>1334279.38143928</v>
      </c>
      <c r="N135" s="1518" t="n">
        <f aca="false">'P&amp;L'!BJ22+Revenue!BJ150</f>
        <v>6087649.67781669</v>
      </c>
      <c r="O135" s="1518" t="n">
        <f aca="false">'P&amp;L'!BK22+Revenue!BK150</f>
        <v>31915417.3897659</v>
      </c>
      <c r="P135" s="1518" t="n">
        <f aca="false">'P&amp;L'!BL22+Revenue!BL150</f>
        <v>81368910.4966181</v>
      </c>
      <c r="Q135" s="1518"/>
      <c r="R135" s="1518"/>
      <c r="S135" s="1517"/>
      <c r="T135" s="1514"/>
      <c r="U135" s="1514"/>
      <c r="V135" s="1514"/>
      <c r="W135" s="1514"/>
    </row>
    <row r="136" customFormat="false" ht="12" hidden="false" customHeight="true" outlineLevel="0" collapsed="false">
      <c r="A136" s="1517"/>
      <c r="B136" s="1518"/>
      <c r="C136" s="1518"/>
      <c r="D136" s="1518"/>
      <c r="E136" s="1518"/>
      <c r="F136" s="1518"/>
      <c r="G136" s="1518"/>
      <c r="H136" s="1518"/>
      <c r="I136" s="1518"/>
      <c r="J136" s="1518"/>
      <c r="K136" s="1518"/>
      <c r="L136" s="1518"/>
      <c r="M136" s="1518"/>
      <c r="N136" s="1518"/>
      <c r="O136" s="1518"/>
      <c r="P136" s="1518"/>
      <c r="Q136" s="1518"/>
      <c r="R136" s="1518"/>
      <c r="S136" s="1517"/>
      <c r="T136" s="1514"/>
      <c r="U136" s="1514"/>
      <c r="V136" s="1514"/>
      <c r="W136" s="1514"/>
    </row>
    <row r="137" customFormat="false" ht="12" hidden="false" customHeight="true" outlineLevel="0" collapsed="false">
      <c r="A137" s="1517" t="s">
        <v>2070</v>
      </c>
      <c r="B137" s="1518" t="n">
        <f aca="false">'P&amp;L'!B41-'P&amp;L'!B38+'P&amp;L'!B43+'P&amp;L'!B44</f>
        <v>395805.9718</v>
      </c>
      <c r="C137" s="1518" t="n">
        <f aca="false">'P&amp;L'!C41-'P&amp;L'!C38+'P&amp;L'!C43+'P&amp;L'!C44</f>
        <v>412861.9718</v>
      </c>
      <c r="D137" s="1518" t="n">
        <f aca="false">'P&amp;L'!D41-'P&amp;L'!D38+'P&amp;L'!D43+'P&amp;L'!D44</f>
        <v>421481.6858</v>
      </c>
      <c r="E137" s="1518" t="n">
        <f aca="false">'P&amp;L'!E41-'P&amp;L'!E38+'P&amp;L'!E43+'P&amp;L'!E44</f>
        <v>434809.677886905</v>
      </c>
      <c r="F137" s="1518" t="n">
        <f aca="false">'P&amp;L'!F41-'P&amp;L'!F38+'P&amp;L'!F43+'P&amp;L'!F44</f>
        <v>448229.38397381</v>
      </c>
      <c r="G137" s="1518" t="n">
        <f aca="false">'P&amp;L'!G41-'P&amp;L'!G38+'P&amp;L'!G43+'P&amp;L'!G44</f>
        <v>496388.796147619</v>
      </c>
      <c r="H137" s="1518" t="n">
        <f aca="false">'P&amp;L'!H41-'P&amp;L'!H38+'P&amp;L'!H43+'P&amp;L'!H44</f>
        <v>591541.308321429</v>
      </c>
      <c r="I137" s="1518" t="n">
        <f aca="false">'P&amp;L'!I41-'P&amp;L'!I38+'P&amp;L'!I43+'P&amp;L'!I44</f>
        <v>657352.034950398</v>
      </c>
      <c r="J137" s="1518" t="n">
        <f aca="false">'P&amp;L'!J41-'P&amp;L'!J38+'P&amp;L'!J43+'P&amp;L'!J44</f>
        <v>698262.955141542</v>
      </c>
      <c r="K137" s="1518" t="n">
        <f aca="false">'P&amp;L'!K41-'P&amp;L'!K38+'P&amp;L'!K43+'P&amp;L'!K44</f>
        <v>740158.719951377</v>
      </c>
      <c r="L137" s="1518" t="n">
        <f aca="false">'P&amp;L'!L41-'P&amp;L'!L38+'P&amp;L'!L43+'P&amp;L'!L44</f>
        <v>778734.317731378</v>
      </c>
      <c r="M137" s="1518" t="n">
        <f aca="false">'P&amp;L'!M41-'P&amp;L'!M38+'P&amp;L'!M43+'P&amp;L'!M44</f>
        <v>820457.648564143</v>
      </c>
      <c r="N137" s="1518" t="n">
        <f aca="false">'P&amp;L'!BJ41-'P&amp;L'!BJ38+'P&amp;L'!BJ43+'P&amp;L'!BJ44</f>
        <v>6896084.4720686</v>
      </c>
      <c r="O137" s="1518" t="n">
        <f aca="false">'P&amp;L'!BK41-'P&amp;L'!BK38+'P&amp;L'!BK43+'P&amp;L'!BK44</f>
        <v>20815057.236423</v>
      </c>
      <c r="P137" s="1518" t="n">
        <f aca="false">'P&amp;L'!BL41-'P&amp;L'!BL38+'P&amp;L'!BL43+'P&amp;L'!BL44</f>
        <v>41330328.2499151</v>
      </c>
      <c r="Q137" s="1518"/>
      <c r="R137" s="1518"/>
      <c r="S137" s="1517"/>
      <c r="T137" s="1514"/>
      <c r="U137" s="1514"/>
      <c r="V137" s="1514"/>
      <c r="W137" s="1514"/>
    </row>
    <row r="138" customFormat="false" ht="12" hidden="false" customHeight="true" outlineLevel="0" collapsed="false">
      <c r="A138" s="1517"/>
      <c r="B138" s="1517"/>
      <c r="C138" s="1517"/>
      <c r="D138" s="1517"/>
      <c r="E138" s="1517"/>
      <c r="F138" s="1517"/>
      <c r="G138" s="1517"/>
      <c r="H138" s="1517"/>
      <c r="I138" s="1517"/>
      <c r="J138" s="1517"/>
      <c r="K138" s="1517"/>
      <c r="L138" s="1517"/>
      <c r="M138" s="1517"/>
      <c r="N138" s="1517"/>
      <c r="O138" s="1517"/>
      <c r="P138" s="1517"/>
      <c r="Q138" s="1517"/>
      <c r="R138" s="1517"/>
      <c r="S138" s="1517"/>
      <c r="T138" s="1514"/>
      <c r="U138" s="1514"/>
      <c r="V138" s="1514"/>
      <c r="W138" s="1514"/>
    </row>
    <row r="139" customFormat="false" ht="12" hidden="false" customHeight="true" outlineLevel="0" collapsed="false">
      <c r="A139" s="1141"/>
      <c r="B139" s="1517"/>
      <c r="C139" s="1517"/>
      <c r="D139" s="1517"/>
      <c r="E139" s="1517"/>
      <c r="F139" s="1517"/>
      <c r="G139" s="1517"/>
      <c r="H139" s="1517"/>
      <c r="I139" s="1517"/>
      <c r="J139" s="1517"/>
      <c r="K139" s="1517"/>
      <c r="L139" s="1517"/>
      <c r="M139" s="1517"/>
      <c r="N139" s="1517"/>
      <c r="O139" s="1517"/>
      <c r="P139" s="1517"/>
      <c r="Q139" s="1517"/>
      <c r="R139" s="1517"/>
      <c r="S139" s="1517"/>
      <c r="T139" s="1514"/>
      <c r="U139" s="1514"/>
      <c r="V139" s="1514"/>
      <c r="W139" s="1514"/>
    </row>
    <row r="140" customFormat="false" ht="12" hidden="false" customHeight="true" outlineLevel="0" collapsed="false">
      <c r="A140" s="1517"/>
      <c r="B140" s="1517"/>
      <c r="C140" s="1517"/>
      <c r="D140" s="1517"/>
      <c r="E140" s="1517"/>
      <c r="F140" s="1517"/>
      <c r="G140" s="1517"/>
      <c r="H140" s="1517"/>
      <c r="I140" s="1517"/>
      <c r="J140" s="1517"/>
      <c r="K140" s="1517"/>
      <c r="L140" s="1517"/>
      <c r="M140" s="1517"/>
      <c r="N140" s="1517"/>
      <c r="O140" s="1517"/>
      <c r="P140" s="1517"/>
      <c r="Q140" s="1517"/>
      <c r="R140" s="1517"/>
      <c r="S140" s="1517"/>
      <c r="T140" s="1514"/>
      <c r="U140" s="1514"/>
      <c r="V140" s="1514"/>
      <c r="W140" s="1514"/>
    </row>
    <row r="141" customFormat="false" ht="12" hidden="false" customHeight="true" outlineLevel="0" collapsed="false">
      <c r="A141" s="1514"/>
      <c r="B141" s="1514"/>
      <c r="C141" s="1514"/>
      <c r="D141" s="1514"/>
      <c r="E141" s="1514"/>
      <c r="F141" s="1514"/>
      <c r="G141" s="1514"/>
      <c r="H141" s="1514"/>
      <c r="I141" s="1514"/>
      <c r="J141" s="1514"/>
      <c r="K141" s="1514"/>
      <c r="L141" s="1514"/>
      <c r="M141" s="1514"/>
      <c r="N141" s="1514"/>
      <c r="O141" s="1514"/>
      <c r="P141" s="1514"/>
      <c r="Q141" s="1514"/>
      <c r="R141" s="1514"/>
      <c r="S141" s="1514"/>
      <c r="T141" s="1514"/>
      <c r="U141" s="1514"/>
      <c r="V141" s="1514"/>
      <c r="W141" s="1514"/>
    </row>
    <row r="142" customFormat="false" ht="12" hidden="false" customHeight="true" outlineLevel="0" collapsed="false">
      <c r="A142" s="1514"/>
      <c r="B142" s="1514"/>
      <c r="C142" s="1514"/>
      <c r="D142" s="1514"/>
      <c r="E142" s="1514"/>
      <c r="F142" s="1514"/>
      <c r="G142" s="1514"/>
      <c r="H142" s="1514"/>
      <c r="I142" s="1514"/>
      <c r="J142" s="1514"/>
      <c r="K142" s="1514"/>
      <c r="L142" s="1514"/>
      <c r="M142" s="1514"/>
      <c r="N142" s="1514"/>
      <c r="O142" s="1514"/>
      <c r="P142" s="1514"/>
      <c r="Q142" s="1514"/>
      <c r="R142" s="1514"/>
      <c r="S142" s="1514"/>
      <c r="T142" s="1514"/>
      <c r="U142" s="1514"/>
      <c r="V142" s="1514"/>
      <c r="W142" s="1514"/>
    </row>
    <row r="143" customFormat="false" ht="12" hidden="false" customHeight="true" outlineLevel="0" collapsed="false">
      <c r="A143" s="1514"/>
      <c r="B143" s="1514"/>
      <c r="C143" s="1514"/>
      <c r="D143" s="1514"/>
      <c r="E143" s="1514"/>
      <c r="F143" s="1514"/>
      <c r="G143" s="1514"/>
      <c r="H143" s="1514"/>
      <c r="I143" s="1514"/>
      <c r="J143" s="1514"/>
      <c r="K143" s="1514"/>
      <c r="L143" s="1514"/>
      <c r="M143" s="1514"/>
      <c r="N143" s="1514"/>
      <c r="O143" s="1514"/>
      <c r="P143" s="1514"/>
      <c r="Q143" s="1514"/>
      <c r="R143" s="1514"/>
      <c r="S143" s="1514"/>
      <c r="T143" s="1514"/>
      <c r="U143" s="1514"/>
      <c r="V143" s="1514"/>
      <c r="W143" s="1514"/>
    </row>
    <row r="144" customFormat="false" ht="12" hidden="false" customHeight="true" outlineLevel="0" collapsed="false">
      <c r="A144" s="1514"/>
      <c r="B144" s="1514"/>
      <c r="C144" s="1514"/>
      <c r="D144" s="1514"/>
      <c r="E144" s="1514"/>
      <c r="F144" s="1514"/>
      <c r="G144" s="1514"/>
      <c r="H144" s="1514"/>
      <c r="I144" s="1514"/>
      <c r="J144" s="1514"/>
      <c r="K144" s="1514"/>
      <c r="L144" s="1514"/>
      <c r="M144" s="1514"/>
      <c r="N144" s="1514"/>
      <c r="O144" s="1514"/>
      <c r="P144" s="1514"/>
      <c r="Q144" s="1514"/>
      <c r="R144" s="1514"/>
      <c r="S144" s="1514"/>
      <c r="T144" s="1514"/>
      <c r="U144" s="1514"/>
      <c r="V144" s="1514"/>
      <c r="W144" s="1514"/>
    </row>
    <row r="145" customFormat="false" ht="12" hidden="false" customHeight="true" outlineLevel="0" collapsed="false">
      <c r="A145" s="1514"/>
      <c r="B145" s="1514"/>
      <c r="C145" s="1514"/>
      <c r="D145" s="1514"/>
      <c r="E145" s="1514"/>
      <c r="F145" s="1514"/>
      <c r="G145" s="1514"/>
      <c r="H145" s="1514"/>
      <c r="I145" s="1514"/>
      <c r="J145" s="1514"/>
      <c r="K145" s="1514"/>
      <c r="L145" s="1514"/>
      <c r="M145" s="1514"/>
      <c r="N145" s="1514"/>
      <c r="O145" s="1514"/>
      <c r="P145" s="1514"/>
      <c r="Q145" s="1514"/>
      <c r="R145" s="1514"/>
      <c r="S145" s="1514"/>
      <c r="T145" s="1514"/>
      <c r="U145" s="1514"/>
      <c r="V145" s="1514"/>
      <c r="W145" s="1514"/>
    </row>
    <row r="146" customFormat="false" ht="12" hidden="false" customHeight="true" outlineLevel="0" collapsed="false">
      <c r="A146" s="1514"/>
      <c r="B146" s="1514"/>
      <c r="C146" s="1514"/>
      <c r="D146" s="1514"/>
      <c r="E146" s="1514"/>
      <c r="F146" s="1514"/>
      <c r="G146" s="1514"/>
      <c r="H146" s="1514"/>
      <c r="I146" s="1514"/>
      <c r="J146" s="1514"/>
      <c r="K146" s="1514"/>
      <c r="L146" s="1514"/>
      <c r="M146" s="1514"/>
      <c r="N146" s="1514"/>
      <c r="O146" s="1514"/>
      <c r="P146" s="1514"/>
      <c r="Q146" s="1514"/>
      <c r="R146" s="1514"/>
      <c r="S146" s="1514"/>
      <c r="T146" s="1514"/>
      <c r="U146" s="1514"/>
      <c r="V146" s="1514"/>
      <c r="W146" s="1514"/>
    </row>
    <row r="147" customFormat="false" ht="12" hidden="false" customHeight="true" outlineLevel="0" collapsed="false">
      <c r="A147" s="1514"/>
      <c r="B147" s="1514"/>
      <c r="C147" s="1514"/>
      <c r="D147" s="1514"/>
      <c r="E147" s="1514"/>
      <c r="F147" s="1514"/>
      <c r="G147" s="1514"/>
      <c r="H147" s="1514"/>
      <c r="I147" s="1514"/>
      <c r="J147" s="1514"/>
      <c r="K147" s="1514"/>
      <c r="L147" s="1514"/>
      <c r="M147" s="1514"/>
      <c r="N147" s="1514"/>
      <c r="O147" s="1514"/>
      <c r="P147" s="1514"/>
      <c r="Q147" s="1514"/>
      <c r="R147" s="1514"/>
      <c r="S147" s="1514"/>
      <c r="T147" s="1514"/>
      <c r="U147" s="1514"/>
      <c r="V147" s="1514"/>
      <c r="W147" s="1514"/>
    </row>
    <row r="148" customFormat="false" ht="12" hidden="false" customHeight="true" outlineLevel="0" collapsed="false">
      <c r="A148" s="1514"/>
      <c r="B148" s="1514"/>
      <c r="C148" s="1514"/>
      <c r="D148" s="1514"/>
      <c r="E148" s="1514"/>
      <c r="F148" s="1514"/>
      <c r="G148" s="1514"/>
      <c r="H148" s="1514"/>
      <c r="I148" s="1514"/>
      <c r="J148" s="1514"/>
      <c r="K148" s="1514"/>
      <c r="L148" s="1514"/>
      <c r="M148" s="1514"/>
      <c r="N148" s="1514"/>
      <c r="O148" s="1514"/>
      <c r="P148" s="1514"/>
      <c r="Q148" s="1514"/>
      <c r="R148" s="1514"/>
      <c r="S148" s="1514"/>
      <c r="T148" s="1514"/>
      <c r="U148" s="1514"/>
      <c r="V148" s="1514"/>
      <c r="W148" s="1514"/>
    </row>
    <row r="149" customFormat="false" ht="12" hidden="false" customHeight="true" outlineLevel="0" collapsed="false">
      <c r="A149" s="1514"/>
      <c r="B149" s="1514"/>
      <c r="C149" s="1514"/>
      <c r="D149" s="1514"/>
      <c r="E149" s="1514"/>
      <c r="F149" s="1514"/>
      <c r="G149" s="1514"/>
      <c r="H149" s="1514"/>
      <c r="I149" s="1514"/>
      <c r="J149" s="1514"/>
      <c r="K149" s="1514"/>
      <c r="L149" s="1514"/>
      <c r="M149" s="1514"/>
      <c r="N149" s="1514"/>
      <c r="O149" s="1514"/>
      <c r="P149" s="1514"/>
      <c r="Q149" s="1514"/>
      <c r="R149" s="1514"/>
      <c r="S149" s="1514"/>
      <c r="T149" s="1514"/>
      <c r="U149" s="1514"/>
      <c r="V149" s="1514"/>
      <c r="W149" s="1514"/>
    </row>
    <row r="150" customFormat="false" ht="12" hidden="false" customHeight="true" outlineLevel="0" collapsed="false">
      <c r="A150" s="1514"/>
      <c r="B150" s="1514"/>
      <c r="C150" s="1514"/>
      <c r="D150" s="1514"/>
      <c r="E150" s="1514"/>
      <c r="F150" s="1514"/>
      <c r="G150" s="1514"/>
      <c r="H150" s="1514"/>
      <c r="I150" s="1514"/>
      <c r="J150" s="1514"/>
      <c r="K150" s="1514"/>
      <c r="L150" s="1514"/>
      <c r="M150" s="1514"/>
      <c r="N150" s="1514"/>
      <c r="O150" s="1514"/>
      <c r="P150" s="1514"/>
      <c r="Q150" s="1514"/>
      <c r="R150" s="1514"/>
      <c r="S150" s="1514"/>
      <c r="T150" s="1514"/>
      <c r="U150" s="1514"/>
      <c r="V150" s="1514"/>
      <c r="W150" s="1514"/>
    </row>
    <row r="151" customFormat="false" ht="12" hidden="false" customHeight="true" outlineLevel="0" collapsed="false">
      <c r="A151" s="1514"/>
      <c r="B151" s="1514"/>
      <c r="C151" s="1514"/>
      <c r="D151" s="1514"/>
      <c r="E151" s="1514"/>
      <c r="F151" s="1514"/>
      <c r="G151" s="1514"/>
      <c r="H151" s="1514"/>
      <c r="I151" s="1514"/>
      <c r="J151" s="1514"/>
      <c r="K151" s="1514"/>
      <c r="L151" s="1514"/>
      <c r="M151" s="1514"/>
      <c r="N151" s="1514"/>
      <c r="O151" s="1514"/>
      <c r="P151" s="1514"/>
      <c r="Q151" s="1514"/>
      <c r="R151" s="1514"/>
      <c r="S151" s="1514"/>
      <c r="T151" s="1514"/>
      <c r="U151" s="1514"/>
      <c r="V151" s="1514"/>
      <c r="W151" s="1514"/>
    </row>
    <row r="152" customFormat="false" ht="12" hidden="false" customHeight="true" outlineLevel="0" collapsed="false">
      <c r="A152" s="1514"/>
      <c r="B152" s="1514"/>
      <c r="C152" s="1514"/>
      <c r="D152" s="1514"/>
      <c r="E152" s="1514"/>
      <c r="F152" s="1514"/>
      <c r="G152" s="1514"/>
      <c r="H152" s="1514"/>
      <c r="I152" s="1514"/>
      <c r="J152" s="1514"/>
      <c r="K152" s="1514"/>
      <c r="L152" s="1514"/>
      <c r="M152" s="1514"/>
      <c r="N152" s="1514"/>
      <c r="O152" s="1514"/>
      <c r="P152" s="1514"/>
      <c r="Q152" s="1514"/>
      <c r="R152" s="1514"/>
      <c r="S152" s="1514"/>
      <c r="T152" s="1514"/>
      <c r="U152" s="1514"/>
      <c r="V152" s="1514"/>
      <c r="W152" s="1514"/>
    </row>
    <row r="153" customFormat="false" ht="12" hidden="false" customHeight="true" outlineLevel="0" collapsed="false">
      <c r="A153" s="1514"/>
      <c r="B153" s="1514"/>
      <c r="C153" s="1514"/>
      <c r="D153" s="1514"/>
      <c r="E153" s="1514"/>
      <c r="F153" s="1514"/>
      <c r="G153" s="1514"/>
      <c r="H153" s="1514"/>
      <c r="I153" s="1514"/>
      <c r="J153" s="1514"/>
      <c r="K153" s="1514"/>
      <c r="L153" s="1514"/>
      <c r="M153" s="1514"/>
      <c r="N153" s="1514"/>
      <c r="O153" s="1514"/>
      <c r="P153" s="1514"/>
      <c r="Q153" s="1514"/>
      <c r="R153" s="1514"/>
      <c r="S153" s="1514"/>
      <c r="T153" s="1514"/>
      <c r="U153" s="1514"/>
      <c r="V153" s="1514"/>
      <c r="W153" s="1514"/>
    </row>
    <row r="154" customFormat="false" ht="12" hidden="false" customHeight="true" outlineLevel="0" collapsed="false">
      <c r="A154" s="1514"/>
      <c r="B154" s="1514"/>
      <c r="C154" s="1514"/>
      <c r="D154" s="1514"/>
      <c r="E154" s="1514"/>
      <c r="F154" s="1514"/>
      <c r="G154" s="1514"/>
      <c r="H154" s="1514"/>
      <c r="I154" s="1514"/>
      <c r="J154" s="1514"/>
      <c r="K154" s="1514"/>
      <c r="L154" s="1514"/>
      <c r="M154" s="1514"/>
      <c r="N154" s="1514"/>
      <c r="O154" s="1514"/>
      <c r="P154" s="1514"/>
      <c r="Q154" s="1514"/>
      <c r="R154" s="1514"/>
      <c r="S154" s="1514"/>
      <c r="T154" s="1514"/>
      <c r="U154" s="1514"/>
      <c r="V154" s="1514"/>
      <c r="W154" s="1514"/>
    </row>
    <row r="155" customFormat="false" ht="12" hidden="false" customHeight="true" outlineLevel="0" collapsed="false">
      <c r="A155" s="1514"/>
      <c r="B155" s="1514"/>
      <c r="C155" s="1514"/>
      <c r="D155" s="1514"/>
      <c r="E155" s="1514"/>
      <c r="F155" s="1514"/>
      <c r="G155" s="1514"/>
      <c r="H155" s="1514"/>
      <c r="I155" s="1514"/>
      <c r="J155" s="1514"/>
      <c r="K155" s="1514"/>
      <c r="L155" s="1514"/>
      <c r="M155" s="1514"/>
      <c r="N155" s="1514"/>
      <c r="O155" s="1514"/>
      <c r="P155" s="1514"/>
      <c r="Q155" s="1514"/>
      <c r="R155" s="1514"/>
      <c r="S155" s="1514"/>
      <c r="T155" s="1514"/>
      <c r="U155" s="1514"/>
      <c r="V155" s="1514"/>
      <c r="W155" s="1514"/>
    </row>
    <row r="156" customFormat="false" ht="12" hidden="false" customHeight="true" outlineLevel="0" collapsed="false">
      <c r="A156" s="1514"/>
      <c r="B156" s="1514"/>
      <c r="C156" s="1514"/>
      <c r="D156" s="1514"/>
      <c r="E156" s="1514"/>
      <c r="F156" s="1514"/>
      <c r="G156" s="1514"/>
      <c r="H156" s="1514"/>
      <c r="I156" s="1514"/>
      <c r="J156" s="1514"/>
      <c r="K156" s="1514"/>
      <c r="L156" s="1514"/>
      <c r="M156" s="1514"/>
      <c r="N156" s="1514"/>
      <c r="O156" s="1514"/>
      <c r="P156" s="1514"/>
      <c r="Q156" s="1514"/>
      <c r="R156" s="1514"/>
      <c r="S156" s="1514"/>
      <c r="T156" s="1514"/>
      <c r="U156" s="1514"/>
      <c r="V156" s="1514"/>
      <c r="W156" s="1514"/>
    </row>
    <row r="157" customFormat="false" ht="12" hidden="false" customHeight="true" outlineLevel="0" collapsed="false">
      <c r="A157" s="1514"/>
      <c r="B157" s="1514"/>
      <c r="C157" s="1514"/>
      <c r="D157" s="1514"/>
      <c r="E157" s="1514"/>
      <c r="F157" s="1514"/>
      <c r="G157" s="1514"/>
      <c r="H157" s="1514"/>
      <c r="I157" s="1514"/>
      <c r="J157" s="1514"/>
      <c r="K157" s="1514"/>
      <c r="L157" s="1514"/>
      <c r="M157" s="1514"/>
      <c r="N157" s="1514"/>
      <c r="O157" s="1514"/>
      <c r="P157" s="1514"/>
      <c r="Q157" s="1514"/>
      <c r="R157" s="1514"/>
      <c r="S157" s="1514"/>
      <c r="T157" s="1514"/>
      <c r="U157" s="1514"/>
      <c r="V157" s="1514"/>
      <c r="W157" s="1514"/>
    </row>
    <row r="158" customFormat="false" ht="12" hidden="false" customHeight="true" outlineLevel="0" collapsed="false">
      <c r="A158" s="1514"/>
      <c r="B158" s="1514"/>
      <c r="C158" s="1514"/>
      <c r="D158" s="1514"/>
      <c r="E158" s="1514"/>
      <c r="F158" s="1514"/>
      <c r="G158" s="1514"/>
      <c r="H158" s="1514"/>
      <c r="I158" s="1514"/>
      <c r="J158" s="1514"/>
      <c r="K158" s="1514"/>
      <c r="L158" s="1514"/>
      <c r="M158" s="1514"/>
      <c r="N158" s="1514"/>
      <c r="O158" s="1514"/>
      <c r="P158" s="1514"/>
      <c r="Q158" s="1514"/>
      <c r="R158" s="1514"/>
      <c r="S158" s="1514"/>
      <c r="T158" s="1514"/>
      <c r="U158" s="1514"/>
      <c r="V158" s="1514"/>
      <c r="W158" s="1514"/>
    </row>
    <row r="159" customFormat="false" ht="12" hidden="false" customHeight="true" outlineLevel="0" collapsed="false">
      <c r="A159" s="1514"/>
      <c r="B159" s="1514"/>
      <c r="C159" s="1514"/>
      <c r="D159" s="1514"/>
      <c r="E159" s="1514"/>
      <c r="F159" s="1514"/>
      <c r="G159" s="1514"/>
      <c r="H159" s="1514"/>
      <c r="I159" s="1514"/>
      <c r="J159" s="1514"/>
      <c r="K159" s="1514"/>
      <c r="L159" s="1514"/>
      <c r="M159" s="1514"/>
      <c r="N159" s="1514"/>
      <c r="O159" s="1514"/>
      <c r="P159" s="1514"/>
      <c r="Q159" s="1514"/>
      <c r="R159" s="1514"/>
      <c r="S159" s="1514"/>
      <c r="T159" s="1514"/>
      <c r="U159" s="1514"/>
      <c r="V159" s="1514"/>
      <c r="W159" s="1514"/>
    </row>
    <row r="160" customFormat="false" ht="12" hidden="false" customHeight="true" outlineLevel="0" collapsed="false">
      <c r="A160" s="1514"/>
      <c r="B160" s="1514"/>
      <c r="C160" s="1514"/>
      <c r="D160" s="1514"/>
      <c r="E160" s="1514"/>
      <c r="F160" s="1514"/>
      <c r="G160" s="1514"/>
      <c r="H160" s="1514"/>
      <c r="I160" s="1514"/>
      <c r="J160" s="1514"/>
      <c r="K160" s="1514"/>
      <c r="L160" s="1514"/>
      <c r="M160" s="1514"/>
      <c r="N160" s="1514"/>
      <c r="O160" s="1514"/>
      <c r="P160" s="1514"/>
      <c r="Q160" s="1514"/>
      <c r="R160" s="1514"/>
      <c r="S160" s="1514"/>
      <c r="T160" s="1514"/>
      <c r="U160" s="1514"/>
      <c r="V160" s="1514"/>
      <c r="W160" s="1514"/>
    </row>
    <row r="161" customFormat="false" ht="12" hidden="false" customHeight="true" outlineLevel="0" collapsed="false">
      <c r="A161" s="1514"/>
      <c r="B161" s="1514"/>
      <c r="C161" s="1514"/>
      <c r="D161" s="1514"/>
      <c r="E161" s="1514"/>
      <c r="F161" s="1514"/>
      <c r="G161" s="1514"/>
      <c r="H161" s="1514"/>
      <c r="I161" s="1514"/>
      <c r="J161" s="1514"/>
      <c r="K161" s="1514"/>
      <c r="L161" s="1514"/>
      <c r="M161" s="1514"/>
      <c r="N161" s="1514"/>
      <c r="O161" s="1514"/>
      <c r="P161" s="1514"/>
      <c r="Q161" s="1514"/>
      <c r="R161" s="1514"/>
      <c r="S161" s="1514"/>
      <c r="T161" s="1514"/>
      <c r="U161" s="1514"/>
      <c r="V161" s="1514"/>
      <c r="W161" s="1514"/>
    </row>
    <row r="162" customFormat="false" ht="12" hidden="false" customHeight="true" outlineLevel="0" collapsed="false">
      <c r="A162" s="1514"/>
      <c r="B162" s="1514"/>
      <c r="C162" s="1514"/>
      <c r="D162" s="1514"/>
      <c r="E162" s="1514"/>
      <c r="F162" s="1514"/>
      <c r="G162" s="1514"/>
      <c r="H162" s="1514"/>
      <c r="I162" s="1514"/>
      <c r="J162" s="1514"/>
      <c r="K162" s="1514"/>
      <c r="L162" s="1514"/>
      <c r="M162" s="1514"/>
      <c r="N162" s="1514"/>
      <c r="O162" s="1514"/>
      <c r="P162" s="1514"/>
      <c r="Q162" s="1514"/>
      <c r="R162" s="1514"/>
      <c r="S162" s="1514"/>
      <c r="T162" s="1514"/>
      <c r="U162" s="1514"/>
      <c r="V162" s="1514"/>
      <c r="W162" s="1514"/>
    </row>
    <row r="163" customFormat="false" ht="12" hidden="false" customHeight="true" outlineLevel="0" collapsed="false">
      <c r="A163" s="1514"/>
      <c r="B163" s="1514"/>
      <c r="C163" s="1514"/>
      <c r="D163" s="1514"/>
      <c r="E163" s="1514"/>
      <c r="F163" s="1514"/>
      <c r="G163" s="1514"/>
      <c r="H163" s="1514"/>
      <c r="I163" s="1514"/>
      <c r="J163" s="1514"/>
      <c r="K163" s="1514"/>
      <c r="L163" s="1514"/>
      <c r="M163" s="1514"/>
      <c r="N163" s="1514"/>
      <c r="O163" s="1514"/>
      <c r="P163" s="1514"/>
      <c r="Q163" s="1514"/>
      <c r="R163" s="1514"/>
      <c r="S163" s="1514"/>
      <c r="T163" s="1514"/>
      <c r="U163" s="1514"/>
      <c r="V163" s="1514"/>
      <c r="W163" s="1514"/>
    </row>
    <row r="164" customFormat="false" ht="12" hidden="false" customHeight="true" outlineLevel="0" collapsed="false">
      <c r="A164" s="1514"/>
      <c r="B164" s="1514"/>
      <c r="C164" s="1514"/>
      <c r="D164" s="1514"/>
      <c r="E164" s="1514"/>
      <c r="F164" s="1514"/>
      <c r="G164" s="1514"/>
      <c r="H164" s="1514"/>
      <c r="I164" s="1514"/>
      <c r="J164" s="1514"/>
      <c r="K164" s="1514"/>
      <c r="L164" s="1514"/>
      <c r="M164" s="1514"/>
      <c r="N164" s="1514"/>
      <c r="O164" s="1514"/>
      <c r="P164" s="1514"/>
      <c r="Q164" s="1514"/>
      <c r="R164" s="1514"/>
      <c r="S164" s="1514"/>
      <c r="T164" s="1514"/>
      <c r="U164" s="1514"/>
      <c r="V164" s="1514"/>
      <c r="W164" s="1514"/>
    </row>
    <row r="165" customFormat="false" ht="12" hidden="false" customHeight="true" outlineLevel="0" collapsed="false">
      <c r="A165" s="1514"/>
      <c r="B165" s="1514"/>
      <c r="C165" s="1514"/>
      <c r="D165" s="1514"/>
      <c r="E165" s="1514"/>
      <c r="F165" s="1514"/>
      <c r="G165" s="1514"/>
      <c r="H165" s="1514"/>
      <c r="I165" s="1514"/>
      <c r="J165" s="1514"/>
      <c r="K165" s="1514"/>
      <c r="L165" s="1514"/>
      <c r="M165" s="1514"/>
      <c r="N165" s="1514"/>
      <c r="O165" s="1514"/>
      <c r="P165" s="1514"/>
      <c r="Q165" s="1514"/>
      <c r="R165" s="1514"/>
      <c r="S165" s="1514"/>
      <c r="T165" s="1514"/>
      <c r="U165" s="1514"/>
      <c r="V165" s="1514"/>
      <c r="W165" s="1514"/>
    </row>
    <row r="166" customFormat="false" ht="12" hidden="false" customHeight="true" outlineLevel="0" collapsed="false">
      <c r="A166" s="1514"/>
      <c r="B166" s="1514"/>
      <c r="C166" s="1514"/>
      <c r="D166" s="1514"/>
      <c r="E166" s="1514"/>
      <c r="F166" s="1514"/>
      <c r="G166" s="1514"/>
      <c r="H166" s="1514"/>
      <c r="I166" s="1514"/>
      <c r="J166" s="1514"/>
      <c r="K166" s="1514"/>
      <c r="L166" s="1514"/>
      <c r="M166" s="1514"/>
      <c r="N166" s="1514"/>
      <c r="O166" s="1514"/>
      <c r="P166" s="1514"/>
      <c r="Q166" s="1514"/>
      <c r="R166" s="1514"/>
      <c r="S166" s="1514"/>
      <c r="T166" s="1514"/>
      <c r="U166" s="1514"/>
      <c r="V166" s="1514"/>
      <c r="W166" s="1514"/>
    </row>
    <row r="167" customFormat="false" ht="12" hidden="false" customHeight="true" outlineLevel="0" collapsed="false">
      <c r="A167" s="1514"/>
      <c r="B167" s="1514"/>
      <c r="C167" s="1514"/>
      <c r="D167" s="1514"/>
      <c r="E167" s="1514"/>
      <c r="F167" s="1514"/>
      <c r="G167" s="1514"/>
      <c r="H167" s="1514"/>
      <c r="I167" s="1514"/>
      <c r="J167" s="1514"/>
      <c r="K167" s="1514"/>
      <c r="L167" s="1514"/>
      <c r="M167" s="1514"/>
      <c r="N167" s="1514"/>
      <c r="O167" s="1514"/>
      <c r="P167" s="1514"/>
      <c r="Q167" s="1514"/>
      <c r="R167" s="1514"/>
      <c r="S167" s="1514"/>
      <c r="T167" s="1514"/>
      <c r="U167" s="1514"/>
      <c r="V167" s="1514"/>
      <c r="W167" s="1514"/>
    </row>
    <row r="168" customFormat="false" ht="12" hidden="false" customHeight="true" outlineLevel="0" collapsed="false">
      <c r="A168" s="1514"/>
      <c r="B168" s="1514"/>
      <c r="C168" s="1514"/>
      <c r="D168" s="1514"/>
      <c r="E168" s="1514"/>
      <c r="F168" s="1514"/>
      <c r="G168" s="1514"/>
      <c r="H168" s="1514"/>
      <c r="I168" s="1514"/>
      <c r="J168" s="1514"/>
      <c r="K168" s="1514"/>
      <c r="L168" s="1514"/>
      <c r="M168" s="1514"/>
      <c r="N168" s="1514"/>
      <c r="O168" s="1514"/>
      <c r="P168" s="1514"/>
      <c r="Q168" s="1514"/>
      <c r="R168" s="1514"/>
      <c r="S168" s="1514"/>
      <c r="T168" s="1514"/>
      <c r="U168" s="1514"/>
      <c r="V168" s="1514"/>
      <c r="W168" s="1514"/>
    </row>
    <row r="169" customFormat="false" ht="12" hidden="false" customHeight="true" outlineLevel="0" collapsed="false">
      <c r="A169" s="1514"/>
      <c r="B169" s="1514"/>
      <c r="C169" s="1514"/>
      <c r="D169" s="1514"/>
      <c r="E169" s="1514"/>
      <c r="F169" s="1514"/>
      <c r="G169" s="1514"/>
      <c r="H169" s="1514"/>
      <c r="I169" s="1514"/>
      <c r="J169" s="1514"/>
      <c r="K169" s="1514"/>
      <c r="L169" s="1514"/>
      <c r="M169" s="1514"/>
      <c r="N169" s="1514"/>
      <c r="O169" s="1514"/>
      <c r="P169" s="1514"/>
      <c r="Q169" s="1514"/>
      <c r="R169" s="1514"/>
      <c r="S169" s="1514"/>
      <c r="T169" s="1514"/>
      <c r="U169" s="1514"/>
      <c r="V169" s="1514"/>
      <c r="W169" s="1514"/>
    </row>
    <row r="170" customFormat="false" ht="12" hidden="false" customHeight="true" outlineLevel="0" collapsed="false">
      <c r="A170" s="1514"/>
      <c r="B170" s="1514"/>
      <c r="C170" s="1514"/>
      <c r="D170" s="1514"/>
      <c r="E170" s="1514"/>
      <c r="F170" s="1514"/>
      <c r="G170" s="1514"/>
      <c r="H170" s="1514"/>
      <c r="I170" s="1514"/>
      <c r="J170" s="1514"/>
      <c r="K170" s="1514"/>
      <c r="L170" s="1514"/>
      <c r="M170" s="1514"/>
      <c r="N170" s="1514"/>
      <c r="O170" s="1514"/>
      <c r="P170" s="1514"/>
      <c r="Q170" s="1514"/>
      <c r="R170" s="1514"/>
      <c r="S170" s="1514"/>
      <c r="T170" s="1514"/>
      <c r="U170" s="1514"/>
      <c r="V170" s="1514"/>
      <c r="W170" s="1514"/>
    </row>
    <row r="171" customFormat="false" ht="12" hidden="false" customHeight="true" outlineLevel="0" collapsed="false">
      <c r="A171" s="1514"/>
      <c r="B171" s="1514"/>
      <c r="C171" s="1514"/>
      <c r="D171" s="1514"/>
      <c r="E171" s="1514"/>
      <c r="F171" s="1514"/>
      <c r="G171" s="1514"/>
      <c r="H171" s="1514"/>
      <c r="I171" s="1514"/>
      <c r="J171" s="1514"/>
      <c r="K171" s="1514"/>
      <c r="L171" s="1514"/>
      <c r="M171" s="1514"/>
      <c r="N171" s="1514"/>
      <c r="O171" s="1514"/>
      <c r="P171" s="1514"/>
      <c r="Q171" s="1514"/>
      <c r="R171" s="1514"/>
      <c r="S171" s="1514"/>
      <c r="T171" s="1514"/>
      <c r="U171" s="1514"/>
      <c r="V171" s="1514"/>
      <c r="W171" s="1514"/>
    </row>
    <row r="172" customFormat="false" ht="12" hidden="false" customHeight="true" outlineLevel="0" collapsed="false">
      <c r="A172" s="1514"/>
      <c r="B172" s="1514"/>
      <c r="C172" s="1514"/>
      <c r="D172" s="1514"/>
      <c r="E172" s="1514"/>
      <c r="F172" s="1514"/>
      <c r="G172" s="1514"/>
      <c r="H172" s="1514"/>
      <c r="I172" s="1514"/>
      <c r="J172" s="1514"/>
      <c r="K172" s="1514"/>
      <c r="L172" s="1514"/>
      <c r="M172" s="1514"/>
      <c r="N172" s="1514"/>
      <c r="O172" s="1514"/>
      <c r="P172" s="1514"/>
      <c r="Q172" s="1514"/>
      <c r="R172" s="1514"/>
      <c r="S172" s="1514"/>
      <c r="T172" s="1514"/>
      <c r="U172" s="1514"/>
      <c r="V172" s="1514"/>
      <c r="W172" s="1514"/>
    </row>
    <row r="173" customFormat="false" ht="12" hidden="false" customHeight="true" outlineLevel="0" collapsed="false">
      <c r="A173" s="1519"/>
      <c r="B173" s="1514"/>
      <c r="C173" s="1514"/>
      <c r="D173" s="1514"/>
      <c r="E173" s="1514"/>
      <c r="F173" s="1514"/>
      <c r="G173" s="1514"/>
      <c r="H173" s="1514"/>
      <c r="I173" s="1514"/>
      <c r="J173" s="1514"/>
      <c r="K173" s="1514"/>
      <c r="L173" s="1514"/>
      <c r="M173" s="1514"/>
      <c r="N173" s="1514"/>
      <c r="O173" s="1514"/>
      <c r="P173" s="1514"/>
      <c r="Q173" s="1514"/>
      <c r="R173" s="1514"/>
      <c r="S173" s="1514"/>
      <c r="T173" s="1514"/>
      <c r="U173" s="1514"/>
      <c r="V173" s="1514"/>
      <c r="W173" s="1514"/>
    </row>
    <row r="174" customFormat="false" ht="12" hidden="false" customHeight="true" outlineLevel="0" collapsed="false">
      <c r="A174" s="1519"/>
      <c r="B174" s="1514"/>
      <c r="C174" s="1514"/>
      <c r="D174" s="1514"/>
      <c r="E174" s="1514"/>
      <c r="F174" s="1514"/>
      <c r="G174" s="1514"/>
      <c r="H174" s="1514"/>
      <c r="I174" s="1514"/>
      <c r="J174" s="1514"/>
      <c r="K174" s="1514"/>
      <c r="L174" s="1514"/>
      <c r="M174" s="1514"/>
      <c r="N174" s="1514"/>
      <c r="O174" s="1514"/>
      <c r="P174" s="1514"/>
      <c r="Q174" s="1514"/>
      <c r="R174" s="1514"/>
      <c r="S174" s="1514"/>
      <c r="T174" s="1514"/>
      <c r="U174" s="1514"/>
      <c r="V174" s="1514"/>
      <c r="W174" s="1514"/>
    </row>
    <row r="175" customFormat="false" ht="12" hidden="false" customHeight="true" outlineLevel="0" collapsed="false">
      <c r="A175" s="1519"/>
      <c r="B175" s="1514"/>
      <c r="C175" s="1514"/>
      <c r="D175" s="1514"/>
      <c r="E175" s="1514"/>
      <c r="F175" s="1514"/>
      <c r="G175" s="1514"/>
      <c r="H175" s="1514"/>
      <c r="I175" s="1514"/>
      <c r="J175" s="1514"/>
      <c r="K175" s="1514"/>
      <c r="L175" s="1514"/>
      <c r="M175" s="1514"/>
      <c r="N175" s="1514"/>
      <c r="O175" s="1514"/>
      <c r="P175" s="1514"/>
      <c r="Q175" s="1514"/>
      <c r="R175" s="1514"/>
      <c r="S175" s="1514"/>
      <c r="T175" s="1514"/>
      <c r="U175" s="1514"/>
      <c r="V175" s="1514"/>
      <c r="W175" s="1514"/>
    </row>
    <row r="176" customFormat="false" ht="12" hidden="false" customHeight="true" outlineLevel="0" collapsed="false">
      <c r="A176" s="1519"/>
      <c r="B176" s="1514"/>
      <c r="C176" s="1514"/>
      <c r="D176" s="1514"/>
      <c r="E176" s="1514"/>
      <c r="F176" s="1514"/>
      <c r="G176" s="1514"/>
      <c r="H176" s="1514"/>
      <c r="I176" s="1514"/>
      <c r="J176" s="1514"/>
      <c r="K176" s="1514"/>
      <c r="L176" s="1514"/>
      <c r="M176" s="1514"/>
      <c r="N176" s="1514"/>
      <c r="O176" s="1514"/>
      <c r="P176" s="1514"/>
      <c r="Q176" s="1514"/>
      <c r="R176" s="1514"/>
      <c r="S176" s="1514"/>
      <c r="T176" s="1514"/>
      <c r="U176" s="1514"/>
      <c r="V176" s="1514"/>
      <c r="W176" s="1514"/>
    </row>
    <row r="177" customFormat="false" ht="12" hidden="false" customHeight="true" outlineLevel="0" collapsed="false">
      <c r="A177" s="1519"/>
      <c r="B177" s="1514"/>
      <c r="C177" s="1514"/>
      <c r="D177" s="1514"/>
      <c r="E177" s="1514"/>
      <c r="F177" s="1514"/>
      <c r="G177" s="1514"/>
      <c r="H177" s="1514"/>
      <c r="I177" s="1514"/>
      <c r="J177" s="1514"/>
      <c r="K177" s="1514"/>
      <c r="L177" s="1514"/>
      <c r="M177" s="1514"/>
      <c r="N177" s="1514"/>
      <c r="O177" s="1514"/>
      <c r="P177" s="1514"/>
      <c r="Q177" s="1514"/>
      <c r="R177" s="1514"/>
      <c r="S177" s="1514"/>
      <c r="T177" s="1514"/>
      <c r="U177" s="1514"/>
      <c r="V177" s="1514"/>
      <c r="W177" s="1514"/>
    </row>
    <row r="178" customFormat="false" ht="12" hidden="false" customHeight="true" outlineLevel="0" collapsed="false">
      <c r="A178" s="1514"/>
      <c r="B178" s="1514"/>
      <c r="C178" s="1514"/>
      <c r="D178" s="1514"/>
      <c r="E178" s="1514"/>
      <c r="F178" s="1514"/>
      <c r="G178" s="1514"/>
      <c r="H178" s="1514"/>
      <c r="I178" s="1514"/>
      <c r="J178" s="1514"/>
      <c r="K178" s="1514"/>
      <c r="L178" s="1514"/>
      <c r="M178" s="1514"/>
      <c r="N178" s="1514"/>
      <c r="O178" s="1514"/>
      <c r="P178" s="1514"/>
      <c r="Q178" s="1514"/>
      <c r="R178" s="1514"/>
      <c r="S178" s="1514"/>
      <c r="T178" s="1514"/>
      <c r="U178" s="1514"/>
      <c r="V178" s="1514"/>
      <c r="W178" s="1514"/>
    </row>
    <row r="179" customFormat="false" ht="12" hidden="false" customHeight="true" outlineLevel="0" collapsed="false">
      <c r="A179" s="1514"/>
      <c r="B179" s="1514"/>
      <c r="C179" s="1514"/>
      <c r="D179" s="1514"/>
      <c r="E179" s="1514"/>
      <c r="F179" s="1514"/>
      <c r="G179" s="1514"/>
      <c r="H179" s="1514"/>
      <c r="I179" s="1514"/>
      <c r="J179" s="1514"/>
      <c r="K179" s="1514"/>
      <c r="L179" s="1514"/>
      <c r="M179" s="1514"/>
      <c r="N179" s="1514"/>
      <c r="O179" s="1514"/>
      <c r="P179" s="1514"/>
      <c r="Q179" s="1514"/>
      <c r="R179" s="1514"/>
      <c r="S179" s="1514"/>
      <c r="T179" s="1514"/>
      <c r="U179" s="1514"/>
      <c r="V179" s="1514"/>
      <c r="W179" s="1514"/>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FF99"/>
    <pageSetUpPr fitToPage="false"/>
  </sheetPr>
  <dimension ref="A1:R35"/>
  <sheetViews>
    <sheetView showFormulas="false" showGridLines="tru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9.18359375" defaultRowHeight="12" customHeight="true" zeroHeight="false" outlineLevelRow="0" outlineLevelCol="0"/>
  <cols>
    <col collapsed="false" customWidth="true" hidden="false" outlineLevel="0" max="1" min="1" style="1710" width="4.82"/>
    <col collapsed="false" customWidth="true" hidden="false" outlineLevel="0" max="2" min="2" style="1711" width="31.54"/>
    <col collapsed="false" customWidth="true" hidden="false" outlineLevel="0" max="3" min="3" style="1711" width="14.54"/>
    <col collapsed="false" customWidth="true" hidden="false" outlineLevel="0" max="4" min="4" style="1710" width="29.73"/>
    <col collapsed="false" customWidth="true" hidden="false" outlineLevel="0" max="5" min="5" style="1710" width="4.45"/>
    <col collapsed="false" customWidth="true" hidden="false" outlineLevel="0" max="6" min="6" style="1710" width="6.73"/>
    <col collapsed="false" customWidth="true" hidden="false" outlineLevel="0" max="7" min="7" style="1710" width="19.82"/>
    <col collapsed="false" customWidth="true" hidden="false" outlineLevel="0" max="8" min="8" style="1710" width="11.18"/>
    <col collapsed="false" customWidth="true" hidden="false" outlineLevel="0" max="9" min="9" style="1710" width="16.18"/>
    <col collapsed="false" customWidth="true" hidden="false" outlineLevel="0" max="10" min="10" style="1710" width="15.82"/>
    <col collapsed="false" customWidth="true" hidden="false" outlineLevel="0" max="11" min="11" style="1710" width="19.18"/>
    <col collapsed="false" customWidth="false" hidden="false" outlineLevel="0" max="12" min="12" style="1710" width="9.18"/>
    <col collapsed="false" customWidth="true" hidden="false" outlineLevel="0" max="13" min="13" style="1710" width="4.45"/>
    <col collapsed="false" customWidth="true" hidden="false" outlineLevel="0" max="14" min="14" style="1710" width="18.27"/>
    <col collapsed="false" customWidth="true" hidden="false" outlineLevel="0" max="15" min="15" style="1710" width="19.82"/>
    <col collapsed="false" customWidth="true" hidden="false" outlineLevel="0" max="16" min="16" style="1710" width="17"/>
    <col collapsed="false" customWidth="true" hidden="false" outlineLevel="0" max="17" min="17" style="1710" width="13.27"/>
    <col collapsed="false" customWidth="true" hidden="false" outlineLevel="0" max="18" min="18" style="1710" width="15.82"/>
    <col collapsed="false" customWidth="false" hidden="false" outlineLevel="0" max="16384" min="19" style="1710" width="9.18"/>
  </cols>
  <sheetData>
    <row r="1" customFormat="false" ht="12" hidden="false" customHeight="true" outlineLevel="0" collapsed="false">
      <c r="A1" s="1712"/>
      <c r="B1" s="1713" t="s">
        <v>2090</v>
      </c>
      <c r="C1" s="1714" t="n">
        <v>3</v>
      </c>
      <c r="D1" s="1712"/>
      <c r="E1" s="1712"/>
      <c r="F1" s="1712"/>
      <c r="G1" s="1712"/>
      <c r="H1" s="1712"/>
      <c r="I1" s="1712"/>
      <c r="J1" s="1712"/>
      <c r="K1" s="1712"/>
      <c r="L1" s="1712"/>
      <c r="M1" s="1712"/>
      <c r="N1" s="1712"/>
      <c r="O1" s="1712"/>
      <c r="P1" s="1712"/>
      <c r="Q1" s="1712"/>
      <c r="R1" s="1712"/>
    </row>
    <row r="2" customFormat="false" ht="12" hidden="false" customHeight="true" outlineLevel="0" collapsed="false">
      <c r="A2" s="1712"/>
      <c r="B2" s="1715" t="s">
        <v>2091</v>
      </c>
      <c r="C2" s="1716" t="n">
        <f aca="false">(1+C5)^5</f>
        <v>1.61051</v>
      </c>
      <c r="D2" s="1712"/>
      <c r="E2" s="1712"/>
      <c r="F2" s="1712"/>
      <c r="G2" s="1712"/>
      <c r="H2" s="1712"/>
      <c r="I2" s="1712"/>
      <c r="J2" s="1712"/>
      <c r="K2" s="1712"/>
      <c r="L2" s="1712"/>
      <c r="M2" s="1712"/>
      <c r="N2" s="1712"/>
      <c r="O2" s="1712"/>
      <c r="P2" s="1712"/>
      <c r="Q2" s="1712"/>
      <c r="R2" s="1712"/>
    </row>
    <row r="3" customFormat="false" ht="12" hidden="false" customHeight="true" outlineLevel="0" collapsed="false">
      <c r="A3" s="1712"/>
      <c r="B3" s="1715" t="s">
        <v>2092</v>
      </c>
      <c r="C3" s="1716" t="n">
        <v>5</v>
      </c>
      <c r="D3" s="1712"/>
      <c r="E3" s="1712"/>
      <c r="F3" s="1712"/>
      <c r="G3" s="1712"/>
      <c r="H3" s="1712"/>
      <c r="I3" s="1712"/>
      <c r="J3" s="1712"/>
      <c r="K3" s="1712"/>
      <c r="L3" s="1712"/>
      <c r="M3" s="1712"/>
      <c r="N3" s="1712"/>
      <c r="O3" s="1712"/>
      <c r="P3" s="1712"/>
      <c r="Q3" s="1712"/>
      <c r="R3" s="1712"/>
    </row>
    <row r="4" customFormat="false" ht="12" hidden="false" customHeight="true" outlineLevel="0" collapsed="false">
      <c r="A4" s="1712"/>
      <c r="B4" s="1715" t="s">
        <v>1767</v>
      </c>
      <c r="C4" s="1717" t="n">
        <v>10000000</v>
      </c>
      <c r="D4" s="1712"/>
      <c r="E4" s="1712"/>
      <c r="F4" s="1712"/>
      <c r="G4" s="1712"/>
      <c r="H4" s="1712"/>
      <c r="I4" s="1712"/>
      <c r="J4" s="1712"/>
      <c r="K4" s="1712"/>
      <c r="L4" s="1712"/>
      <c r="M4" s="1712"/>
      <c r="N4" s="1712"/>
      <c r="O4" s="1712"/>
      <c r="P4" s="1712"/>
      <c r="Q4" s="1712"/>
      <c r="R4" s="1712"/>
    </row>
    <row r="5" customFormat="false" ht="12.75" hidden="false" customHeight="true" outlineLevel="0" collapsed="false">
      <c r="A5" s="1712"/>
      <c r="B5" s="1718" t="s">
        <v>2093</v>
      </c>
      <c r="C5" s="1719" t="n">
        <v>0.1</v>
      </c>
      <c r="D5" s="1712"/>
      <c r="E5" s="1712"/>
      <c r="F5" s="1712"/>
      <c r="G5" s="1712"/>
      <c r="H5" s="1712"/>
      <c r="I5" s="1712"/>
      <c r="J5" s="1712"/>
      <c r="K5" s="1712"/>
      <c r="L5" s="1712"/>
      <c r="M5" s="1712"/>
      <c r="N5" s="1712"/>
      <c r="O5" s="1712"/>
      <c r="P5" s="1712"/>
      <c r="Q5" s="1712"/>
      <c r="R5" s="1712"/>
    </row>
    <row r="6" customFormat="false" ht="12.75" hidden="false" customHeight="true" outlineLevel="0" collapsed="false">
      <c r="A6" s="1712"/>
      <c r="B6" s="1720"/>
      <c r="C6" s="1720"/>
      <c r="D6" s="1712"/>
      <c r="E6" s="1712"/>
      <c r="F6" s="1712"/>
      <c r="G6" s="1712"/>
      <c r="H6" s="1712"/>
      <c r="I6" s="1712"/>
      <c r="J6" s="1712"/>
      <c r="K6" s="1712"/>
      <c r="L6" s="1712"/>
      <c r="M6" s="1712"/>
      <c r="N6" s="1712"/>
      <c r="O6" s="1712"/>
      <c r="P6" s="1712"/>
      <c r="Q6" s="1712"/>
      <c r="R6" s="1712"/>
    </row>
    <row r="7" customFormat="false" ht="20.25" hidden="false" customHeight="true" outlineLevel="0" collapsed="false">
      <c r="A7" s="1721" t="s">
        <v>2094</v>
      </c>
      <c r="B7" s="1722" t="s">
        <v>2095</v>
      </c>
      <c r="C7" s="1723" t="n">
        <v>10000000</v>
      </c>
      <c r="D7" s="1712"/>
      <c r="E7" s="1163" t="s">
        <v>2096</v>
      </c>
      <c r="F7" s="1724"/>
      <c r="G7" s="1725" t="s">
        <v>2097</v>
      </c>
      <c r="H7" s="1726" t="s">
        <v>2098</v>
      </c>
      <c r="I7" s="1726" t="s">
        <v>1781</v>
      </c>
      <c r="J7" s="1726" t="s">
        <v>2099</v>
      </c>
      <c r="K7" s="1727" t="s">
        <v>2100</v>
      </c>
      <c r="L7" s="1712"/>
      <c r="M7" s="1157" t="s">
        <v>2096</v>
      </c>
      <c r="N7" s="1724"/>
      <c r="O7" s="1725" t="s">
        <v>2097</v>
      </c>
      <c r="P7" s="1726" t="s">
        <v>2101</v>
      </c>
      <c r="Q7" s="1726" t="s">
        <v>111</v>
      </c>
      <c r="R7" s="1727" t="s">
        <v>2102</v>
      </c>
    </row>
    <row r="8" customFormat="false" ht="20.25" hidden="false" customHeight="true" outlineLevel="0" collapsed="false">
      <c r="A8" s="1721"/>
      <c r="B8" s="1728" t="s">
        <v>2103</v>
      </c>
      <c r="C8" s="1729" t="n">
        <f aca="false">C5</f>
        <v>0.1</v>
      </c>
      <c r="D8" s="1712"/>
      <c r="E8" s="1163"/>
      <c r="F8" s="1730" t="s">
        <v>2104</v>
      </c>
      <c r="G8" s="1731" t="n">
        <v>10000000</v>
      </c>
      <c r="H8" s="1712"/>
      <c r="I8" s="1712"/>
      <c r="J8" s="1712"/>
      <c r="K8" s="1732"/>
      <c r="L8" s="1712"/>
      <c r="M8" s="1157"/>
      <c r="N8" s="1730" t="s">
        <v>2104</v>
      </c>
      <c r="O8" s="1731" t="n">
        <v>10000000</v>
      </c>
      <c r="P8" s="1712" t="n">
        <v>0.333333</v>
      </c>
      <c r="Q8" s="1712"/>
      <c r="R8" s="1732"/>
    </row>
    <row r="9" customFormat="false" ht="20.25" hidden="false" customHeight="true" outlineLevel="0" collapsed="false">
      <c r="A9" s="1721"/>
      <c r="B9" s="1733" t="str">
        <f aca="false">B2</f>
        <v>Implied ROI Multiple</v>
      </c>
      <c r="C9" s="1734" t="n">
        <f aca="false">C2</f>
        <v>1.61051</v>
      </c>
      <c r="D9" s="1712"/>
      <c r="E9" s="1163"/>
      <c r="F9" s="1735" t="s">
        <v>1488</v>
      </c>
      <c r="G9" s="1731"/>
      <c r="H9" s="1712" t="n">
        <v>0.1</v>
      </c>
      <c r="I9" s="1712" t="n">
        <v>0</v>
      </c>
      <c r="J9" s="1712" t="n">
        <v>0</v>
      </c>
      <c r="K9" s="1732" t="n">
        <v>10000000</v>
      </c>
      <c r="L9" s="1712"/>
      <c r="M9" s="1157"/>
      <c r="N9" s="1735" t="s">
        <v>1488</v>
      </c>
      <c r="O9" s="1731"/>
      <c r="P9" s="1712"/>
      <c r="Q9" s="1712" t="n">
        <f aca="false">'P&amp;L'!BJ46</f>
        <v>-3831207.37527624</v>
      </c>
      <c r="R9" s="1732" t="n">
        <f aca="false">$P$8*Q9</f>
        <v>-1277067.84802296</v>
      </c>
    </row>
    <row r="10" customFormat="false" ht="20.25" hidden="false" customHeight="true" outlineLevel="0" collapsed="false">
      <c r="A10" s="1721"/>
      <c r="B10" s="1733" t="s">
        <v>2105</v>
      </c>
      <c r="C10" s="1734" t="n">
        <f aca="false">C7*C9</f>
        <v>16105100</v>
      </c>
      <c r="D10" s="1712"/>
      <c r="E10" s="1163"/>
      <c r="F10" s="1735" t="s">
        <v>1672</v>
      </c>
      <c r="G10" s="1736"/>
      <c r="H10" s="1712" t="n">
        <v>0.1</v>
      </c>
      <c r="I10" s="1712" t="n">
        <v>0</v>
      </c>
      <c r="J10" s="1712" t="n">
        <v>0</v>
      </c>
      <c r="K10" s="1732" t="n">
        <v>10000000</v>
      </c>
      <c r="L10" s="1712"/>
      <c r="M10" s="1157"/>
      <c r="N10" s="1735" t="s">
        <v>1672</v>
      </c>
      <c r="O10" s="1736"/>
      <c r="P10" s="1712"/>
      <c r="Q10" s="1712" t="n">
        <f aca="false">'P&amp;L'!BK46</f>
        <v>8408716.91682543</v>
      </c>
      <c r="R10" s="1732" t="n">
        <f aca="false">$P$8*Q10</f>
        <v>2802902.83603617</v>
      </c>
    </row>
    <row r="11" customFormat="false" ht="20.25" hidden="false" customHeight="true" outlineLevel="0" collapsed="false">
      <c r="A11" s="1721"/>
      <c r="B11" s="1733"/>
      <c r="C11" s="1734"/>
      <c r="D11" s="1712"/>
      <c r="E11" s="1163"/>
      <c r="F11" s="1730" t="s">
        <v>1673</v>
      </c>
      <c r="G11" s="1736"/>
      <c r="H11" s="1712" t="n">
        <v>0.1</v>
      </c>
      <c r="I11" s="1712" t="n">
        <v>1000000</v>
      </c>
      <c r="J11" s="1712" t="n">
        <v>11000000</v>
      </c>
      <c r="K11" s="1732" t="n">
        <v>0</v>
      </c>
      <c r="L11" s="1712"/>
      <c r="M11" s="1157"/>
      <c r="N11" s="1730" t="s">
        <v>1673</v>
      </c>
      <c r="O11" s="1736"/>
      <c r="P11" s="1712"/>
      <c r="Q11" s="1712" t="n">
        <f aca="false">'P&amp;L'!BL46</f>
        <v>42095422.6414667</v>
      </c>
      <c r="R11" s="1732" t="n">
        <f aca="false">$P$8*Q11</f>
        <v>14031793.515348</v>
      </c>
    </row>
    <row r="12" customFormat="false" ht="20.25" hidden="false" customHeight="true" outlineLevel="0" collapsed="false">
      <c r="A12" s="1721"/>
      <c r="B12" s="1733" t="s">
        <v>2106</v>
      </c>
      <c r="C12" s="1734" t="n">
        <f aca="false">'P&amp;L'!BN46</f>
        <v>54856792.4462355</v>
      </c>
      <c r="D12" s="1712"/>
      <c r="E12" s="1163"/>
      <c r="F12" s="1737" t="s">
        <v>1674</v>
      </c>
      <c r="G12" s="1736"/>
      <c r="H12" s="1712" t="n">
        <v>0</v>
      </c>
      <c r="I12" s="1712" t="n">
        <v>0</v>
      </c>
      <c r="J12" s="1712" t="n">
        <v>0</v>
      </c>
      <c r="K12" s="1732" t="n">
        <v>0</v>
      </c>
      <c r="L12" s="1712"/>
      <c r="M12" s="1157"/>
      <c r="N12" s="1735" t="s">
        <v>1674</v>
      </c>
      <c r="O12" s="1736"/>
      <c r="P12" s="1712"/>
      <c r="Q12" s="1712" t="n">
        <f aca="false">'P&amp;L'!BM46</f>
        <v>48489992.1730687</v>
      </c>
      <c r="R12" s="1732" t="n">
        <f aca="false">$P$8*Q12</f>
        <v>16163314.5610255</v>
      </c>
    </row>
    <row r="13" customFormat="false" ht="20.25" hidden="false" customHeight="true" outlineLevel="0" collapsed="false">
      <c r="A13" s="1721"/>
      <c r="B13" s="1733" t="s">
        <v>2107</v>
      </c>
      <c r="C13" s="1734" t="n">
        <f aca="false">C3</f>
        <v>5</v>
      </c>
      <c r="D13" s="1712"/>
      <c r="E13" s="1163"/>
      <c r="F13" s="1730" t="s">
        <v>1675</v>
      </c>
      <c r="G13" s="1738"/>
      <c r="H13" s="1712" t="n">
        <v>0</v>
      </c>
      <c r="I13" s="1712" t="n">
        <v>0</v>
      </c>
      <c r="J13" s="1712" t="n">
        <v>0</v>
      </c>
      <c r="K13" s="1732" t="n">
        <v>0</v>
      </c>
      <c r="L13" s="1712"/>
      <c r="M13" s="1157"/>
      <c r="N13" s="1730" t="s">
        <v>1675</v>
      </c>
      <c r="O13" s="1738"/>
      <c r="P13" s="1712"/>
      <c r="Q13" s="1712" t="n">
        <f aca="false">'P&amp;L'!BN46</f>
        <v>54856792.4462355</v>
      </c>
      <c r="R13" s="1732" t="n">
        <f aca="false">$P$8*Q13</f>
        <v>18285579.196481</v>
      </c>
    </row>
    <row r="14" customFormat="false" ht="20.25" hidden="false" customHeight="true" outlineLevel="0" collapsed="false">
      <c r="A14" s="1721"/>
      <c r="B14" s="1728" t="s">
        <v>2108</v>
      </c>
      <c r="C14" s="1739" t="n">
        <f aca="false">C13*C12</f>
        <v>274283962.231178</v>
      </c>
      <c r="D14" s="1712"/>
      <c r="E14" s="1163"/>
      <c r="F14" s="1735"/>
      <c r="G14" s="1736"/>
      <c r="H14" s="1712"/>
      <c r="I14" s="1712"/>
      <c r="J14" s="1712"/>
      <c r="K14" s="1732"/>
      <c r="L14" s="1712"/>
      <c r="M14" s="1157"/>
      <c r="N14" s="1735" t="s">
        <v>2109</v>
      </c>
      <c r="O14" s="1736" t="n">
        <v>10000000</v>
      </c>
      <c r="P14" s="1712"/>
      <c r="Q14" s="1712"/>
      <c r="R14" s="1732"/>
    </row>
    <row r="15" customFormat="false" ht="20.25" hidden="false" customHeight="true" outlineLevel="0" collapsed="false">
      <c r="A15" s="1721"/>
      <c r="B15" s="1733"/>
      <c r="C15" s="1734"/>
      <c r="D15" s="1712"/>
      <c r="E15" s="1163"/>
      <c r="F15" s="1735"/>
      <c r="G15" s="1736"/>
      <c r="H15" s="1712"/>
      <c r="I15" s="1712"/>
      <c r="J15" s="1712"/>
      <c r="K15" s="1732"/>
      <c r="L15" s="1712"/>
      <c r="M15" s="1157"/>
      <c r="N15" s="1735" t="s">
        <v>1969</v>
      </c>
      <c r="O15" s="1736" t="n">
        <v>0</v>
      </c>
      <c r="P15" s="1712"/>
      <c r="Q15" s="1712"/>
      <c r="R15" s="1732"/>
    </row>
    <row r="16" customFormat="false" ht="20.25" hidden="false" customHeight="true" outlineLevel="0" collapsed="false">
      <c r="A16" s="1721"/>
      <c r="B16" s="1740" t="s">
        <v>2110</v>
      </c>
      <c r="C16" s="1741" t="n">
        <v>0.333333</v>
      </c>
      <c r="D16" s="1712"/>
      <c r="E16" s="1163"/>
      <c r="F16" s="1742"/>
      <c r="G16" s="1743" t="s">
        <v>2111</v>
      </c>
      <c r="H16" s="1743"/>
      <c r="I16" s="1744" t="n">
        <v>11000000</v>
      </c>
      <c r="J16" s="1744" t="s">
        <v>1969</v>
      </c>
      <c r="K16" s="1745" t="n">
        <v>1.1</v>
      </c>
      <c r="L16" s="1712"/>
      <c r="M16" s="1157"/>
      <c r="N16" s="1746" t="s">
        <v>2112</v>
      </c>
      <c r="O16" s="1747" t="n">
        <v>0</v>
      </c>
      <c r="P16" s="1748"/>
      <c r="Q16" s="1712"/>
      <c r="R16" s="1732"/>
    </row>
    <row r="17" customFormat="false" ht="19.5" hidden="false" customHeight="true" outlineLevel="0" collapsed="false">
      <c r="A17" s="1749"/>
      <c r="B17" s="1750"/>
      <c r="C17" s="1720"/>
      <c r="D17" s="1712"/>
      <c r="E17" s="1712"/>
      <c r="F17" s="1712"/>
      <c r="G17" s="1712"/>
      <c r="H17" s="1712"/>
      <c r="I17" s="1712"/>
      <c r="J17" s="1712"/>
      <c r="K17" s="1712"/>
      <c r="L17" s="1712"/>
      <c r="M17" s="1157"/>
      <c r="N17" s="1746" t="s">
        <v>1676</v>
      </c>
      <c r="O17" s="1731" t="n">
        <f aca="false">'P&amp;L'!BN19</f>
        <v>194997654.166</v>
      </c>
      <c r="P17" s="1712"/>
      <c r="Q17" s="1712"/>
      <c r="R17" s="1732"/>
    </row>
    <row r="18" customFormat="false" ht="19.5" hidden="false" customHeight="true" outlineLevel="0" collapsed="false">
      <c r="A18" s="1749"/>
      <c r="B18" s="1720"/>
      <c r="C18" s="1720"/>
      <c r="D18" s="1712"/>
      <c r="E18" s="1712"/>
      <c r="F18" s="1712"/>
      <c r="G18" s="1712"/>
      <c r="H18" s="1712"/>
      <c r="I18" s="1712"/>
      <c r="J18" s="1712"/>
      <c r="K18" s="1712"/>
      <c r="L18" s="1712"/>
      <c r="M18" s="1157"/>
      <c r="N18" s="1742" t="s">
        <v>2113</v>
      </c>
      <c r="O18" s="1751" t="n">
        <f aca="false">SUM(Q9:Q13)</f>
        <v>150019716.80232</v>
      </c>
      <c r="P18" s="1752"/>
      <c r="Q18" s="1744"/>
      <c r="R18" s="1745"/>
    </row>
    <row r="19" customFormat="false" ht="13.5" hidden="false" customHeight="true" outlineLevel="0" collapsed="false">
      <c r="A19" s="1749"/>
      <c r="B19" s="1720"/>
      <c r="C19" s="1720"/>
      <c r="D19" s="1712"/>
      <c r="E19" s="1712"/>
      <c r="F19" s="1712"/>
      <c r="G19" s="1712"/>
      <c r="H19" s="1712"/>
      <c r="I19" s="1712"/>
      <c r="J19" s="1712"/>
      <c r="K19" s="1712"/>
      <c r="L19" s="1712"/>
      <c r="M19" s="1712"/>
      <c r="N19" s="1712"/>
      <c r="O19" s="1712"/>
      <c r="P19" s="1712"/>
      <c r="Q19" s="1712"/>
      <c r="R19" s="1712"/>
    </row>
    <row r="20" customFormat="false" ht="12.75" hidden="false" customHeight="true" outlineLevel="0" collapsed="false">
      <c r="A20" s="1753" t="s">
        <v>2114</v>
      </c>
      <c r="B20" s="1720"/>
      <c r="C20" s="1720"/>
      <c r="D20" s="1748"/>
      <c r="E20" s="1712"/>
      <c r="F20" s="1712"/>
      <c r="G20" s="1712"/>
      <c r="H20" s="1712"/>
      <c r="I20" s="1712"/>
      <c r="J20" s="1712"/>
      <c r="K20" s="1712"/>
      <c r="L20" s="1712"/>
      <c r="M20" s="1712"/>
      <c r="N20" s="1712"/>
      <c r="O20" s="1712"/>
      <c r="P20" s="1712"/>
      <c r="Q20" s="1712"/>
      <c r="R20" s="1712"/>
    </row>
    <row r="21" customFormat="false" ht="12.75" hidden="false" customHeight="true" outlineLevel="0" collapsed="false">
      <c r="A21" s="1754" t="s">
        <v>830</v>
      </c>
      <c r="B21" s="1755" t="s">
        <v>2115</v>
      </c>
      <c r="C21" s="1755" t="s">
        <v>2116</v>
      </c>
      <c r="D21" s="1756" t="s">
        <v>2117</v>
      </c>
      <c r="E21" s="1757" t="s">
        <v>1767</v>
      </c>
      <c r="F21" s="1757" t="s">
        <v>218</v>
      </c>
      <c r="G21" s="1712"/>
      <c r="H21" s="1712"/>
      <c r="I21" s="1712"/>
      <c r="J21" s="1712"/>
      <c r="K21" s="1712"/>
      <c r="L21" s="1712"/>
      <c r="M21" s="1712"/>
      <c r="N21" s="1712"/>
      <c r="O21" s="1712"/>
      <c r="P21" s="1712"/>
      <c r="Q21" s="1712"/>
      <c r="R21" s="1712"/>
    </row>
    <row r="22" customFormat="false" ht="12.75" hidden="false" customHeight="true" outlineLevel="0" collapsed="false">
      <c r="A22" s="1749" t="s">
        <v>2118</v>
      </c>
      <c r="B22" s="1720" t="s">
        <v>2119</v>
      </c>
      <c r="C22" s="1720" t="n">
        <v>300000</v>
      </c>
      <c r="D22" s="1758" t="n">
        <v>0.333</v>
      </c>
      <c r="E22" s="1712" t="n">
        <v>10000000</v>
      </c>
      <c r="F22" s="1712" t="s">
        <v>2120</v>
      </c>
      <c r="G22" s="1712"/>
      <c r="H22" s="1712"/>
      <c r="I22" s="1712"/>
      <c r="J22" s="1712"/>
      <c r="K22" s="1712"/>
      <c r="L22" s="1712"/>
      <c r="M22" s="1712"/>
      <c r="N22" s="1712"/>
      <c r="O22" s="1712"/>
      <c r="P22" s="1712"/>
      <c r="Q22" s="1712"/>
      <c r="R22" s="1712"/>
    </row>
    <row r="23" customFormat="false" ht="12.75" hidden="false" customHeight="true" outlineLevel="0" collapsed="false">
      <c r="A23" s="1749" t="s">
        <v>2121</v>
      </c>
      <c r="B23" s="1720" t="s">
        <v>2122</v>
      </c>
      <c r="C23" s="1720" t="n">
        <v>300000</v>
      </c>
      <c r="D23" s="1758" t="n">
        <v>0.333</v>
      </c>
      <c r="E23" s="1712" t="s">
        <v>2123</v>
      </c>
      <c r="F23" s="1712" t="s">
        <v>2124</v>
      </c>
      <c r="G23" s="1712"/>
      <c r="H23" s="1712"/>
      <c r="I23" s="1712"/>
      <c r="J23" s="1712"/>
      <c r="K23" s="1712"/>
      <c r="L23" s="1712"/>
      <c r="M23" s="1712"/>
      <c r="N23" s="1712"/>
      <c r="O23" s="1712"/>
      <c r="P23" s="1712"/>
      <c r="Q23" s="1712"/>
      <c r="R23" s="1712"/>
    </row>
    <row r="24" customFormat="false" ht="12.75" hidden="false" customHeight="true" outlineLevel="0" collapsed="false">
      <c r="A24" s="1749" t="s">
        <v>2125</v>
      </c>
      <c r="B24" s="1720" t="s">
        <v>2122</v>
      </c>
      <c r="C24" s="1720" t="n">
        <v>300000</v>
      </c>
      <c r="D24" s="1758" t="n">
        <v>0.333</v>
      </c>
      <c r="E24" s="1712" t="s">
        <v>2123</v>
      </c>
      <c r="F24" s="1712" t="s">
        <v>2124</v>
      </c>
      <c r="G24" s="1712"/>
      <c r="H24" s="1712"/>
      <c r="I24" s="1712"/>
      <c r="J24" s="1712"/>
      <c r="K24" s="1712"/>
      <c r="L24" s="1712"/>
      <c r="M24" s="1712"/>
      <c r="N24" s="1712"/>
      <c r="O24" s="1712"/>
      <c r="P24" s="1712"/>
      <c r="Q24" s="1712"/>
      <c r="R24" s="1712"/>
    </row>
    <row r="25" customFormat="false" ht="12.75" hidden="false" customHeight="true" outlineLevel="0" collapsed="false">
      <c r="A25" s="1749" t="s">
        <v>355</v>
      </c>
      <c r="B25" s="1720"/>
      <c r="C25" s="1720" t="n">
        <v>900000</v>
      </c>
      <c r="D25" s="1759" t="n">
        <v>1</v>
      </c>
      <c r="E25" s="1712" t="n">
        <v>10000000</v>
      </c>
      <c r="F25" s="1712"/>
      <c r="G25" s="1712"/>
      <c r="H25" s="1712"/>
      <c r="I25" s="1712"/>
      <c r="J25" s="1712"/>
      <c r="K25" s="1712"/>
      <c r="L25" s="1712"/>
      <c r="M25" s="1712"/>
      <c r="N25" s="1712"/>
      <c r="O25" s="1712"/>
      <c r="P25" s="1712"/>
      <c r="Q25" s="1712"/>
      <c r="R25" s="1712"/>
    </row>
    <row r="26" customFormat="false" ht="12.75" hidden="false" customHeight="true" outlineLevel="0" collapsed="false">
      <c r="A26" s="1749"/>
      <c r="B26" s="1720"/>
      <c r="C26" s="1720"/>
      <c r="D26" s="1712"/>
      <c r="E26" s="1712"/>
      <c r="F26" s="1712"/>
      <c r="G26" s="1712"/>
      <c r="H26" s="1712"/>
      <c r="I26" s="1712"/>
      <c r="J26" s="1712"/>
      <c r="K26" s="1712"/>
      <c r="L26" s="1712"/>
      <c r="M26" s="1712"/>
      <c r="N26" s="1712"/>
      <c r="O26" s="1712"/>
      <c r="P26" s="1712"/>
      <c r="Q26" s="1712"/>
      <c r="R26" s="1712"/>
    </row>
    <row r="27" customFormat="false" ht="12.75" hidden="false" customHeight="true" outlineLevel="0" collapsed="false">
      <c r="A27" s="1760" t="s">
        <v>2126</v>
      </c>
      <c r="B27" s="1720"/>
      <c r="C27" s="1720"/>
      <c r="D27" s="1712"/>
      <c r="E27" s="1712"/>
      <c r="F27" s="1712"/>
      <c r="G27" s="1712"/>
      <c r="H27" s="1712"/>
      <c r="I27" s="1712"/>
      <c r="J27" s="1712"/>
      <c r="K27" s="1712"/>
      <c r="L27" s="1712"/>
      <c r="M27" s="1712"/>
      <c r="N27" s="1712"/>
      <c r="O27" s="1712"/>
      <c r="P27" s="1712"/>
      <c r="Q27" s="1712"/>
      <c r="R27" s="1712"/>
    </row>
    <row r="28" customFormat="false" ht="12.75" hidden="false" customHeight="true" outlineLevel="0" collapsed="false">
      <c r="A28" s="1761" t="s">
        <v>1782</v>
      </c>
      <c r="B28" s="1762" t="s">
        <v>2127</v>
      </c>
      <c r="C28" s="1762" t="s">
        <v>2128</v>
      </c>
      <c r="D28" s="1763" t="s">
        <v>2129</v>
      </c>
      <c r="E28" s="1712"/>
      <c r="F28" s="1712"/>
      <c r="G28" s="1712"/>
      <c r="H28" s="1712"/>
      <c r="I28" s="1712"/>
      <c r="J28" s="1712"/>
      <c r="K28" s="1712"/>
      <c r="L28" s="1712"/>
      <c r="M28" s="1712"/>
      <c r="N28" s="1712"/>
      <c r="O28" s="1712"/>
      <c r="P28" s="1712"/>
      <c r="Q28" s="1712"/>
      <c r="R28" s="1712"/>
    </row>
    <row r="29" customFormat="false" ht="12.75" hidden="false" customHeight="true" outlineLevel="0" collapsed="false">
      <c r="A29" s="1749" t="n">
        <v>10000000</v>
      </c>
      <c r="B29" s="1720" t="n">
        <v>1000000</v>
      </c>
      <c r="C29" s="1720" t="n">
        <v>11000000</v>
      </c>
      <c r="D29" s="1712" t="s">
        <v>1645</v>
      </c>
      <c r="E29" s="1712"/>
      <c r="F29" s="1712"/>
      <c r="G29" s="1712"/>
      <c r="H29" s="1712"/>
      <c r="I29" s="1712"/>
      <c r="J29" s="1712"/>
      <c r="K29" s="1712"/>
      <c r="L29" s="1712"/>
      <c r="M29" s="1712"/>
      <c r="N29" s="1712"/>
      <c r="O29" s="1712"/>
      <c r="P29" s="1712"/>
      <c r="Q29" s="1712"/>
      <c r="R29" s="1712"/>
    </row>
    <row r="30" customFormat="false" ht="12" hidden="false" customHeight="true" outlineLevel="0" collapsed="false">
      <c r="A30" s="1749"/>
      <c r="B30" s="1720"/>
      <c r="C30" s="1720"/>
      <c r="D30" s="1712"/>
      <c r="E30" s="1712"/>
      <c r="F30" s="1712"/>
      <c r="G30" s="1712"/>
      <c r="H30" s="1712"/>
      <c r="I30" s="1712"/>
      <c r="J30" s="1712"/>
      <c r="K30" s="1712"/>
      <c r="L30" s="1712"/>
      <c r="M30" s="1712"/>
      <c r="N30" s="1712"/>
      <c r="O30" s="1712"/>
      <c r="P30" s="1712"/>
      <c r="Q30" s="1712"/>
      <c r="R30" s="1712"/>
    </row>
    <row r="31" customFormat="false" ht="12" hidden="false" customHeight="true" outlineLevel="0" collapsed="false">
      <c r="A31" s="1749"/>
      <c r="B31" s="1720"/>
      <c r="C31" s="1720"/>
      <c r="D31" s="1712"/>
      <c r="E31" s="1712"/>
      <c r="F31" s="1712"/>
      <c r="G31" s="1712"/>
      <c r="H31" s="1712"/>
      <c r="I31" s="1712"/>
      <c r="J31" s="1712"/>
      <c r="K31" s="1712"/>
      <c r="L31" s="1712"/>
      <c r="M31" s="1712"/>
      <c r="N31" s="1712"/>
      <c r="O31" s="1712"/>
      <c r="P31" s="1712"/>
      <c r="Q31" s="1712"/>
      <c r="R31" s="1712"/>
    </row>
    <row r="32" customFormat="false" ht="12" hidden="false" customHeight="true" outlineLevel="0" collapsed="false">
      <c r="A32" s="1749"/>
      <c r="B32" s="1720"/>
      <c r="C32" s="1720"/>
      <c r="D32" s="1712"/>
      <c r="E32" s="1712"/>
      <c r="F32" s="1712"/>
      <c r="G32" s="1712"/>
      <c r="H32" s="1712"/>
      <c r="I32" s="1712"/>
      <c r="J32" s="1712"/>
      <c r="K32" s="1712"/>
      <c r="L32" s="1712"/>
      <c r="M32" s="1712"/>
      <c r="N32" s="1712"/>
      <c r="O32" s="1712"/>
      <c r="P32" s="1712"/>
      <c r="Q32" s="1712"/>
      <c r="R32" s="1712"/>
    </row>
    <row r="33" customFormat="false" ht="12" hidden="false" customHeight="true" outlineLevel="0" collapsed="false">
      <c r="A33" s="1749"/>
      <c r="B33" s="1720"/>
      <c r="C33" s="1720"/>
      <c r="D33" s="1712"/>
      <c r="E33" s="1712"/>
      <c r="F33" s="1712"/>
      <c r="G33" s="1712"/>
      <c r="H33" s="1712"/>
      <c r="I33" s="1712"/>
      <c r="J33" s="1712"/>
      <c r="K33" s="1712"/>
      <c r="L33" s="1712"/>
      <c r="M33" s="1712"/>
      <c r="N33" s="1712"/>
      <c r="O33" s="1712"/>
      <c r="P33" s="1712"/>
      <c r="Q33" s="1712"/>
      <c r="R33" s="1712"/>
    </row>
    <row r="34" customFormat="false" ht="12" hidden="false" customHeight="true" outlineLevel="0" collapsed="false">
      <c r="A34" s="1749"/>
      <c r="B34" s="1720"/>
      <c r="C34" s="1720"/>
      <c r="D34" s="1712"/>
      <c r="E34" s="1712"/>
      <c r="F34" s="1712"/>
      <c r="G34" s="1712"/>
      <c r="H34" s="1712"/>
      <c r="I34" s="1712"/>
      <c r="J34" s="1712"/>
      <c r="K34" s="1712"/>
      <c r="L34" s="1712"/>
      <c r="M34" s="1712"/>
      <c r="N34" s="1712"/>
      <c r="O34" s="1712"/>
      <c r="P34" s="1712"/>
      <c r="Q34" s="1712"/>
      <c r="R34" s="1712"/>
    </row>
    <row r="35" customFormat="false" ht="12" hidden="false" customHeight="true" outlineLevel="0" collapsed="false">
      <c r="A35" s="1749"/>
      <c r="B35" s="1720"/>
      <c r="C35" s="1720"/>
      <c r="D35" s="1712"/>
      <c r="E35" s="1712"/>
      <c r="F35" s="1712"/>
      <c r="G35" s="1712"/>
      <c r="H35" s="1712"/>
      <c r="I35" s="1712"/>
      <c r="J35" s="1712"/>
      <c r="K35" s="1712"/>
      <c r="L35" s="1712"/>
      <c r="M35" s="1712"/>
      <c r="N35" s="1712"/>
      <c r="O35" s="1712"/>
      <c r="P35" s="1712"/>
      <c r="Q35" s="1712"/>
      <c r="R35" s="1712"/>
    </row>
  </sheetData>
  <mergeCells count="4">
    <mergeCell ref="A7:A16"/>
    <mergeCell ref="E7:E16"/>
    <mergeCell ref="M7:M18"/>
    <mergeCell ref="G16:H16"/>
  </mergeCells>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FF99"/>
    <pageSetUpPr fitToPage="false"/>
  </sheetPr>
  <dimension ref="A1:J4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H33" activeCellId="0" sqref="H33"/>
    </sheetView>
  </sheetViews>
  <sheetFormatPr defaultColWidth="9.18359375" defaultRowHeight="12" customHeight="true" zeroHeight="false" outlineLevelRow="0" outlineLevelCol="0"/>
  <cols>
    <col collapsed="false" customWidth="true" hidden="false" outlineLevel="0" max="1" min="1" style="1710" width="4.45"/>
    <col collapsed="false" customWidth="true" hidden="false" outlineLevel="0" max="2" min="2" style="1764" width="20.18"/>
    <col collapsed="false" customWidth="true" hidden="false" outlineLevel="0" max="3" min="3" style="1711" width="11.45"/>
    <col collapsed="false" customWidth="true" hidden="false" outlineLevel="0" max="4" min="4" style="1711" width="12.27"/>
    <col collapsed="false" customWidth="true" hidden="false" outlineLevel="0" max="8" min="5" style="1710" width="13.54"/>
    <col collapsed="false" customWidth="false" hidden="false" outlineLevel="0" max="16384" min="9" style="1710" width="9.18"/>
  </cols>
  <sheetData>
    <row r="1" customFormat="false" ht="12.75" hidden="false" customHeight="true" outlineLevel="0" collapsed="false">
      <c r="A1" s="1163" t="s">
        <v>2130</v>
      </c>
      <c r="B1" s="1634"/>
      <c r="C1" s="1176" t="s">
        <v>2068</v>
      </c>
      <c r="D1" s="1176" t="str">
        <f aca="false">'P&amp;L'!BJ27</f>
        <v>Year 1</v>
      </c>
      <c r="E1" s="1176" t="str">
        <f aca="false">'P&amp;L'!BK27</f>
        <v>Year 2</v>
      </c>
      <c r="F1" s="1176" t="str">
        <f aca="false">'P&amp;L'!BL27</f>
        <v>Year 3</v>
      </c>
      <c r="G1" s="1176" t="str">
        <f aca="false">'P&amp;L'!BM27</f>
        <v>Year 4</v>
      </c>
      <c r="H1" s="1177" t="str">
        <f aca="false">'P&amp;L'!BN27</f>
        <v>Year 5</v>
      </c>
      <c r="I1" s="1712"/>
      <c r="J1" s="1712"/>
    </row>
    <row r="2" customFormat="false" ht="12.75" hidden="false" customHeight="true" outlineLevel="0" collapsed="false">
      <c r="A2" s="1163"/>
      <c r="B2" s="1662" t="s">
        <v>1767</v>
      </c>
      <c r="C2" s="1219" t="n">
        <v>10000000</v>
      </c>
      <c r="D2" s="1219"/>
      <c r="E2" s="1219"/>
      <c r="F2" s="1219"/>
      <c r="G2" s="1219"/>
      <c r="H2" s="1220"/>
      <c r="I2" s="1712"/>
      <c r="J2" s="1712"/>
    </row>
    <row r="3" customFormat="false" ht="12.75" hidden="false" customHeight="true" outlineLevel="0" collapsed="false">
      <c r="A3" s="1163"/>
      <c r="B3" s="1664" t="s">
        <v>2102</v>
      </c>
      <c r="C3" s="1217" t="n">
        <v>0.333333</v>
      </c>
      <c r="D3" s="1217"/>
      <c r="E3" s="1217"/>
      <c r="F3" s="1217"/>
      <c r="G3" s="1217"/>
      <c r="H3" s="1218"/>
      <c r="I3" s="1712"/>
      <c r="J3" s="1712"/>
    </row>
    <row r="4" customFormat="false" ht="12.75" hidden="false" customHeight="true" outlineLevel="0" collapsed="false">
      <c r="A4" s="1163"/>
      <c r="B4" s="1664"/>
      <c r="C4" s="1217"/>
      <c r="D4" s="1217"/>
      <c r="E4" s="1217"/>
      <c r="F4" s="1217"/>
      <c r="G4" s="1217"/>
      <c r="H4" s="1218"/>
      <c r="I4" s="1712"/>
      <c r="J4" s="1712"/>
    </row>
    <row r="5" customFormat="false" ht="12.75" hidden="false" customHeight="true" outlineLevel="0" collapsed="false">
      <c r="A5" s="1163"/>
      <c r="B5" s="1664" t="s">
        <v>111</v>
      </c>
      <c r="C5" s="1217"/>
      <c r="D5" s="1217" t="n">
        <f aca="false">'P&amp;L'!BJ46</f>
        <v>-3831207.37527624</v>
      </c>
      <c r="E5" s="1217" t="n">
        <f aca="false">'P&amp;L'!BK46</f>
        <v>8408716.91682543</v>
      </c>
      <c r="F5" s="1217" t="n">
        <f aca="false">'P&amp;L'!BL46</f>
        <v>42095422.6414667</v>
      </c>
      <c r="G5" s="1217" t="n">
        <f aca="false">'P&amp;L'!BM46</f>
        <v>48489992.1730687</v>
      </c>
      <c r="H5" s="1218" t="n">
        <f aca="false">'P&amp;L'!BN46</f>
        <v>54856792.4462355</v>
      </c>
      <c r="I5" s="1712"/>
      <c r="J5" s="1712"/>
    </row>
    <row r="6" customFormat="false" ht="12.75" hidden="false" customHeight="true" outlineLevel="0" collapsed="false">
      <c r="A6" s="1163"/>
      <c r="B6" s="1664"/>
      <c r="C6" s="1217"/>
      <c r="D6" s="1217"/>
      <c r="E6" s="1217"/>
      <c r="F6" s="1217"/>
      <c r="G6" s="1217"/>
      <c r="H6" s="1218"/>
      <c r="I6" s="1712"/>
      <c r="J6" s="1712"/>
    </row>
    <row r="7" customFormat="false" ht="12.75" hidden="false" customHeight="true" outlineLevel="0" collapsed="false">
      <c r="A7" s="1163"/>
      <c r="B7" s="1664" t="s">
        <v>2131</v>
      </c>
      <c r="C7" s="1217"/>
      <c r="D7" s="1217"/>
      <c r="E7" s="1217"/>
      <c r="F7" s="1217"/>
      <c r="G7" s="1217"/>
      <c r="H7" s="1218" t="n">
        <v>5</v>
      </c>
      <c r="I7" s="1712"/>
      <c r="J7" s="1712"/>
    </row>
    <row r="8" customFormat="false" ht="12.75" hidden="false" customHeight="true" outlineLevel="0" collapsed="false">
      <c r="A8" s="1163"/>
      <c r="B8" s="1664"/>
      <c r="C8" s="1217"/>
      <c r="D8" s="1217"/>
      <c r="E8" s="1217"/>
      <c r="F8" s="1217"/>
      <c r="G8" s="1217"/>
      <c r="H8" s="1218"/>
      <c r="I8" s="1712"/>
      <c r="J8" s="1712"/>
    </row>
    <row r="9" customFormat="false" ht="12.75" hidden="false" customHeight="true" outlineLevel="0" collapsed="false">
      <c r="A9" s="1163"/>
      <c r="B9" s="1664" t="s">
        <v>2109</v>
      </c>
      <c r="C9" s="1217"/>
      <c r="D9" s="1217"/>
      <c r="E9" s="1217"/>
      <c r="F9" s="1217"/>
      <c r="G9" s="1217"/>
      <c r="H9" s="1218" t="n">
        <f aca="false">H5*H7</f>
        <v>274283962.231178</v>
      </c>
      <c r="I9" s="1712"/>
      <c r="J9" s="1712"/>
    </row>
    <row r="10" customFormat="false" ht="12.75" hidden="false" customHeight="true" outlineLevel="0" collapsed="false">
      <c r="A10" s="1163"/>
      <c r="B10" s="1664"/>
      <c r="C10" s="1217"/>
      <c r="D10" s="1217"/>
      <c r="E10" s="1217"/>
      <c r="F10" s="1217"/>
      <c r="G10" s="1217"/>
      <c r="H10" s="1218"/>
      <c r="I10" s="1712"/>
      <c r="J10" s="1712"/>
    </row>
    <row r="11" customFormat="false" ht="12.75" hidden="false" customHeight="true" outlineLevel="0" collapsed="false">
      <c r="A11" s="1163"/>
      <c r="B11" s="1664" t="s">
        <v>2132</v>
      </c>
      <c r="C11" s="1217"/>
      <c r="D11" s="1217" t="n">
        <f aca="false">IF(D5&lt;0,0,D5*$C$3)</f>
        <v>0</v>
      </c>
      <c r="E11" s="1217" t="n">
        <f aca="false">IF(E5&lt;0,0,E5*$C$3)</f>
        <v>2802902.83603617</v>
      </c>
      <c r="F11" s="1217" t="n">
        <f aca="false">IF(F5&lt;0,0,F5*$C$3)</f>
        <v>14031793.515348</v>
      </c>
      <c r="G11" s="1217" t="n">
        <f aca="false">IF(G5&lt;0,0,G5*$C$3)</f>
        <v>16163314.5610255</v>
      </c>
      <c r="H11" s="1218" t="n">
        <f aca="false">IF(H5&lt;0,0,H5*$C$3)</f>
        <v>18285579.196481</v>
      </c>
      <c r="I11" s="1712"/>
      <c r="J11" s="1720" t="s">
        <v>2133</v>
      </c>
    </row>
    <row r="12" customFormat="false" ht="12.75" hidden="false" customHeight="true" outlineLevel="0" collapsed="false">
      <c r="A12" s="1163"/>
      <c r="B12" s="1664"/>
      <c r="C12" s="1217"/>
      <c r="D12" s="1217"/>
      <c r="E12" s="1217"/>
      <c r="F12" s="1217"/>
      <c r="G12" s="1217"/>
      <c r="H12" s="1218"/>
      <c r="I12" s="1712"/>
      <c r="J12" s="1712"/>
    </row>
    <row r="13" customFormat="false" ht="12.75" hidden="false" customHeight="true" outlineLevel="0" collapsed="false">
      <c r="A13" s="1163"/>
      <c r="B13" s="1664" t="s">
        <v>2134</v>
      </c>
      <c r="C13" s="1217"/>
      <c r="D13" s="1217"/>
      <c r="E13" s="1217"/>
      <c r="F13" s="1217"/>
      <c r="G13" s="1217"/>
      <c r="H13" s="1218" t="n">
        <f aca="false">H9*$C$3</f>
        <v>91427895.9824052</v>
      </c>
      <c r="I13" s="1712"/>
      <c r="J13" s="1712"/>
    </row>
    <row r="14" customFormat="false" ht="12.75" hidden="false" customHeight="true" outlineLevel="0" collapsed="false">
      <c r="A14" s="1163"/>
      <c r="B14" s="1664"/>
      <c r="C14" s="1217"/>
      <c r="D14" s="1217"/>
      <c r="E14" s="1217"/>
      <c r="F14" s="1217"/>
      <c r="G14" s="1217"/>
      <c r="H14" s="1218"/>
      <c r="I14" s="1712"/>
      <c r="J14" s="1712"/>
    </row>
    <row r="15" customFormat="false" ht="12.75" hidden="false" customHeight="true" outlineLevel="0" collapsed="false">
      <c r="A15" s="1163"/>
      <c r="B15" s="1664" t="s">
        <v>2135</v>
      </c>
      <c r="C15" s="1217" t="n">
        <v>-10000000</v>
      </c>
      <c r="D15" s="1217" t="n">
        <f aca="false">SUM(D11:D13)</f>
        <v>0</v>
      </c>
      <c r="E15" s="1217" t="n">
        <f aca="false">SUM(E11:E13)</f>
        <v>2802902.83603617</v>
      </c>
      <c r="F15" s="1217" t="n">
        <f aca="false">SUM(F11:F13)</f>
        <v>14031793.515348</v>
      </c>
      <c r="G15" s="1217" t="n">
        <f aca="false">SUM(G11:G13)</f>
        <v>16163314.5610255</v>
      </c>
      <c r="H15" s="1218" t="n">
        <f aca="false">SUM(H11:H13)</f>
        <v>109713475.178886</v>
      </c>
      <c r="I15" s="1712"/>
      <c r="J15" s="1712"/>
    </row>
    <row r="16" customFormat="false" ht="12.75" hidden="false" customHeight="true" outlineLevel="0" collapsed="false">
      <c r="A16" s="1163"/>
      <c r="B16" s="1664"/>
      <c r="C16" s="1217"/>
      <c r="D16" s="1217"/>
      <c r="E16" s="1217"/>
      <c r="F16" s="1217"/>
      <c r="G16" s="1217"/>
      <c r="H16" s="1218"/>
      <c r="I16" s="1712"/>
      <c r="J16" s="1712"/>
    </row>
    <row r="17" customFormat="false" ht="12.75" hidden="false" customHeight="true" outlineLevel="0" collapsed="false">
      <c r="A17" s="1163"/>
      <c r="B17" s="1684" t="s">
        <v>2136</v>
      </c>
      <c r="C17" s="1277" t="n">
        <f aca="false">IRR(C15:H15)</f>
        <v>0.826162991386686</v>
      </c>
      <c r="D17" s="1277"/>
      <c r="E17" s="1277"/>
      <c r="F17" s="1277"/>
      <c r="G17" s="1277"/>
      <c r="H17" s="1278"/>
      <c r="I17" s="1712"/>
      <c r="J17" s="1712"/>
    </row>
    <row r="18" customFormat="false" ht="12.75" hidden="false" customHeight="true" outlineLevel="0" collapsed="false"/>
    <row r="19" customFormat="false" ht="12.75" hidden="false" customHeight="true" outlineLevel="0" collapsed="false">
      <c r="B19" s="1765"/>
    </row>
    <row r="20" customFormat="false" ht="12.75" hidden="false" customHeight="true" outlineLevel="0" collapsed="false">
      <c r="A20" s="1766"/>
    </row>
    <row r="21" customFormat="false" ht="12.75" hidden="false" customHeight="true" outlineLevel="0" collapsed="false">
      <c r="A21" s="1766"/>
    </row>
    <row r="22" customFormat="false" ht="12.75" hidden="false" customHeight="true" outlineLevel="0" collapsed="false">
      <c r="A22" s="1766"/>
    </row>
    <row r="23" customFormat="false" ht="12.75" hidden="false" customHeight="true" outlineLevel="0" collapsed="false">
      <c r="A23" s="1766"/>
    </row>
    <row r="24" customFormat="false" ht="12.75" hidden="false" customHeight="true" outlineLevel="0" collapsed="false">
      <c r="A24" s="1766"/>
    </row>
    <row r="25" customFormat="false" ht="12.75" hidden="false" customHeight="true" outlineLevel="0" collapsed="false">
      <c r="A25" s="1766"/>
    </row>
    <row r="26" customFormat="false" ht="12.75" hidden="false" customHeight="true" outlineLevel="0" collapsed="false"/>
    <row r="27" customFormat="false" ht="12.75" hidden="false" customHeight="true" outlineLevel="0" collapsed="false"/>
    <row r="28" customFormat="false" ht="12.75" hidden="false" customHeight="true" outlineLevel="0" collapsed="false"/>
    <row r="29" customFormat="false" ht="12.75" hidden="false" customHeight="true" outlineLevel="0" collapsed="false"/>
    <row r="30" customFormat="false" ht="12.75" hidden="false" customHeight="true" outlineLevel="0" collapsed="false"/>
    <row r="31" customFormat="false" ht="12.75" hidden="false" customHeight="true" outlineLevel="0" collapsed="false"/>
    <row r="32" customFormat="false" ht="12.75" hidden="false" customHeight="true" outlineLevel="0" collapsed="false"/>
    <row r="33" customFormat="false" ht="12.75" hidden="false" customHeight="true" outlineLevel="0" collapsed="false"/>
    <row r="34" customFormat="false" ht="12.75" hidden="false" customHeight="true" outlineLevel="0" collapsed="false"/>
    <row r="35" customFormat="false" ht="12.75" hidden="false" customHeight="true" outlineLevel="0" collapsed="false"/>
    <row r="36" customFormat="false" ht="12.75" hidden="false" customHeight="true" outlineLevel="0" collapsed="false"/>
    <row r="37" customFormat="false" ht="12.75" hidden="false" customHeight="true" outlineLevel="0" collapsed="false"/>
    <row r="38" customFormat="false" ht="12.75" hidden="false" customHeight="true" outlineLevel="0" collapsed="false"/>
    <row r="39" customFormat="false" ht="12.75" hidden="false" customHeight="true" outlineLevel="0" collapsed="false"/>
    <row r="40" customFormat="false" ht="12.75" hidden="false" customHeight="true" outlineLevel="0" collapsed="false"/>
    <row r="41" customFormat="false" ht="13.5" hidden="false" customHeight="true" outlineLevel="0" collapsed="false"/>
  </sheetData>
  <mergeCells count="1">
    <mergeCell ref="A1:A17"/>
  </mergeCells>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0070C0"/>
    <pageSetUpPr fitToPage="true"/>
  </sheetPr>
  <dimension ref="A1:BI36"/>
  <sheetViews>
    <sheetView showFormulas="false" showGridLines="true" showRowColHeaders="true" showZeros="true" rightToLeft="false" tabSelected="false" showOutlineSymbols="true" defaultGridColor="true" view="normal" topLeftCell="A1" colorId="64" zoomScale="145" zoomScaleNormal="145" zoomScalePageLayoutView="100" workbookViewId="0">
      <selection pane="topLeft" activeCell="L44" activeCellId="0" sqref="L44"/>
    </sheetView>
  </sheetViews>
  <sheetFormatPr defaultColWidth="9.18359375" defaultRowHeight="9.75" customHeight="true" zeroHeight="false" outlineLevelRow="0" outlineLevelCol="0"/>
  <cols>
    <col collapsed="false" customWidth="true" hidden="false" outlineLevel="0" max="1" min="1" style="1536" width="19.45"/>
    <col collapsed="false" customWidth="true" hidden="false" outlineLevel="0" max="2" min="2" style="1536" width="10"/>
    <col collapsed="false" customWidth="true" hidden="false" outlineLevel="0" max="5" min="3" style="1536" width="8.09"/>
    <col collapsed="false" customWidth="true" hidden="false" outlineLevel="0" max="6" min="6" style="1536" width="7.82"/>
    <col collapsed="false" customWidth="true" hidden="false" outlineLevel="0" max="12" min="7" style="1536" width="9"/>
    <col collapsed="false" customWidth="true" hidden="false" outlineLevel="0" max="32" min="13" style="1536" width="8.45"/>
    <col collapsed="false" customWidth="false" hidden="false" outlineLevel="0" max="16384" min="33" style="1536" width="9.18"/>
  </cols>
  <sheetData>
    <row r="1" s="1134" customFormat="true" ht="10.5" hidden="false" customHeight="true" outlineLevel="0" collapsed="false">
      <c r="A1" s="1767"/>
      <c r="B1" s="1768"/>
      <c r="C1" s="1768"/>
      <c r="D1" s="1768"/>
      <c r="E1" s="1768"/>
      <c r="F1" s="1768"/>
      <c r="G1" s="1768"/>
      <c r="H1" s="1768"/>
      <c r="I1" s="1768"/>
      <c r="J1" s="1768"/>
      <c r="K1" s="1768"/>
      <c r="L1" s="1768"/>
      <c r="M1" s="1769"/>
    </row>
    <row r="2" s="1785" customFormat="true" ht="10.5" hidden="false" customHeight="true" outlineLevel="0" collapsed="false">
      <c r="A2" s="1770"/>
      <c r="B2" s="1771" t="s">
        <v>1476</v>
      </c>
      <c r="C2" s="1771" t="s">
        <v>1477</v>
      </c>
      <c r="D2" s="1771" t="s">
        <v>1478</v>
      </c>
      <c r="E2" s="1771" t="s">
        <v>1479</v>
      </c>
      <c r="F2" s="1771" t="s">
        <v>1480</v>
      </c>
      <c r="G2" s="1771" t="s">
        <v>1481</v>
      </c>
      <c r="H2" s="1771" t="s">
        <v>1482</v>
      </c>
      <c r="I2" s="1771" t="s">
        <v>1483</v>
      </c>
      <c r="J2" s="1771" t="s">
        <v>1484</v>
      </c>
      <c r="K2" s="1771" t="s">
        <v>1485</v>
      </c>
      <c r="L2" s="1771" t="s">
        <v>1486</v>
      </c>
      <c r="M2" s="1772" t="s">
        <v>1487</v>
      </c>
      <c r="N2" s="1773" t="s">
        <v>1622</v>
      </c>
      <c r="O2" s="1774" t="s">
        <v>1623</v>
      </c>
      <c r="P2" s="1774" t="s">
        <v>1624</v>
      </c>
      <c r="Q2" s="1774" t="s">
        <v>1625</v>
      </c>
      <c r="R2" s="1774" t="s">
        <v>1626</v>
      </c>
      <c r="S2" s="1774" t="s">
        <v>1627</v>
      </c>
      <c r="T2" s="1774" t="s">
        <v>1628</v>
      </c>
      <c r="U2" s="1774" t="s">
        <v>1629</v>
      </c>
      <c r="V2" s="1774" t="s">
        <v>1630</v>
      </c>
      <c r="W2" s="1774" t="s">
        <v>1631</v>
      </c>
      <c r="X2" s="1774" t="s">
        <v>1632</v>
      </c>
      <c r="Y2" s="1775" t="s">
        <v>1633</v>
      </c>
      <c r="Z2" s="1776" t="s">
        <v>1634</v>
      </c>
      <c r="AA2" s="1777" t="s">
        <v>1635</v>
      </c>
      <c r="AB2" s="1777" t="s">
        <v>1636</v>
      </c>
      <c r="AC2" s="1777" t="s">
        <v>1637</v>
      </c>
      <c r="AD2" s="1777" t="s">
        <v>1638</v>
      </c>
      <c r="AE2" s="1777" t="s">
        <v>1639</v>
      </c>
      <c r="AF2" s="1777" t="s">
        <v>1640</v>
      </c>
      <c r="AG2" s="1777" t="s">
        <v>1641</v>
      </c>
      <c r="AH2" s="1777" t="s">
        <v>1642</v>
      </c>
      <c r="AI2" s="1777" t="s">
        <v>1643</v>
      </c>
      <c r="AJ2" s="1777" t="s">
        <v>1644</v>
      </c>
      <c r="AK2" s="1778" t="s">
        <v>1645</v>
      </c>
      <c r="AL2" s="1779" t="s">
        <v>1646</v>
      </c>
      <c r="AM2" s="1780" t="s">
        <v>1647</v>
      </c>
      <c r="AN2" s="1780" t="s">
        <v>1648</v>
      </c>
      <c r="AO2" s="1780" t="s">
        <v>1649</v>
      </c>
      <c r="AP2" s="1780" t="s">
        <v>1650</v>
      </c>
      <c r="AQ2" s="1780" t="s">
        <v>1651</v>
      </c>
      <c r="AR2" s="1780" t="s">
        <v>1652</v>
      </c>
      <c r="AS2" s="1780" t="s">
        <v>1653</v>
      </c>
      <c r="AT2" s="1780" t="s">
        <v>1654</v>
      </c>
      <c r="AU2" s="1780" t="s">
        <v>1655</v>
      </c>
      <c r="AV2" s="1780" t="s">
        <v>1656</v>
      </c>
      <c r="AW2" s="1781" t="s">
        <v>1657</v>
      </c>
      <c r="AX2" s="1782" t="s">
        <v>1658</v>
      </c>
      <c r="AY2" s="1783" t="s">
        <v>1659</v>
      </c>
      <c r="AZ2" s="1783" t="s">
        <v>1660</v>
      </c>
      <c r="BA2" s="1783" t="s">
        <v>1661</v>
      </c>
      <c r="BB2" s="1783" t="s">
        <v>1662</v>
      </c>
      <c r="BC2" s="1783" t="s">
        <v>1663</v>
      </c>
      <c r="BD2" s="1783" t="s">
        <v>1664</v>
      </c>
      <c r="BE2" s="1783" t="s">
        <v>1665</v>
      </c>
      <c r="BF2" s="1783" t="s">
        <v>1666</v>
      </c>
      <c r="BG2" s="1783" t="s">
        <v>1667</v>
      </c>
      <c r="BH2" s="1783" t="s">
        <v>1668</v>
      </c>
      <c r="BI2" s="1784" t="s">
        <v>1669</v>
      </c>
    </row>
    <row r="3" s="1801" customFormat="true" ht="10.5" hidden="false" customHeight="true" outlineLevel="0" collapsed="false">
      <c r="A3" s="1786" t="s">
        <v>2137</v>
      </c>
      <c r="B3" s="1787"/>
      <c r="C3" s="1787"/>
      <c r="D3" s="1787"/>
      <c r="E3" s="1787"/>
      <c r="F3" s="1787"/>
      <c r="G3" s="1787"/>
      <c r="H3" s="1787"/>
      <c r="I3" s="1787"/>
      <c r="J3" s="1787"/>
      <c r="K3" s="1787"/>
      <c r="L3" s="1787"/>
      <c r="M3" s="1788"/>
      <c r="N3" s="1789"/>
      <c r="O3" s="1790"/>
      <c r="P3" s="1790"/>
      <c r="Q3" s="1790"/>
      <c r="R3" s="1790"/>
      <c r="S3" s="1790"/>
      <c r="T3" s="1790"/>
      <c r="U3" s="1790"/>
      <c r="V3" s="1790"/>
      <c r="W3" s="1790"/>
      <c r="X3" s="1790"/>
      <c r="Y3" s="1791"/>
      <c r="Z3" s="1792"/>
      <c r="AA3" s="1793"/>
      <c r="AB3" s="1793"/>
      <c r="AC3" s="1793"/>
      <c r="AD3" s="1793"/>
      <c r="AE3" s="1793"/>
      <c r="AF3" s="1793"/>
      <c r="AG3" s="1793"/>
      <c r="AH3" s="1793"/>
      <c r="AI3" s="1793"/>
      <c r="AJ3" s="1793"/>
      <c r="AK3" s="1794"/>
      <c r="AL3" s="1795"/>
      <c r="AM3" s="1796"/>
      <c r="AN3" s="1796"/>
      <c r="AO3" s="1796"/>
      <c r="AP3" s="1796"/>
      <c r="AQ3" s="1796"/>
      <c r="AR3" s="1796"/>
      <c r="AS3" s="1796"/>
      <c r="AT3" s="1796"/>
      <c r="AU3" s="1796"/>
      <c r="AV3" s="1796"/>
      <c r="AW3" s="1797"/>
      <c r="AX3" s="1798"/>
      <c r="AY3" s="1799"/>
      <c r="AZ3" s="1799"/>
      <c r="BA3" s="1799"/>
      <c r="BB3" s="1799"/>
      <c r="BC3" s="1799"/>
      <c r="BD3" s="1799"/>
      <c r="BE3" s="1799"/>
      <c r="BF3" s="1799"/>
      <c r="BG3" s="1799"/>
      <c r="BH3" s="1799"/>
      <c r="BI3" s="1800"/>
    </row>
    <row r="4" s="1801" customFormat="true" ht="9" hidden="false" customHeight="true" outlineLevel="0" collapsed="false">
      <c r="A4" s="1802" t="str">
        <f aca="false">IF('P&amp;L'!E14="y","Gross Funding","Gross Revenue")</f>
        <v>Gross Revenue</v>
      </c>
      <c r="B4" s="1803" t="n">
        <f aca="false">'P&amp;L'!B19</f>
        <v>0</v>
      </c>
      <c r="C4" s="1803" t="n">
        <f aca="false">'P&amp;L'!C19</f>
        <v>0</v>
      </c>
      <c r="D4" s="1803" t="n">
        <f aca="false">'P&amp;L'!D19</f>
        <v>917.14</v>
      </c>
      <c r="E4" s="1803" t="n">
        <f aca="false">'P&amp;L'!E19</f>
        <v>134197.060869048</v>
      </c>
      <c r="F4" s="1803" t="n">
        <f aca="false">'P&amp;L'!F19</f>
        <v>268394.121738095</v>
      </c>
      <c r="G4" s="1803" t="n">
        <f aca="false">'P&amp;L'!G19</f>
        <v>536788.243476191</v>
      </c>
      <c r="H4" s="1803" t="n">
        <f aca="false">'P&amp;L'!H19</f>
        <v>805182.365214286</v>
      </c>
      <c r="I4" s="1803" t="n">
        <f aca="false">'P&amp;L'!I19</f>
        <v>1073576.48695238</v>
      </c>
      <c r="J4" s="1803" t="n">
        <f aca="false">'P&amp;L'!J19</f>
        <v>1341970.60869048</v>
      </c>
      <c r="K4" s="1803" t="n">
        <f aca="false">'P&amp;L'!K19</f>
        <v>1610364.73042857</v>
      </c>
      <c r="L4" s="1803" t="n">
        <f aca="false">'P&amp;L'!L19</f>
        <v>1878758.85216667</v>
      </c>
      <c r="M4" s="1804" t="n">
        <f aca="false">'P&amp;L'!M19</f>
        <v>2147152.97390476</v>
      </c>
      <c r="N4" s="1805" t="n">
        <f aca="false">'P&amp;L'!N19</f>
        <v>3283123.76912143</v>
      </c>
      <c r="O4" s="1806" t="n">
        <f aca="false">'P&amp;L'!O19</f>
        <v>3647915.29902381</v>
      </c>
      <c r="P4" s="1806" t="n">
        <f aca="false">'P&amp;L'!P19</f>
        <v>4012706.82892619</v>
      </c>
      <c r="Q4" s="1806" t="n">
        <f aca="false">'P&amp;L'!Q19</f>
        <v>4377498.35882857</v>
      </c>
      <c r="R4" s="1806" t="n">
        <f aca="false">'P&amp;L'!R19</f>
        <v>4742289.88873096</v>
      </c>
      <c r="S4" s="1806" t="n">
        <f aca="false">'P&amp;L'!S19</f>
        <v>5107081.41863334</v>
      </c>
      <c r="T4" s="1806" t="n">
        <f aca="false">'P&amp;L'!T19</f>
        <v>5471872.94853572</v>
      </c>
      <c r="U4" s="1806" t="n">
        <f aca="false">'P&amp;L'!U19</f>
        <v>5836664.4784381</v>
      </c>
      <c r="V4" s="1806" t="n">
        <f aca="false">'P&amp;L'!V19</f>
        <v>6201456.00834048</v>
      </c>
      <c r="W4" s="1806" t="n">
        <f aca="false">'P&amp;L'!W19</f>
        <v>6566247.53824285</v>
      </c>
      <c r="X4" s="1806" t="n">
        <f aca="false">'P&amp;L'!X19</f>
        <v>6931039.06814524</v>
      </c>
      <c r="Y4" s="1807" t="n">
        <f aca="false">'P&amp;L'!Y19</f>
        <v>7295830.59804762</v>
      </c>
      <c r="Z4" s="1808" t="n">
        <f aca="false">'P&amp;L'!Z19</f>
        <v>13928403.869</v>
      </c>
      <c r="AA4" s="1809" t="n">
        <f aca="false">'P&amp;L'!AA19</f>
        <v>13928403.869</v>
      </c>
      <c r="AB4" s="1809" t="n">
        <f aca="false">'P&amp;L'!AB19</f>
        <v>13928403.869</v>
      </c>
      <c r="AC4" s="1809" t="n">
        <f aca="false">'P&amp;L'!AC19</f>
        <v>13928403.869</v>
      </c>
      <c r="AD4" s="1809" t="n">
        <f aca="false">'P&amp;L'!AD19</f>
        <v>13928403.869</v>
      </c>
      <c r="AE4" s="1809" t="n">
        <f aca="false">'P&amp;L'!AE19</f>
        <v>13928403.869</v>
      </c>
      <c r="AF4" s="1809" t="n">
        <f aca="false">'P&amp;L'!AF19</f>
        <v>13928403.869</v>
      </c>
      <c r="AG4" s="1809" t="n">
        <f aca="false">'P&amp;L'!AG19</f>
        <v>13928403.869</v>
      </c>
      <c r="AH4" s="1809" t="n">
        <f aca="false">'P&amp;L'!AH19</f>
        <v>13928403.869</v>
      </c>
      <c r="AI4" s="1809" t="n">
        <f aca="false">'P&amp;L'!AI19</f>
        <v>13928403.869</v>
      </c>
      <c r="AJ4" s="1809" t="n">
        <f aca="false">'P&amp;L'!AJ19</f>
        <v>13928403.869</v>
      </c>
      <c r="AK4" s="1810" t="n">
        <f aca="false">'P&amp;L'!AK19</f>
        <v>13928403.869</v>
      </c>
      <c r="AL4" s="1811" t="n">
        <f aca="false">'P&amp;L'!AL19</f>
        <v>15089104.1914167</v>
      </c>
      <c r="AM4" s="1812" t="n">
        <f aca="false">'P&amp;L'!AM19</f>
        <v>15089104.1914167</v>
      </c>
      <c r="AN4" s="1812" t="n">
        <f aca="false">'P&amp;L'!AN19</f>
        <v>15089104.1914167</v>
      </c>
      <c r="AO4" s="1812" t="n">
        <f aca="false">'P&amp;L'!AO19</f>
        <v>15089104.1914167</v>
      </c>
      <c r="AP4" s="1812" t="n">
        <f aca="false">'P&amp;L'!AP19</f>
        <v>15089104.1914167</v>
      </c>
      <c r="AQ4" s="1812" t="n">
        <f aca="false">'P&amp;L'!AQ19</f>
        <v>15089104.1914167</v>
      </c>
      <c r="AR4" s="1812" t="n">
        <f aca="false">'P&amp;L'!AR19</f>
        <v>15089104.1914167</v>
      </c>
      <c r="AS4" s="1812" t="n">
        <f aca="false">'P&amp;L'!AS19</f>
        <v>15089104.1914167</v>
      </c>
      <c r="AT4" s="1812" t="n">
        <f aca="false">'P&amp;L'!AT19</f>
        <v>15089104.1914167</v>
      </c>
      <c r="AU4" s="1812" t="n">
        <f aca="false">'P&amp;L'!AU19</f>
        <v>15089104.1914167</v>
      </c>
      <c r="AV4" s="1812" t="n">
        <f aca="false">'P&amp;L'!AV19</f>
        <v>15089104.1914167</v>
      </c>
      <c r="AW4" s="1813" t="n">
        <f aca="false">'P&amp;L'!AW19</f>
        <v>15089104.1914167</v>
      </c>
      <c r="AX4" s="1814" t="n">
        <f aca="false">'P&amp;L'!AX19</f>
        <v>16249804.5138333</v>
      </c>
      <c r="AY4" s="1815" t="n">
        <f aca="false">'P&amp;L'!AY19</f>
        <v>16249804.5138333</v>
      </c>
      <c r="AZ4" s="1815" t="n">
        <f aca="false">'P&amp;L'!AZ19</f>
        <v>16249804.5138333</v>
      </c>
      <c r="BA4" s="1815" t="n">
        <f aca="false">'P&amp;L'!BA19</f>
        <v>16249804.5138333</v>
      </c>
      <c r="BB4" s="1815" t="n">
        <f aca="false">'P&amp;L'!BB19</f>
        <v>16249804.5138333</v>
      </c>
      <c r="BC4" s="1815" t="n">
        <f aca="false">'P&amp;L'!BC19</f>
        <v>16249804.5138333</v>
      </c>
      <c r="BD4" s="1815" t="n">
        <f aca="false">'P&amp;L'!BD19</f>
        <v>16249804.5138333</v>
      </c>
      <c r="BE4" s="1815" t="n">
        <f aca="false">'P&amp;L'!BE19</f>
        <v>16249804.5138333</v>
      </c>
      <c r="BF4" s="1815" t="n">
        <f aca="false">'P&amp;L'!BF19</f>
        <v>16249804.5138333</v>
      </c>
      <c r="BG4" s="1815" t="n">
        <f aca="false">'P&amp;L'!BG19</f>
        <v>16249804.5138333</v>
      </c>
      <c r="BH4" s="1815" t="n">
        <f aca="false">'P&amp;L'!BH19</f>
        <v>16249804.5138333</v>
      </c>
      <c r="BI4" s="1816" t="n">
        <f aca="false">'P&amp;L'!BI19</f>
        <v>16249804.5138333</v>
      </c>
    </row>
    <row r="5" s="1801" customFormat="true" ht="9" hidden="false" customHeight="true" outlineLevel="0" collapsed="false">
      <c r="A5" s="1802" t="str">
        <f aca="false">IF('P&amp;L'!E14="y","Accumulated Funding","Accumulated Revenue")</f>
        <v>Accumulated Revenue</v>
      </c>
      <c r="B5" s="1803" t="n">
        <f aca="false">B4</f>
        <v>0</v>
      </c>
      <c r="C5" s="1803" t="n">
        <f aca="false">C4+B5</f>
        <v>0</v>
      </c>
      <c r="D5" s="1803" t="n">
        <f aca="false">D4+C5</f>
        <v>917.14</v>
      </c>
      <c r="E5" s="1803" t="n">
        <f aca="false">E4+D5</f>
        <v>135114.200869048</v>
      </c>
      <c r="F5" s="1803" t="n">
        <f aca="false">F4+E5</f>
        <v>403508.322607143</v>
      </c>
      <c r="G5" s="1803" t="n">
        <f aca="false">G4+F5</f>
        <v>940296.566083334</v>
      </c>
      <c r="H5" s="1803" t="n">
        <f aca="false">H4+G5</f>
        <v>1745478.93129762</v>
      </c>
      <c r="I5" s="1803" t="n">
        <f aca="false">I4+H5</f>
        <v>2819055.41825</v>
      </c>
      <c r="J5" s="1803" t="n">
        <f aca="false">J4+I5</f>
        <v>4161026.02694048</v>
      </c>
      <c r="K5" s="1803" t="n">
        <f aca="false">K4+J5</f>
        <v>5771390.75736905</v>
      </c>
      <c r="L5" s="1803" t="n">
        <f aca="false">L4+K5</f>
        <v>7650149.60953572</v>
      </c>
      <c r="M5" s="1804" t="n">
        <f aca="false">M4+L5</f>
        <v>9797302.58344048</v>
      </c>
      <c r="N5" s="1805" t="n">
        <f aca="false">N4+M5</f>
        <v>13080426.3525619</v>
      </c>
      <c r="O5" s="1806" t="n">
        <f aca="false">O4+N5</f>
        <v>16728341.6515857</v>
      </c>
      <c r="P5" s="1806" t="n">
        <f aca="false">P4+O5</f>
        <v>20741048.4805119</v>
      </c>
      <c r="Q5" s="1806" t="n">
        <f aca="false">Q4+P5</f>
        <v>25118546.8393405</v>
      </c>
      <c r="R5" s="1806" t="n">
        <f aca="false">R4+Q5</f>
        <v>29860836.7280714</v>
      </c>
      <c r="S5" s="1806" t="n">
        <f aca="false">S4+R5</f>
        <v>34967918.1467048</v>
      </c>
      <c r="T5" s="1806" t="n">
        <f aca="false">T4+S5</f>
        <v>40439791.0952405</v>
      </c>
      <c r="U5" s="1806" t="n">
        <f aca="false">U4+T5</f>
        <v>46276455.5736786</v>
      </c>
      <c r="V5" s="1806" t="n">
        <f aca="false">V4+U5</f>
        <v>52477911.5820191</v>
      </c>
      <c r="W5" s="1806" t="n">
        <f aca="false">W4+V5</f>
        <v>59044159.1202619</v>
      </c>
      <c r="X5" s="1806" t="n">
        <f aca="false">X4+W5</f>
        <v>65975198.1884072</v>
      </c>
      <c r="Y5" s="1807" t="n">
        <f aca="false">Y4+X5</f>
        <v>73271028.7864548</v>
      </c>
      <c r="Z5" s="1808" t="n">
        <f aca="false">Z4+Y5</f>
        <v>87199432.6554548</v>
      </c>
      <c r="AA5" s="1809" t="n">
        <f aca="false">AA4+Z5</f>
        <v>101127836.524455</v>
      </c>
      <c r="AB5" s="1809" t="n">
        <f aca="false">AB4+AA5</f>
        <v>115056240.393455</v>
      </c>
      <c r="AC5" s="1809" t="n">
        <f aca="false">AC4+AB5</f>
        <v>128984644.262455</v>
      </c>
      <c r="AD5" s="1809" t="n">
        <f aca="false">AD4+AC5</f>
        <v>142913048.131455</v>
      </c>
      <c r="AE5" s="1809" t="n">
        <f aca="false">AE4+AD5</f>
        <v>156841452.000455</v>
      </c>
      <c r="AF5" s="1809" t="n">
        <f aca="false">AF4+AE5</f>
        <v>170769855.869455</v>
      </c>
      <c r="AG5" s="1809" t="n">
        <f aca="false">AG4+AF5</f>
        <v>184698259.738455</v>
      </c>
      <c r="AH5" s="1809" t="n">
        <f aca="false">AH4+AG5</f>
        <v>198626663.607455</v>
      </c>
      <c r="AI5" s="1809" t="n">
        <f aca="false">AI4+AH5</f>
        <v>212555067.476455</v>
      </c>
      <c r="AJ5" s="1809" t="n">
        <f aca="false">AJ4+AI5</f>
        <v>226483471.345455</v>
      </c>
      <c r="AK5" s="1810" t="n">
        <f aca="false">AK4+AJ5</f>
        <v>240411875.214455</v>
      </c>
      <c r="AL5" s="1811" t="n">
        <f aca="false">AL4+AK5</f>
        <v>255500979.405871</v>
      </c>
      <c r="AM5" s="1812" t="n">
        <f aca="false">AM4+AL5</f>
        <v>270590083.597288</v>
      </c>
      <c r="AN5" s="1812" t="n">
        <f aca="false">AN4+AM5</f>
        <v>285679187.788705</v>
      </c>
      <c r="AO5" s="1812" t="n">
        <f aca="false">AO4+AN5</f>
        <v>300768291.980121</v>
      </c>
      <c r="AP5" s="1812" t="n">
        <f aca="false">AP4+AO5</f>
        <v>315857396.171538</v>
      </c>
      <c r="AQ5" s="1812" t="n">
        <f aca="false">AQ4+AP5</f>
        <v>330946500.362955</v>
      </c>
      <c r="AR5" s="1812" t="n">
        <f aca="false">AR4+AQ5</f>
        <v>346035604.554371</v>
      </c>
      <c r="AS5" s="1812" t="n">
        <f aca="false">AS4+AR5</f>
        <v>361124708.745788</v>
      </c>
      <c r="AT5" s="1812" t="n">
        <f aca="false">AT4+AS5</f>
        <v>376213812.937205</v>
      </c>
      <c r="AU5" s="1812" t="n">
        <f aca="false">AU4+AT5</f>
        <v>391302917.128621</v>
      </c>
      <c r="AV5" s="1812" t="n">
        <f aca="false">AV4+AU5</f>
        <v>406392021.320038</v>
      </c>
      <c r="AW5" s="1813" t="n">
        <f aca="false">AW4+AV5</f>
        <v>421481125.511455</v>
      </c>
      <c r="AX5" s="1814" t="n">
        <f aca="false">AX4+AW5</f>
        <v>437730930.025288</v>
      </c>
      <c r="AY5" s="1815" t="n">
        <f aca="false">AY4+AX5</f>
        <v>453980734.539121</v>
      </c>
      <c r="AZ5" s="1815" t="n">
        <f aca="false">AZ4+AY5</f>
        <v>470230539.052955</v>
      </c>
      <c r="BA5" s="1815" t="n">
        <f aca="false">BA4+AZ5</f>
        <v>486480343.566788</v>
      </c>
      <c r="BB5" s="1815" t="n">
        <f aca="false">BB4+BA5</f>
        <v>502730148.080622</v>
      </c>
      <c r="BC5" s="1815" t="n">
        <f aca="false">BC4+BB5</f>
        <v>518979952.594455</v>
      </c>
      <c r="BD5" s="1815" t="n">
        <f aca="false">BD4+BC5</f>
        <v>535229757.108288</v>
      </c>
      <c r="BE5" s="1815" t="n">
        <f aca="false">BE4+BD5</f>
        <v>551479561.622122</v>
      </c>
      <c r="BF5" s="1815" t="n">
        <f aca="false">BF4+BE5</f>
        <v>567729366.135955</v>
      </c>
      <c r="BG5" s="1815" t="n">
        <f aca="false">BG4+BF5</f>
        <v>583979170.649788</v>
      </c>
      <c r="BH5" s="1815" t="n">
        <f aca="false">BH4+BG5</f>
        <v>600228975.163621</v>
      </c>
      <c r="BI5" s="1816" t="n">
        <f aca="false">BI4+BH5</f>
        <v>616478779.677455</v>
      </c>
    </row>
    <row r="6" s="1801" customFormat="true" ht="9" hidden="false" customHeight="true" outlineLevel="0" collapsed="false">
      <c r="A6" s="1802" t="s">
        <v>1718</v>
      </c>
      <c r="B6" s="1803" t="n">
        <f aca="false">'P&amp;L'!B41+'P&amp;L'!B43+'P&amp;L'!B44+'Sources &amp; Uses'!B24+'P&amp;L'!B23</f>
        <v>395805.9718</v>
      </c>
      <c r="C6" s="1803" t="n">
        <f aca="false">'P&amp;L'!C23+'P&amp;L'!C41+'P&amp;L'!C43+'P&amp;L'!C44</f>
        <v>412861.9718</v>
      </c>
      <c r="D6" s="1803" t="n">
        <f aca="false">'P&amp;L'!D23+'P&amp;L'!D41+'P&amp;L'!D43+'P&amp;L'!D44</f>
        <v>422177.669631429</v>
      </c>
      <c r="E6" s="1803" t="n">
        <f aca="false">'P&amp;L'!E23+'P&amp;L'!E41+'P&amp;L'!E43+'P&amp;L'!E44</f>
        <v>518202.139226859</v>
      </c>
      <c r="F6" s="1803" t="n">
        <f aca="false">'P&amp;L'!F23+'P&amp;L'!F41+'P&amp;L'!F43+'P&amp;L'!F44</f>
        <v>615014.306653719</v>
      </c>
      <c r="G6" s="1803" t="n">
        <f aca="false">'P&amp;L'!G23+'P&amp;L'!G41+'P&amp;L'!G43+'P&amp;L'!G44</f>
        <v>829958.641507438</v>
      </c>
      <c r="H6" s="1803" t="n">
        <f aca="false">'P&amp;L'!H23+'P&amp;L'!H41+'P&amp;L'!H43+'P&amp;L'!H44</f>
        <v>1134684.57636116</v>
      </c>
      <c r="I6" s="1803" t="n">
        <f aca="false">'P&amp;L'!I23+'P&amp;L'!I41+'P&amp;L'!I43+'P&amp;L'!I44</f>
        <v>1396960.18067004</v>
      </c>
      <c r="J6" s="1803" t="n">
        <f aca="false">'P&amp;L'!J23+'P&amp;L'!J41+'P&amp;L'!J43+'P&amp;L'!J44</f>
        <v>1628552.04854109</v>
      </c>
      <c r="K6" s="1803" t="n">
        <f aca="false">'P&amp;L'!K23+'P&amp;L'!K41+'P&amp;L'!K43+'P&amp;L'!K44</f>
        <v>1862918.20103083</v>
      </c>
      <c r="L6" s="1803" t="n">
        <f aca="false">'P&amp;L'!L23+'P&amp;L'!L41+'P&amp;L'!L43+'P&amp;L'!L44</f>
        <v>2088590.26649074</v>
      </c>
      <c r="M6" s="1804" t="n">
        <f aca="false">'P&amp;L'!M23+'P&amp;L'!M41+'P&amp;L'!M43+'P&amp;L'!M44</f>
        <v>2322783.98500342</v>
      </c>
      <c r="N6" s="1805" t="n">
        <f aca="false">'P&amp;L'!N23+'P&amp;L'!N41+'P&amp;L'!N43+'P&amp;L'!N44</f>
        <v>2919321.53771983</v>
      </c>
      <c r="O6" s="1806" t="n">
        <f aca="false">'P&amp;L'!O23+'P&amp;L'!O41+'P&amp;L'!O43+'P&amp;L'!O44</f>
        <v>3193239.87611335</v>
      </c>
      <c r="P6" s="1806" t="n">
        <f aca="false">'P&amp;L'!P23+'P&amp;L'!P41+'P&amp;L'!P43+'P&amp;L'!P44</f>
        <v>3511912.49981807</v>
      </c>
      <c r="Q6" s="1806" t="n">
        <f aca="false">'P&amp;L'!Q23+'P&amp;L'!Q41+'P&amp;L'!Q43+'P&amp;L'!Q44</f>
        <v>3824353.78426054</v>
      </c>
      <c r="R6" s="1806" t="n">
        <f aca="false">'P&amp;L'!R23+'P&amp;L'!R41+'P&amp;L'!R43+'P&amp;L'!R44</f>
        <v>4136791.39466517</v>
      </c>
      <c r="S6" s="1806" t="n">
        <f aca="false">'P&amp;L'!S23+'P&amp;L'!S41+'P&amp;L'!S43+'P&amp;L'!S44</f>
        <v>4449225.31266176</v>
      </c>
      <c r="T6" s="1806" t="n">
        <f aca="false">'P&amp;L'!T23+'P&amp;L'!T41+'P&amp;L'!T43+'P&amp;L'!T44</f>
        <v>4868188.13410039</v>
      </c>
      <c r="U6" s="1806" t="n">
        <f aca="false">'P&amp;L'!U23+'P&amp;L'!U41+'P&amp;L'!U43+'P&amp;L'!U44</f>
        <v>5150413.16963252</v>
      </c>
      <c r="V6" s="1806" t="n">
        <f aca="false">'P&amp;L'!V23+'P&amp;L'!V41+'P&amp;L'!V43+'P&amp;L'!V44</f>
        <v>5391407.46930384</v>
      </c>
      <c r="W6" s="1806" t="n">
        <f aca="false">'P&amp;L'!W23+'P&amp;L'!W41+'P&amp;L'!W43+'P&amp;L'!W44</f>
        <v>5632398.56718503</v>
      </c>
      <c r="X6" s="1806" t="n">
        <f aca="false">'P&amp;L'!X23+'P&amp;L'!X41+'P&amp;L'!X43+'P&amp;L'!X44</f>
        <v>5873386.44726715</v>
      </c>
      <c r="Y6" s="1807" t="n">
        <f aca="false">'P&amp;L'!Y23+'P&amp;L'!Y41+'P&amp;L'!Y43+'P&amp;L'!Y44</f>
        <v>6114371.09346121</v>
      </c>
      <c r="Z6" s="1808" t="n">
        <f aca="false">'P&amp;L'!Z23+'P&amp;L'!Z41+'P&amp;L'!Z43+'P&amp;L'!Z44</f>
        <v>10424123.7496915</v>
      </c>
      <c r="AA6" s="1809" t="n">
        <f aca="false">'P&amp;L'!AA23+'P&amp;L'!AA41+'P&amp;L'!AA43+'P&amp;L'!AA44</f>
        <v>10423467.2218248</v>
      </c>
      <c r="AB6" s="1809" t="n">
        <f aca="false">'P&amp;L'!AB23+'P&amp;L'!AB41+'P&amp;L'!AB43+'P&amp;L'!AB44</f>
        <v>10422807.4113188</v>
      </c>
      <c r="AC6" s="1809" t="n">
        <f aca="false">'P&amp;L'!AC23+'P&amp;L'!AC41+'P&amp;L'!AC43+'P&amp;L'!AC44</f>
        <v>10422144.3017602</v>
      </c>
      <c r="AD6" s="1809" t="n">
        <f aca="false">'P&amp;L'!AD23+'P&amp;L'!AD41+'P&amp;L'!AD43+'P&amp;L'!AD44</f>
        <v>10421477.8766539</v>
      </c>
      <c r="AE6" s="1809" t="n">
        <f aca="false">'P&amp;L'!AE23+'P&amp;L'!AE41+'P&amp;L'!AE43+'P&amp;L'!AE44</f>
        <v>10420808.119422</v>
      </c>
      <c r="AF6" s="1809" t="n">
        <f aca="false">'P&amp;L'!AF23+'P&amp;L'!AF41+'P&amp;L'!AF43+'P&amp;L'!AF44</f>
        <v>10420135.0134039</v>
      </c>
      <c r="AG6" s="1809" t="n">
        <f aca="false">'P&amp;L'!AG23+'P&amp;L'!AG41+'P&amp;L'!AG43+'P&amp;L'!AG44</f>
        <v>10419458.5418558</v>
      </c>
      <c r="AH6" s="1809" t="n">
        <f aca="false">'P&amp;L'!AH23+'P&amp;L'!AH41+'P&amp;L'!AH43+'P&amp;L'!AH44</f>
        <v>10418778.6879499</v>
      </c>
      <c r="AI6" s="1809" t="n">
        <f aca="false">'P&amp;L'!AI23+'P&amp;L'!AI41+'P&amp;L'!AI43+'P&amp;L'!AI44</f>
        <v>10418095.4347745</v>
      </c>
      <c r="AJ6" s="1809" t="n">
        <f aca="false">'P&amp;L'!AJ23+'P&amp;L'!AJ41+'P&amp;L'!AJ43+'P&amp;L'!AJ44</f>
        <v>10417408.7653332</v>
      </c>
      <c r="AK6" s="1810" t="n">
        <f aca="false">'P&amp;L'!AK23+'P&amp;L'!AK41+'P&amp;L'!AK43+'P&amp;L'!AK44</f>
        <v>10416718.6625447</v>
      </c>
      <c r="AL6" s="1811" t="n">
        <f aca="false">'P&amp;L'!AL23+'P&amp;L'!AL41+'P&amp;L'!AL43+'P&amp;L'!AL44</f>
        <v>11052169.7443919</v>
      </c>
      <c r="AM6" s="1812" t="n">
        <f aca="false">'P&amp;L'!AM23+'P&amp;L'!AM41+'P&amp;L'!AM43+'P&amp;L'!AM44</f>
        <v>11051472.723323</v>
      </c>
      <c r="AN6" s="1812" t="n">
        <f aca="false">'P&amp;L'!AN23+'P&amp;L'!AN41+'P&amp;L'!AN43+'P&amp;L'!AN44</f>
        <v>11050772.2171487</v>
      </c>
      <c r="AO6" s="1812" t="n">
        <f aca="false">'P&amp;L'!AO23+'P&amp;L'!AO41+'P&amp;L'!AO43+'P&amp;L'!AO44</f>
        <v>11050068.2084435</v>
      </c>
      <c r="AP6" s="1812" t="n">
        <f aca="false">'P&amp;L'!AP23+'P&amp;L'!AP41+'P&amp;L'!AP43+'P&amp;L'!AP44</f>
        <v>11049360.6796948</v>
      </c>
      <c r="AQ6" s="1812" t="n">
        <f aca="false">'P&amp;L'!AQ23+'P&amp;L'!AQ41+'P&amp;L'!AQ43+'P&amp;L'!AQ44</f>
        <v>11048649.6133024</v>
      </c>
      <c r="AR6" s="1812" t="n">
        <f aca="false">'P&amp;L'!AR23+'P&amp;L'!AR41+'P&amp;L'!AR43+'P&amp;L'!AR44</f>
        <v>11047934.991578</v>
      </c>
      <c r="AS6" s="1812" t="n">
        <f aca="false">'P&amp;L'!AS23+'P&amp;L'!AS41+'P&amp;L'!AS43+'P&amp;L'!AS44</f>
        <v>11047216.796745</v>
      </c>
      <c r="AT6" s="1812" t="n">
        <f aca="false">'P&amp;L'!AT23+'P&amp;L'!AT41+'P&amp;L'!AT43+'P&amp;L'!AT44</f>
        <v>11046495.0109378</v>
      </c>
      <c r="AU6" s="1812" t="n">
        <f aca="false">'P&amp;L'!AU23+'P&amp;L'!AU41+'P&amp;L'!AU43+'P&amp;L'!AU44</f>
        <v>11045769.6162016</v>
      </c>
      <c r="AV6" s="1812" t="n">
        <f aca="false">'P&amp;L'!AV23+'P&amp;L'!AV41+'P&amp;L'!AV43+'P&amp;L'!AV44</f>
        <v>11045040.5944917</v>
      </c>
      <c r="AW6" s="1813" t="n">
        <f aca="false">'P&amp;L'!AW23+'P&amp;L'!AW41+'P&amp;L'!AW43+'P&amp;L'!AW44</f>
        <v>11044307.9276732</v>
      </c>
      <c r="AX6" s="1814" t="n">
        <f aca="false">'P&amp;L'!AX23+'P&amp;L'!AX41+'P&amp;L'!AX43+'P&amp;L'!AX44</f>
        <v>11682543.8119252</v>
      </c>
      <c r="AY6" s="1815" t="n">
        <f aca="false">'P&amp;L'!AY23+'P&amp;L'!AY41+'P&amp;L'!AY43+'P&amp;L'!AY44</f>
        <v>11681803.8001219</v>
      </c>
      <c r="AZ6" s="1815" t="n">
        <f aca="false">'P&amp;L'!AZ23+'P&amp;L'!AZ41+'P&amp;L'!AZ43+'P&amp;L'!AZ44</f>
        <v>11681060.0882596</v>
      </c>
      <c r="BA6" s="1815" t="n">
        <f aca="false">'P&amp;L'!BA23+'P&amp;L'!BA41+'P&amp;L'!BA43+'P&amp;L'!BA44</f>
        <v>11680312.657838</v>
      </c>
      <c r="BB6" s="1815" t="n">
        <f aca="false">'P&amp;L'!BB23+'P&amp;L'!BB41+'P&amp;L'!BB43+'P&amp;L'!BB44</f>
        <v>11679561.4902642</v>
      </c>
      <c r="BC6" s="1815" t="n">
        <f aca="false">'P&amp;L'!BC23+'P&amp;L'!BC41+'P&amp;L'!BC43+'P&amp;L'!BC44</f>
        <v>11678806.5668526</v>
      </c>
      <c r="BD6" s="1815" t="n">
        <f aca="false">'P&amp;L'!BD23+'P&amp;L'!BD41+'P&amp;L'!BD43+'P&amp;L'!BD44</f>
        <v>11678047.8688239</v>
      </c>
      <c r="BE6" s="1815" t="n">
        <f aca="false">'P&amp;L'!BE23+'P&amp;L'!BE41+'P&amp;L'!BE43+'P&amp;L'!BE44</f>
        <v>11677285.3773051</v>
      </c>
      <c r="BF6" s="1815" t="n">
        <f aca="false">'P&amp;L'!BF23+'P&amp;L'!BF41+'P&amp;L'!BF43+'P&amp;L'!BF44</f>
        <v>11676519.0733287</v>
      </c>
      <c r="BG6" s="1815" t="n">
        <f aca="false">'P&amp;L'!BG23+'P&amp;L'!BG41+'P&amp;L'!BG43+'P&amp;L'!BG44</f>
        <v>11675748.9378324</v>
      </c>
      <c r="BH6" s="1815" t="n">
        <f aca="false">'P&amp;L'!BH23+'P&amp;L'!BH41+'P&amp;L'!BH43+'P&amp;L'!BH44</f>
        <v>11674974.9516587</v>
      </c>
      <c r="BI6" s="1816" t="n">
        <f aca="false">'P&amp;L'!BI23+'P&amp;L'!BI41+'P&amp;L'!BI43+'P&amp;L'!BI44</f>
        <v>11674197.095554</v>
      </c>
    </row>
    <row r="7" s="1801" customFormat="true" ht="9" hidden="false" customHeight="true" outlineLevel="0" collapsed="false">
      <c r="A7" s="1802" t="s">
        <v>2138</v>
      </c>
      <c r="B7" s="1803" t="n">
        <f aca="false">B6</f>
        <v>395805.9718</v>
      </c>
      <c r="C7" s="1803" t="n">
        <f aca="false">C6+B7</f>
        <v>808667.9436</v>
      </c>
      <c r="D7" s="1803" t="n">
        <f aca="false">D6+C7</f>
        <v>1230845.61323143</v>
      </c>
      <c r="E7" s="1803" t="n">
        <f aca="false">E6+D7</f>
        <v>1749047.75245829</v>
      </c>
      <c r="F7" s="1803" t="n">
        <f aca="false">F6+E7</f>
        <v>2364062.05911201</v>
      </c>
      <c r="G7" s="1803" t="n">
        <f aca="false">G6+F7</f>
        <v>3194020.70061944</v>
      </c>
      <c r="H7" s="1803" t="n">
        <f aca="false">H6+G7</f>
        <v>4328705.2769806</v>
      </c>
      <c r="I7" s="1803" t="n">
        <f aca="false">I6+H7</f>
        <v>5725665.45765064</v>
      </c>
      <c r="J7" s="1803" t="n">
        <f aca="false">J6+I7</f>
        <v>7354217.50619173</v>
      </c>
      <c r="K7" s="1803" t="n">
        <f aca="false">K6+J7</f>
        <v>9217135.70722256</v>
      </c>
      <c r="L7" s="1803" t="n">
        <f aca="false">L6+K7</f>
        <v>11305725.9737133</v>
      </c>
      <c r="M7" s="1804" t="n">
        <f aca="false">M6+L7</f>
        <v>13628509.9587167</v>
      </c>
      <c r="N7" s="1805" t="n">
        <f aca="false">N6+M7</f>
        <v>16547831.4964366</v>
      </c>
      <c r="O7" s="1806" t="n">
        <f aca="false">O6+N7</f>
        <v>19741071.3725499</v>
      </c>
      <c r="P7" s="1806" t="n">
        <f aca="false">P6+O7</f>
        <v>23252983.872368</v>
      </c>
      <c r="Q7" s="1806" t="n">
        <f aca="false">Q6+P7</f>
        <v>27077337.6566285</v>
      </c>
      <c r="R7" s="1806" t="n">
        <f aca="false">R6+Q7</f>
        <v>31214129.0512937</v>
      </c>
      <c r="S7" s="1806" t="n">
        <f aca="false">S6+R7</f>
        <v>35663354.3639555</v>
      </c>
      <c r="T7" s="1806" t="n">
        <f aca="false">T6+S7</f>
        <v>40531542.4980558</v>
      </c>
      <c r="U7" s="1806" t="n">
        <f aca="false">U6+T7</f>
        <v>45681955.6676884</v>
      </c>
      <c r="V7" s="1806" t="n">
        <f aca="false">V6+U7</f>
        <v>51073363.1369922</v>
      </c>
      <c r="W7" s="1806" t="n">
        <f aca="false">W6+V7</f>
        <v>56705761.7041772</v>
      </c>
      <c r="X7" s="1806" t="n">
        <f aca="false">X6+W7</f>
        <v>62579148.1514444</v>
      </c>
      <c r="Y7" s="1807" t="n">
        <f aca="false">Y6+X7</f>
        <v>68693519.2449056</v>
      </c>
      <c r="Z7" s="1808" t="n">
        <f aca="false">Z6+Y7</f>
        <v>79117642.9945971</v>
      </c>
      <c r="AA7" s="1809" t="n">
        <f aca="false">AA6+Z7</f>
        <v>89541110.216422</v>
      </c>
      <c r="AB7" s="1809" t="n">
        <f aca="false">AB6+AA7</f>
        <v>99963917.6277407</v>
      </c>
      <c r="AC7" s="1809" t="n">
        <f aca="false">AC6+AB7</f>
        <v>110386061.929501</v>
      </c>
      <c r="AD7" s="1809" t="n">
        <f aca="false">AD6+AC7</f>
        <v>120807539.806155</v>
      </c>
      <c r="AE7" s="1809" t="n">
        <f aca="false">AE6+AD7</f>
        <v>131228347.925577</v>
      </c>
      <c r="AF7" s="1809" t="n">
        <f aca="false">AF6+AE7</f>
        <v>141648482.938981</v>
      </c>
      <c r="AG7" s="1809" t="n">
        <f aca="false">AG6+AF7</f>
        <v>152067941.480837</v>
      </c>
      <c r="AH7" s="1809" t="n">
        <f aca="false">AH6+AG7</f>
        <v>162486720.168786</v>
      </c>
      <c r="AI7" s="1809" t="n">
        <f aca="false">AI6+AH7</f>
        <v>172904815.603561</v>
      </c>
      <c r="AJ7" s="1809" t="n">
        <f aca="false">AJ6+AI7</f>
        <v>183322224.368894</v>
      </c>
      <c r="AK7" s="1810" t="n">
        <f aca="false">AK6+AJ7</f>
        <v>193738943.031439</v>
      </c>
      <c r="AL7" s="1811" t="n">
        <f aca="false">AL6+AK7</f>
        <v>204791112.775831</v>
      </c>
      <c r="AM7" s="1812" t="n">
        <f aca="false">AM6+AL7</f>
        <v>215842585.499154</v>
      </c>
      <c r="AN7" s="1812" t="n">
        <f aca="false">AN6+AM7</f>
        <v>226893357.716302</v>
      </c>
      <c r="AO7" s="1812" t="n">
        <f aca="false">AO6+AN7</f>
        <v>237943425.924746</v>
      </c>
      <c r="AP7" s="1812" t="n">
        <f aca="false">AP6+AO7</f>
        <v>248992786.604441</v>
      </c>
      <c r="AQ7" s="1812" t="n">
        <f aca="false">AQ6+AP7</f>
        <v>260041436.217743</v>
      </c>
      <c r="AR7" s="1812" t="n">
        <f aca="false">AR6+AQ7</f>
        <v>271089371.209321</v>
      </c>
      <c r="AS7" s="1812" t="n">
        <f aca="false">AS6+AR7</f>
        <v>282136588.006066</v>
      </c>
      <c r="AT7" s="1812" t="n">
        <f aca="false">AT6+AS7</f>
        <v>293183083.017004</v>
      </c>
      <c r="AU7" s="1812" t="n">
        <f aca="false">AU6+AT7</f>
        <v>304228852.633205</v>
      </c>
      <c r="AV7" s="1812" t="n">
        <f aca="false">AV6+AU7</f>
        <v>315273893.227697</v>
      </c>
      <c r="AW7" s="1813" t="n">
        <f aca="false">AW6+AV7</f>
        <v>326318201.15537</v>
      </c>
      <c r="AX7" s="1814" t="n">
        <f aca="false">AX6+AW7</f>
        <v>338000744.967295</v>
      </c>
      <c r="AY7" s="1815" t="n">
        <f aca="false">AY6+AX7</f>
        <v>349682548.767417</v>
      </c>
      <c r="AZ7" s="1815" t="n">
        <f aca="false">AZ6+AY7</f>
        <v>361363608.855677</v>
      </c>
      <c r="BA7" s="1815" t="n">
        <f aca="false">BA6+AZ7</f>
        <v>373043921.513515</v>
      </c>
      <c r="BB7" s="1815" t="n">
        <f aca="false">BB6+BA7</f>
        <v>384723483.003779</v>
      </c>
      <c r="BC7" s="1815" t="n">
        <f aca="false">BC6+BB7</f>
        <v>396402289.570632</v>
      </c>
      <c r="BD7" s="1815" t="n">
        <f aca="false">BD6+BC7</f>
        <v>408080337.439456</v>
      </c>
      <c r="BE7" s="1815" t="n">
        <f aca="false">BE6+BD7</f>
        <v>419757622.816761</v>
      </c>
      <c r="BF7" s="1815" t="n">
        <f aca="false">BF6+BE7</f>
        <v>431434141.890089</v>
      </c>
      <c r="BG7" s="1815" t="n">
        <f aca="false">BG6+BF7</f>
        <v>443109890.827922</v>
      </c>
      <c r="BH7" s="1815" t="n">
        <f aca="false">BH6+BG7</f>
        <v>454784865.779581</v>
      </c>
      <c r="BI7" s="1816" t="n">
        <f aca="false">BI6+BH7</f>
        <v>466459062.875135</v>
      </c>
    </row>
    <row r="8" s="1801" customFormat="true" ht="9" hidden="false" customHeight="true" outlineLevel="0" collapsed="false">
      <c r="A8" s="1802" t="s">
        <v>2139</v>
      </c>
      <c r="B8" s="1803" t="n">
        <f aca="false">B5-B7</f>
        <v>-395805.9718</v>
      </c>
      <c r="C8" s="1803" t="n">
        <f aca="false">C5-C7</f>
        <v>-808667.9436</v>
      </c>
      <c r="D8" s="1803" t="n">
        <f aca="false">D5-D7</f>
        <v>-1229928.47323143</v>
      </c>
      <c r="E8" s="1803" t="n">
        <f aca="false">E5-E7</f>
        <v>-1613933.55158924</v>
      </c>
      <c r="F8" s="1803" t="n">
        <f aca="false">F5-F7</f>
        <v>-1960553.73650486</v>
      </c>
      <c r="G8" s="1803" t="n">
        <f aca="false">G5-G7</f>
        <v>-2253724.13453611</v>
      </c>
      <c r="H8" s="1803" t="n">
        <f aca="false">H5-H7</f>
        <v>-2583226.34568298</v>
      </c>
      <c r="I8" s="1803" t="n">
        <f aca="false">I5-I7</f>
        <v>-2906610.03940064</v>
      </c>
      <c r="J8" s="1803" t="n">
        <f aca="false">J5-J7</f>
        <v>-3193191.47925125</v>
      </c>
      <c r="K8" s="1803" t="n">
        <f aca="false">K5-K7</f>
        <v>-3445744.94985351</v>
      </c>
      <c r="L8" s="1803" t="n">
        <f aca="false">L5-L7</f>
        <v>-3655576.36417758</v>
      </c>
      <c r="M8" s="1804" t="n">
        <f aca="false">M5-M7</f>
        <v>-3831207.37527624</v>
      </c>
      <c r="N8" s="1805" t="n">
        <f aca="false">N5-N7</f>
        <v>-3467405.14387465</v>
      </c>
      <c r="O8" s="1806" t="n">
        <f aca="false">O5-O7</f>
        <v>-3012729.72096419</v>
      </c>
      <c r="P8" s="1806" t="n">
        <f aca="false">P5-P7</f>
        <v>-2511935.39185606</v>
      </c>
      <c r="Q8" s="1806" t="n">
        <f aca="false">Q5-Q7</f>
        <v>-1958790.81728803</v>
      </c>
      <c r="R8" s="1806" t="n">
        <f aca="false">R5-R7</f>
        <v>-1353292.32322225</v>
      </c>
      <c r="S8" s="1806" t="n">
        <f aca="false">S5-S7</f>
        <v>-695436.217250675</v>
      </c>
      <c r="T8" s="1806" t="n">
        <f aca="false">T5-T7</f>
        <v>-91751.4028153494</v>
      </c>
      <c r="U8" s="1806" t="n">
        <f aca="false">U5-U7</f>
        <v>594499.905990221</v>
      </c>
      <c r="V8" s="1806" t="n">
        <f aca="false">V5-V7</f>
        <v>1404548.44502686</v>
      </c>
      <c r="W8" s="1806" t="n">
        <f aca="false">W5-W7</f>
        <v>2338397.41608468</v>
      </c>
      <c r="X8" s="1806" t="n">
        <f aca="false">X5-X7</f>
        <v>3396050.03696277</v>
      </c>
      <c r="Y8" s="1807" t="n">
        <f aca="false">Y5-Y7</f>
        <v>4577509.54154918</v>
      </c>
      <c r="Z8" s="1808" t="n">
        <f aca="false">Z5-Z7</f>
        <v>8081789.66085765</v>
      </c>
      <c r="AA8" s="1809" t="n">
        <f aca="false">AA5-AA7</f>
        <v>11586726.3080328</v>
      </c>
      <c r="AB8" s="1809" t="n">
        <f aca="false">AB5-AB7</f>
        <v>15092322.765714</v>
      </c>
      <c r="AC8" s="1809" t="n">
        <f aca="false">AC5-AC7</f>
        <v>18598582.3329538</v>
      </c>
      <c r="AD8" s="1809" t="n">
        <f aca="false">AD5-AD7</f>
        <v>22105508.3252999</v>
      </c>
      <c r="AE8" s="1809" t="n">
        <f aca="false">AE5-AE7</f>
        <v>25613104.0748779</v>
      </c>
      <c r="AF8" s="1809" t="n">
        <f aca="false">AF5-AF7</f>
        <v>29121372.930474</v>
      </c>
      <c r="AG8" s="1809" t="n">
        <f aca="false">AG5-AG7</f>
        <v>32630318.2576182</v>
      </c>
      <c r="AH8" s="1809" t="n">
        <f aca="false">AH5-AH7</f>
        <v>36139943.4386683</v>
      </c>
      <c r="AI8" s="1809" t="n">
        <f aca="false">AI5-AI7</f>
        <v>39650251.8728938</v>
      </c>
      <c r="AJ8" s="1809" t="n">
        <f aca="false">AJ5-AJ7</f>
        <v>43161246.9765606</v>
      </c>
      <c r="AK8" s="1810" t="n">
        <f aca="false">AK5-AK7</f>
        <v>46672932.1830158</v>
      </c>
      <c r="AL8" s="1811" t="n">
        <f aca="false">AL5-AL7</f>
        <v>50709866.6300406</v>
      </c>
      <c r="AM8" s="1812" t="n">
        <f aca="false">AM5-AM7</f>
        <v>54747498.0981343</v>
      </c>
      <c r="AN8" s="1812" t="n">
        <f aca="false">AN5-AN7</f>
        <v>58785830.0724023</v>
      </c>
      <c r="AO8" s="1812" t="n">
        <f aca="false">AO5-AO7</f>
        <v>62824866.0553755</v>
      </c>
      <c r="AP8" s="1812" t="n">
        <f aca="false">AP5-AP7</f>
        <v>66864609.5670974</v>
      </c>
      <c r="AQ8" s="1812" t="n">
        <f aca="false">AQ5-AQ7</f>
        <v>70905064.1452117</v>
      </c>
      <c r="AR8" s="1812" t="n">
        <f aca="false">AR5-AR7</f>
        <v>74946233.3450504</v>
      </c>
      <c r="AS8" s="1812" t="n">
        <f aca="false">AS5-AS7</f>
        <v>78988120.7397221</v>
      </c>
      <c r="AT8" s="1812" t="n">
        <f aca="false">AT5-AT7</f>
        <v>83030729.9202011</v>
      </c>
      <c r="AU8" s="1812" t="n">
        <f aca="false">AU5-AU7</f>
        <v>87074064.4954162</v>
      </c>
      <c r="AV8" s="1812" t="n">
        <f aca="false">AV5-AV7</f>
        <v>91118128.0923412</v>
      </c>
      <c r="AW8" s="1813" t="n">
        <f aca="false">AW5-AW7</f>
        <v>95162924.3560846</v>
      </c>
      <c r="AX8" s="1814" t="n">
        <f aca="false">AX5-AX7</f>
        <v>99730185.0579928</v>
      </c>
      <c r="AY8" s="1815" t="n">
        <f aca="false">AY5-AY7</f>
        <v>104298185.771704</v>
      </c>
      <c r="AZ8" s="1815" t="n">
        <f aca="false">AZ5-AZ7</f>
        <v>108866930.197278</v>
      </c>
      <c r="BA8" s="1815" t="n">
        <f aca="false">BA5-BA7</f>
        <v>113436422.053273</v>
      </c>
      <c r="BB8" s="1815" t="n">
        <f aca="false">BB5-BB7</f>
        <v>118006665.076842</v>
      </c>
      <c r="BC8" s="1815" t="n">
        <f aca="false">BC5-BC7</f>
        <v>122577663.023823</v>
      </c>
      <c r="BD8" s="1815" t="n">
        <f aca="false">BD5-BD7</f>
        <v>127149419.668833</v>
      </c>
      <c r="BE8" s="1815" t="n">
        <f aca="false">BE5-BE7</f>
        <v>131721938.805361</v>
      </c>
      <c r="BF8" s="1815" t="n">
        <f aca="false">BF5-BF7</f>
        <v>136295224.245865</v>
      </c>
      <c r="BG8" s="1815" t="n">
        <f aca="false">BG5-BG7</f>
        <v>140869279.821866</v>
      </c>
      <c r="BH8" s="1815" t="n">
        <f aca="false">BH5-BH7</f>
        <v>145444109.384041</v>
      </c>
      <c r="BI8" s="1816" t="n">
        <f aca="false">BI5-BI7</f>
        <v>150019716.80232</v>
      </c>
    </row>
    <row r="9" s="1801" customFormat="true" ht="10.5" hidden="false" customHeight="true" outlineLevel="0" collapsed="false">
      <c r="A9" s="1817" t="s">
        <v>2069</v>
      </c>
      <c r="B9" s="1818" t="str">
        <f aca="false">IF(B8&gt;0,B2,"")</f>
        <v/>
      </c>
      <c r="C9" s="1818" t="str">
        <f aca="false">IF(C8&gt;0,C2,"")</f>
        <v/>
      </c>
      <c r="D9" s="1818" t="str">
        <f aca="false">IF(D8&gt;0,D2,"")</f>
        <v/>
      </c>
      <c r="E9" s="1818" t="str">
        <f aca="false">IF(E8&gt;0,E2,"")</f>
        <v/>
      </c>
      <c r="F9" s="1818" t="str">
        <f aca="false">IF(F8&gt;0,F2,"")</f>
        <v/>
      </c>
      <c r="G9" s="1818" t="str">
        <f aca="false">IF(G8&gt;0,G2,"")</f>
        <v/>
      </c>
      <c r="H9" s="1818" t="str">
        <f aca="false">IF(H8&gt;0,H2,"")</f>
        <v/>
      </c>
      <c r="I9" s="1818" t="str">
        <f aca="false">IF(I8&gt;0,I2,"")</f>
        <v/>
      </c>
      <c r="J9" s="1818" t="str">
        <f aca="false">IF(J8&gt;0,J2,"")</f>
        <v/>
      </c>
      <c r="K9" s="1818" t="str">
        <f aca="false">IF(K8&gt;0,K2,"")</f>
        <v/>
      </c>
      <c r="L9" s="1818" t="str">
        <f aca="false">IF(L8&gt;0,L2,"")</f>
        <v/>
      </c>
      <c r="M9" s="1819" t="str">
        <f aca="false">IF(M8&gt;0,M2,"")</f>
        <v/>
      </c>
      <c r="N9" s="1820" t="str">
        <f aca="false">IF(N8&gt;0,N2,"")</f>
        <v/>
      </c>
      <c r="O9" s="1821" t="str">
        <f aca="false">IF(O8&gt;0,O2,"")</f>
        <v/>
      </c>
      <c r="P9" s="1821" t="str">
        <f aca="false">IF(P8&gt;0,P2,"")</f>
        <v/>
      </c>
      <c r="Q9" s="1821" t="str">
        <f aca="false">IF(Q8&gt;0,Q2,"")</f>
        <v/>
      </c>
      <c r="R9" s="1821" t="str">
        <f aca="false">IF(R8&gt;0,R2,"")</f>
        <v/>
      </c>
      <c r="S9" s="1821" t="str">
        <f aca="false">IF(S8&gt;0,S2,"")</f>
        <v/>
      </c>
      <c r="T9" s="1821" t="str">
        <f aca="false">IF(T8&gt;0,T2,"")</f>
        <v/>
      </c>
      <c r="U9" s="1821" t="str">
        <f aca="false">IF(U8&gt;0,U2,"")</f>
        <v>Month 20</v>
      </c>
      <c r="V9" s="1821" t="str">
        <f aca="false">IF(V8&gt;0,V2,"")</f>
        <v>Month 21</v>
      </c>
      <c r="W9" s="1821" t="str">
        <f aca="false">IF(W8&gt;0,W2,"")</f>
        <v>Month 22</v>
      </c>
      <c r="X9" s="1821" t="str">
        <f aca="false">IF(X8&gt;0,X2,"")</f>
        <v>Month 23</v>
      </c>
      <c r="Y9" s="1822" t="str">
        <f aca="false">IF(Y8&gt;0,Y2,"")</f>
        <v>Month 24</v>
      </c>
      <c r="Z9" s="1823" t="str">
        <f aca="false">IF(Z8&gt;0,Z2,"")</f>
        <v>Month 25</v>
      </c>
      <c r="AA9" s="1824" t="str">
        <f aca="false">IF(AA8&gt;0,AA2,"")</f>
        <v>Month 26</v>
      </c>
      <c r="AB9" s="1825" t="str">
        <f aca="false">IF(AB8&gt;0,AB2,"")</f>
        <v>Month 27</v>
      </c>
      <c r="AC9" s="1825" t="str">
        <f aca="false">IF(AC8&gt;0,AC2,"")</f>
        <v>Month 28</v>
      </c>
      <c r="AD9" s="1825" t="str">
        <f aca="false">IF(AD8&gt;0,AD2,"")</f>
        <v>Month 29</v>
      </c>
      <c r="AE9" s="1825" t="str">
        <f aca="false">IF(AE8&gt;0,AE2,"")</f>
        <v>Month 30</v>
      </c>
      <c r="AF9" s="1825" t="str">
        <f aca="false">IF(AF8&gt;0,AF2,"")</f>
        <v>Month 31</v>
      </c>
      <c r="AG9" s="1825" t="str">
        <f aca="false">IF(AG8&gt;0,AG2,"")</f>
        <v>Month 32</v>
      </c>
      <c r="AH9" s="1825" t="str">
        <f aca="false">IF(AH8&gt;0,AH2,"")</f>
        <v>Month 33</v>
      </c>
      <c r="AI9" s="1825" t="str">
        <f aca="false">IF(AI8&gt;0,AI2,"")</f>
        <v>Month 34</v>
      </c>
      <c r="AJ9" s="1825" t="str">
        <f aca="false">IF(AJ8&gt;0,AJ2,"")</f>
        <v>Month 35</v>
      </c>
      <c r="AK9" s="1826" t="str">
        <f aca="false">IF(AK8&gt;0,AK2,"")</f>
        <v>Month 36</v>
      </c>
      <c r="AL9" s="1827" t="str">
        <f aca="false">IF(AL8&gt;0,AL2,"")</f>
        <v>Month 37</v>
      </c>
      <c r="AM9" s="1828" t="str">
        <f aca="false">IF(AM8&gt;0,AM2,"")</f>
        <v>Month 38</v>
      </c>
      <c r="AN9" s="1828" t="str">
        <f aca="false">IF(AN8&gt;0,AN2,"")</f>
        <v>Month 39</v>
      </c>
      <c r="AO9" s="1828" t="str">
        <f aca="false">IF(AO8&gt;0,AO2,"")</f>
        <v>Month 40</v>
      </c>
      <c r="AP9" s="1828" t="str">
        <f aca="false">IF(AP8&gt;0,AP2,"")</f>
        <v>Month 41</v>
      </c>
      <c r="AQ9" s="1828" t="str">
        <f aca="false">IF(AQ8&gt;0,AQ2,"")</f>
        <v>Month 42</v>
      </c>
      <c r="AR9" s="1828" t="str">
        <f aca="false">IF(AR8&gt;0,AR2,"")</f>
        <v>Month 43</v>
      </c>
      <c r="AS9" s="1828" t="str">
        <f aca="false">IF(AS8&gt;0,AS2,"")</f>
        <v>Month 44</v>
      </c>
      <c r="AT9" s="1828" t="str">
        <f aca="false">IF(AT8&gt;0,AT2,"")</f>
        <v>Month 45</v>
      </c>
      <c r="AU9" s="1828" t="str">
        <f aca="false">IF(AU8&gt;0,AU2,"")</f>
        <v>Month 46</v>
      </c>
      <c r="AV9" s="1828" t="str">
        <f aca="false">IF(AV8&gt;0,AV2,"")</f>
        <v>Month 47</v>
      </c>
      <c r="AW9" s="1829" t="str">
        <f aca="false">IF(AW8&gt;0,AW2,"")</f>
        <v>Month 48</v>
      </c>
      <c r="AX9" s="1830" t="str">
        <f aca="false">IF(AX8&gt;0,AX2,"")</f>
        <v>Month 49</v>
      </c>
      <c r="AY9" s="1831" t="str">
        <f aca="false">IF(AY8&gt;0,AY2,"")</f>
        <v>Month 50</v>
      </c>
      <c r="AZ9" s="1831" t="str">
        <f aca="false">IF(AZ8&gt;0,AZ2,"")</f>
        <v>Month 51</v>
      </c>
      <c r="BA9" s="1831" t="str">
        <f aca="false">IF(BA8&gt;0,BA2,"")</f>
        <v>Month 52</v>
      </c>
      <c r="BB9" s="1831" t="str">
        <f aca="false">IF(BB8&gt;0,BB2,"")</f>
        <v>Month 53</v>
      </c>
      <c r="BC9" s="1831" t="str">
        <f aca="false">IF(BC8&gt;0,BC2,"")</f>
        <v>Month 54</v>
      </c>
      <c r="BD9" s="1831" t="str">
        <f aca="false">IF(BD8&gt;0,BD2,"")</f>
        <v>Month 55</v>
      </c>
      <c r="BE9" s="1831" t="str">
        <f aca="false">IF(BE8&gt;0,BE2,"")</f>
        <v>Month 56</v>
      </c>
      <c r="BF9" s="1831" t="str">
        <f aca="false">IF(BF8&gt;0,BF2,"")</f>
        <v>Month 57</v>
      </c>
      <c r="BG9" s="1831" t="str">
        <f aca="false">IF(BG8&gt;0,BG2,"")</f>
        <v>Month 58</v>
      </c>
      <c r="BH9" s="1831" t="str">
        <f aca="false">IF(BH8&gt;0,BH2,"")</f>
        <v>Month 59</v>
      </c>
      <c r="BI9" s="1832" t="str">
        <f aca="false">IF(BI8&gt;0,BI2,"")</f>
        <v>Month 60</v>
      </c>
    </row>
    <row r="10" customFormat="false" ht="10.5" hidden="false" customHeight="true" outlineLevel="0" collapsed="false">
      <c r="A10" s="1833"/>
      <c r="B10" s="1834"/>
      <c r="C10" s="1834"/>
      <c r="D10" s="1834"/>
      <c r="E10" s="1834"/>
      <c r="F10" s="1834"/>
      <c r="G10" s="1834"/>
      <c r="H10" s="1834"/>
      <c r="I10" s="1834"/>
      <c r="J10" s="1834"/>
      <c r="K10" s="1834"/>
      <c r="L10" s="1834"/>
      <c r="M10" s="1835"/>
      <c r="N10" s="1466"/>
      <c r="O10" s="1466"/>
      <c r="P10" s="1466"/>
      <c r="Q10" s="1466"/>
      <c r="R10" s="1466"/>
      <c r="S10" s="1466"/>
      <c r="T10" s="1466"/>
      <c r="U10" s="1466"/>
      <c r="V10" s="1466"/>
      <c r="W10" s="1466"/>
      <c r="X10" s="1466"/>
      <c r="Y10" s="1466"/>
      <c r="Z10" s="1466"/>
      <c r="AA10" s="1466"/>
      <c r="AB10" s="1466"/>
      <c r="AC10" s="1466"/>
      <c r="AD10" s="1466"/>
      <c r="AE10" s="1466"/>
      <c r="AF10" s="1466"/>
      <c r="AG10" s="1466"/>
      <c r="AH10" s="1466"/>
      <c r="AI10" s="1466"/>
      <c r="AJ10" s="1466"/>
      <c r="AK10" s="1466"/>
      <c r="AL10" s="1466"/>
      <c r="AM10" s="1466"/>
      <c r="AN10" s="1466"/>
      <c r="AO10" s="1466"/>
      <c r="AP10" s="1466"/>
      <c r="AQ10" s="1466"/>
      <c r="AR10" s="1466"/>
      <c r="AS10" s="1466"/>
      <c r="AT10" s="1466"/>
      <c r="AU10" s="1466"/>
      <c r="AV10" s="1466"/>
      <c r="AW10" s="1466"/>
      <c r="AX10" s="1466"/>
      <c r="AY10" s="1466"/>
      <c r="AZ10" s="1466"/>
      <c r="BA10" s="1466"/>
      <c r="BB10" s="1466"/>
      <c r="BC10" s="1466"/>
      <c r="BD10" s="1466"/>
      <c r="BE10" s="1466"/>
      <c r="BF10" s="1466"/>
      <c r="BG10" s="1466"/>
      <c r="BH10" s="1466"/>
      <c r="BI10" s="1466"/>
    </row>
    <row r="11" customFormat="false" ht="13.5" hidden="false" customHeight="true" outlineLevel="0" collapsed="false">
      <c r="A11" s="1836" t="s">
        <v>2140</v>
      </c>
      <c r="B11" s="1836"/>
      <c r="C11" s="1837"/>
      <c r="D11" s="1837"/>
      <c r="E11" s="1834"/>
      <c r="F11" s="1834"/>
      <c r="G11" s="1834"/>
      <c r="H11" s="1834"/>
      <c r="I11" s="1834"/>
      <c r="J11" s="1834"/>
      <c r="K11" s="1834"/>
      <c r="L11" s="1834"/>
      <c r="M11" s="1835"/>
      <c r="N11" s="1466"/>
      <c r="O11" s="1466"/>
      <c r="P11" s="1466"/>
      <c r="Q11" s="1466"/>
      <c r="R11" s="1466"/>
      <c r="S11" s="1466"/>
      <c r="T11" s="1466"/>
      <c r="U11" s="1466"/>
      <c r="V11" s="1466"/>
      <c r="W11" s="1466"/>
      <c r="X11" s="1466"/>
      <c r="Y11" s="1466"/>
      <c r="Z11" s="1466"/>
      <c r="AA11" s="1466"/>
      <c r="AB11" s="1466"/>
      <c r="AC11" s="1466"/>
      <c r="AD11" s="1466"/>
      <c r="AE11" s="1466"/>
      <c r="AF11" s="1466"/>
      <c r="AG11" s="1466"/>
      <c r="AH11" s="1466"/>
      <c r="AI11" s="1466"/>
      <c r="AJ11" s="1466"/>
      <c r="AK11" s="1466"/>
      <c r="AL11" s="1466"/>
      <c r="AM11" s="1466"/>
      <c r="AN11" s="1466"/>
      <c r="AO11" s="1466"/>
      <c r="AP11" s="1466"/>
      <c r="AQ11" s="1466"/>
      <c r="AR11" s="1466"/>
      <c r="AS11" s="1466"/>
      <c r="AT11" s="1466"/>
      <c r="AU11" s="1466"/>
      <c r="AV11" s="1466"/>
      <c r="AW11" s="1466"/>
      <c r="AX11" s="1466"/>
      <c r="AY11" s="1466"/>
      <c r="AZ11" s="1466"/>
      <c r="BA11" s="1466"/>
      <c r="BB11" s="1466"/>
      <c r="BC11" s="1466"/>
      <c r="BD11" s="1466"/>
      <c r="BE11" s="1466"/>
      <c r="BF11" s="1466"/>
      <c r="BG11" s="1466"/>
      <c r="BH11" s="1466"/>
      <c r="BI11" s="1466"/>
    </row>
    <row r="12" customFormat="false" ht="9.75" hidden="false" customHeight="true" outlineLevel="0" collapsed="false">
      <c r="A12" s="1838" t="s">
        <v>2141</v>
      </c>
      <c r="B12" s="1839" t="n">
        <f aca="false" t="array" ref="B12:B12">MATCH(TRUE(),B8:BI8&gt;0,0)</f>
        <v>20</v>
      </c>
      <c r="C12" s="1834"/>
      <c r="D12" s="1834"/>
      <c r="E12" s="1834"/>
      <c r="F12" s="1834"/>
      <c r="G12" s="1834"/>
      <c r="H12" s="1834"/>
      <c r="I12" s="1834"/>
      <c r="J12" s="1834"/>
      <c r="K12" s="1834"/>
      <c r="L12" s="1834"/>
      <c r="M12" s="1835"/>
      <c r="N12" s="1466"/>
      <c r="O12" s="1466"/>
      <c r="P12" s="1466"/>
      <c r="Q12" s="1466"/>
      <c r="R12" s="1466"/>
      <c r="S12" s="1466"/>
      <c r="T12" s="1466"/>
      <c r="U12" s="1466"/>
      <c r="V12" s="1466"/>
      <c r="W12" s="1466"/>
      <c r="X12" s="1466"/>
      <c r="Y12" s="1466"/>
      <c r="Z12" s="1466"/>
      <c r="AA12" s="1466"/>
      <c r="AB12" s="1466"/>
      <c r="AC12" s="1466"/>
      <c r="AD12" s="1466"/>
      <c r="AE12" s="1466"/>
      <c r="AF12" s="1466"/>
      <c r="AG12" s="1466"/>
      <c r="AH12" s="1466"/>
      <c r="AI12" s="1466"/>
      <c r="AJ12" s="1466"/>
      <c r="AK12" s="1466"/>
      <c r="AL12" s="1466"/>
      <c r="AM12" s="1466"/>
      <c r="AN12" s="1466"/>
      <c r="AO12" s="1466"/>
      <c r="AP12" s="1466"/>
      <c r="AQ12" s="1466"/>
      <c r="AR12" s="1466"/>
      <c r="AS12" s="1466"/>
      <c r="AT12" s="1466"/>
      <c r="AU12" s="1466"/>
      <c r="AV12" s="1466"/>
      <c r="AW12" s="1466"/>
      <c r="AX12" s="1466"/>
      <c r="AY12" s="1466"/>
      <c r="AZ12" s="1466"/>
      <c r="BA12" s="1466"/>
      <c r="BB12" s="1466"/>
      <c r="BC12" s="1466"/>
      <c r="BD12" s="1466"/>
      <c r="BE12" s="1466"/>
      <c r="BF12" s="1466"/>
      <c r="BG12" s="1466"/>
      <c r="BH12" s="1466"/>
      <c r="BI12" s="1466"/>
    </row>
    <row r="13" customFormat="false" ht="9.75" hidden="false" customHeight="true" outlineLevel="0" collapsed="false">
      <c r="A13" s="1838"/>
      <c r="B13" s="1222"/>
      <c r="C13" s="1834"/>
      <c r="D13" s="1834"/>
      <c r="E13" s="1834"/>
      <c r="F13" s="1834"/>
      <c r="G13" s="1834"/>
      <c r="H13" s="1834"/>
      <c r="I13" s="1834"/>
      <c r="J13" s="1834"/>
      <c r="K13" s="1834"/>
      <c r="L13" s="1834"/>
      <c r="M13" s="1835"/>
      <c r="N13" s="1466"/>
      <c r="O13" s="1466"/>
      <c r="P13" s="1466"/>
      <c r="Q13" s="1466"/>
      <c r="R13" s="1466"/>
      <c r="S13" s="1466"/>
      <c r="T13" s="1466"/>
      <c r="U13" s="1466"/>
      <c r="V13" s="1466"/>
      <c r="W13" s="1466"/>
      <c r="X13" s="1466"/>
      <c r="Y13" s="1466"/>
      <c r="Z13" s="1466"/>
      <c r="AA13" s="1466"/>
      <c r="AB13" s="1466"/>
      <c r="AC13" s="1466"/>
      <c r="AD13" s="1466"/>
      <c r="AE13" s="1466"/>
      <c r="AF13" s="1466"/>
      <c r="AG13" s="1466"/>
      <c r="AH13" s="1466"/>
      <c r="AI13" s="1466"/>
      <c r="AJ13" s="1466"/>
      <c r="AK13" s="1466"/>
      <c r="AL13" s="1466"/>
      <c r="AM13" s="1466"/>
      <c r="AN13" s="1466"/>
      <c r="AO13" s="1466"/>
      <c r="AP13" s="1466"/>
      <c r="AQ13" s="1466"/>
      <c r="AR13" s="1466"/>
      <c r="AS13" s="1466"/>
      <c r="AT13" s="1466"/>
      <c r="AU13" s="1466"/>
      <c r="AV13" s="1466"/>
      <c r="AW13" s="1466"/>
      <c r="AX13" s="1466"/>
      <c r="AY13" s="1466"/>
      <c r="AZ13" s="1466"/>
      <c r="BA13" s="1466"/>
      <c r="BB13" s="1466"/>
      <c r="BC13" s="1466"/>
      <c r="BD13" s="1466"/>
      <c r="BE13" s="1466"/>
      <c r="BF13" s="1466"/>
      <c r="BG13" s="1466"/>
      <c r="BH13" s="1466"/>
      <c r="BI13" s="1466"/>
    </row>
    <row r="14" customFormat="false" ht="10.5" hidden="false" customHeight="true" outlineLevel="0" collapsed="false">
      <c r="A14" s="1840" t="str">
        <f aca="false">IF('P&amp;L'!E14="y","Accumulated Gross Funding","Accumulated Gross Revenue")</f>
        <v>Accumulated Gross Revenue</v>
      </c>
      <c r="B14" s="1339" t="n">
        <f aca="false" t="array" ref="B14:B14">INDEX(B5:BI5,1,B12)</f>
        <v>46276455.5736786</v>
      </c>
      <c r="C14" s="1834"/>
      <c r="D14" s="1834"/>
      <c r="E14" s="1834"/>
      <c r="F14" s="1834"/>
      <c r="G14" s="1834"/>
      <c r="H14" s="1834"/>
      <c r="I14" s="1834"/>
      <c r="J14" s="1834"/>
      <c r="K14" s="1834"/>
      <c r="L14" s="1834"/>
      <c r="M14" s="1835"/>
      <c r="N14" s="1517"/>
      <c r="O14" s="1517"/>
      <c r="P14" s="1517"/>
      <c r="Q14" s="1517"/>
      <c r="R14" s="1517"/>
      <c r="S14" s="1517"/>
      <c r="T14" s="1517"/>
      <c r="U14" s="1517"/>
      <c r="V14" s="1517"/>
      <c r="W14" s="1517"/>
      <c r="X14" s="1517"/>
      <c r="Y14" s="1517"/>
      <c r="Z14" s="1517"/>
      <c r="AA14" s="1517"/>
      <c r="AB14" s="1517"/>
      <c r="AC14" s="1517"/>
      <c r="AD14" s="1517"/>
      <c r="AE14" s="1517"/>
      <c r="AF14" s="1517"/>
      <c r="AG14" s="1517"/>
      <c r="AH14" s="1517"/>
      <c r="AI14" s="1517"/>
      <c r="AJ14" s="1517"/>
      <c r="AK14" s="1517"/>
      <c r="AL14" s="1517"/>
      <c r="AM14" s="1517"/>
      <c r="AN14" s="1517"/>
      <c r="AO14" s="1517"/>
      <c r="AP14" s="1517"/>
      <c r="AQ14" s="1517"/>
      <c r="AR14" s="1517"/>
      <c r="AS14" s="1517"/>
      <c r="AT14" s="1517"/>
      <c r="AU14" s="1517"/>
      <c r="AV14" s="1517"/>
      <c r="AW14" s="1517"/>
      <c r="AX14" s="1517"/>
      <c r="AY14" s="1517"/>
      <c r="AZ14" s="1517"/>
      <c r="BA14" s="1517"/>
      <c r="BB14" s="1517"/>
      <c r="BC14" s="1517"/>
      <c r="BD14" s="1517"/>
      <c r="BE14" s="1517"/>
      <c r="BF14" s="1517"/>
      <c r="BG14" s="1517"/>
      <c r="BH14" s="1517"/>
      <c r="BI14" s="1517"/>
    </row>
    <row r="15" customFormat="false" ht="9.75" hidden="false" customHeight="true" outlineLevel="0" collapsed="false">
      <c r="A15" s="1841"/>
      <c r="B15" s="1801"/>
      <c r="C15" s="1801"/>
      <c r="D15" s="1801"/>
      <c r="E15" s="1801"/>
      <c r="F15" s="1801"/>
      <c r="G15" s="1801"/>
      <c r="H15" s="1801"/>
      <c r="I15" s="1801"/>
      <c r="J15" s="1801"/>
      <c r="K15" s="1801"/>
      <c r="L15" s="1801"/>
      <c r="M15" s="1842"/>
    </row>
    <row r="16" customFormat="false" ht="9.75" hidden="false" customHeight="true" outlineLevel="0" collapsed="false">
      <c r="A16" s="1841"/>
      <c r="B16" s="1801"/>
      <c r="C16" s="1801"/>
      <c r="D16" s="1801"/>
      <c r="E16" s="1801"/>
      <c r="F16" s="1801"/>
      <c r="G16" s="1801"/>
      <c r="H16" s="1801"/>
      <c r="I16" s="1801"/>
      <c r="J16" s="1801"/>
      <c r="K16" s="1801"/>
      <c r="L16" s="1801"/>
      <c r="M16" s="1842"/>
    </row>
    <row r="17" customFormat="false" ht="9.75" hidden="false" customHeight="true" outlineLevel="0" collapsed="false">
      <c r="A17" s="1841"/>
      <c r="B17" s="1801"/>
      <c r="C17" s="1801"/>
      <c r="D17" s="1801"/>
      <c r="E17" s="1801"/>
      <c r="F17" s="1801"/>
      <c r="G17" s="1801"/>
      <c r="H17" s="1801"/>
      <c r="I17" s="1801"/>
      <c r="J17" s="1801"/>
      <c r="K17" s="1801"/>
      <c r="L17" s="1801"/>
      <c r="M17" s="1842"/>
    </row>
    <row r="18" customFormat="false" ht="9.75" hidden="false" customHeight="true" outlineLevel="0" collapsed="false">
      <c r="A18" s="1841"/>
      <c r="B18" s="1801"/>
      <c r="C18" s="1801"/>
      <c r="D18" s="1801"/>
      <c r="E18" s="1801"/>
      <c r="F18" s="1801"/>
      <c r="G18" s="1801"/>
      <c r="H18" s="1801"/>
      <c r="I18" s="1801"/>
      <c r="J18" s="1801"/>
      <c r="K18" s="1801"/>
      <c r="L18" s="1801"/>
      <c r="M18" s="1842"/>
    </row>
    <row r="19" customFormat="false" ht="9.75" hidden="false" customHeight="true" outlineLevel="0" collapsed="false">
      <c r="A19" s="1841"/>
      <c r="B19" s="1801"/>
      <c r="C19" s="1801"/>
      <c r="D19" s="1801"/>
      <c r="E19" s="1801"/>
      <c r="F19" s="1801"/>
      <c r="G19" s="1801"/>
      <c r="H19" s="1801"/>
      <c r="I19" s="1801"/>
      <c r="J19" s="1801"/>
      <c r="K19" s="1801"/>
      <c r="L19" s="1801"/>
      <c r="M19" s="1842"/>
    </row>
    <row r="20" customFormat="false" ht="9.75" hidden="false" customHeight="true" outlineLevel="0" collapsed="false">
      <c r="A20" s="1841"/>
      <c r="B20" s="1801"/>
      <c r="C20" s="1801"/>
      <c r="D20" s="1801"/>
      <c r="E20" s="1801"/>
      <c r="F20" s="1801"/>
      <c r="G20" s="1801"/>
      <c r="H20" s="1801"/>
      <c r="I20" s="1801"/>
      <c r="J20" s="1801"/>
      <c r="K20" s="1801"/>
      <c r="L20" s="1801"/>
      <c r="M20" s="1842"/>
    </row>
    <row r="21" customFormat="false" ht="9.75" hidden="false" customHeight="true" outlineLevel="0" collapsed="false">
      <c r="A21" s="1841"/>
      <c r="B21" s="1801"/>
      <c r="C21" s="1801"/>
      <c r="D21" s="1801"/>
      <c r="E21" s="1801"/>
      <c r="F21" s="1801"/>
      <c r="G21" s="1801"/>
      <c r="H21" s="1801"/>
      <c r="I21" s="1801"/>
      <c r="J21" s="1801"/>
      <c r="K21" s="1801"/>
      <c r="L21" s="1801"/>
      <c r="M21" s="1842"/>
    </row>
    <row r="22" customFormat="false" ht="9.75" hidden="false" customHeight="true" outlineLevel="0" collapsed="false">
      <c r="A22" s="1841"/>
      <c r="B22" s="1801"/>
      <c r="C22" s="1801"/>
      <c r="D22" s="1801"/>
      <c r="E22" s="1801"/>
      <c r="F22" s="1801"/>
      <c r="G22" s="1801"/>
      <c r="H22" s="1801"/>
      <c r="I22" s="1801"/>
      <c r="J22" s="1801"/>
      <c r="K22" s="1801"/>
      <c r="L22" s="1801"/>
      <c r="M22" s="1842"/>
    </row>
    <row r="23" customFormat="false" ht="9.75" hidden="false" customHeight="true" outlineLevel="0" collapsed="false">
      <c r="A23" s="1841"/>
      <c r="B23" s="1801"/>
      <c r="C23" s="1801"/>
      <c r="D23" s="1801"/>
      <c r="E23" s="1801"/>
      <c r="F23" s="1801"/>
      <c r="G23" s="1801"/>
      <c r="H23" s="1801"/>
      <c r="I23" s="1801"/>
      <c r="J23" s="1801"/>
      <c r="K23" s="1801"/>
      <c r="L23" s="1801"/>
      <c r="M23" s="1842"/>
    </row>
    <row r="24" customFormat="false" ht="9.75" hidden="false" customHeight="true" outlineLevel="0" collapsed="false">
      <c r="A24" s="1841"/>
      <c r="B24" s="1801"/>
      <c r="C24" s="1801"/>
      <c r="D24" s="1801"/>
      <c r="E24" s="1801"/>
      <c r="F24" s="1801"/>
      <c r="G24" s="1801"/>
      <c r="H24" s="1801"/>
      <c r="I24" s="1801"/>
      <c r="J24" s="1801"/>
      <c r="K24" s="1801"/>
      <c r="L24" s="1801"/>
      <c r="M24" s="1842"/>
    </row>
    <row r="25" customFormat="false" ht="9.75" hidden="false" customHeight="true" outlineLevel="0" collapsed="false">
      <c r="A25" s="1841"/>
      <c r="B25" s="1801"/>
      <c r="C25" s="1801"/>
      <c r="D25" s="1801"/>
      <c r="E25" s="1801"/>
      <c r="F25" s="1801"/>
      <c r="G25" s="1801"/>
      <c r="H25" s="1801"/>
      <c r="I25" s="1801"/>
      <c r="J25" s="1801"/>
      <c r="K25" s="1801"/>
      <c r="L25" s="1801"/>
      <c r="M25" s="1842"/>
    </row>
    <row r="26" customFormat="false" ht="9.75" hidden="false" customHeight="true" outlineLevel="0" collapsed="false">
      <c r="A26" s="1841"/>
      <c r="B26" s="1801"/>
      <c r="C26" s="1801"/>
      <c r="D26" s="1801"/>
      <c r="E26" s="1801"/>
      <c r="F26" s="1801"/>
      <c r="G26" s="1801"/>
      <c r="H26" s="1801"/>
      <c r="I26" s="1801"/>
      <c r="J26" s="1801"/>
      <c r="K26" s="1801"/>
      <c r="L26" s="1801"/>
      <c r="M26" s="1842"/>
    </row>
    <row r="27" customFormat="false" ht="9.75" hidden="false" customHeight="true" outlineLevel="0" collapsed="false">
      <c r="A27" s="1841"/>
      <c r="B27" s="1801"/>
      <c r="C27" s="1801"/>
      <c r="D27" s="1801"/>
      <c r="E27" s="1801"/>
      <c r="F27" s="1801"/>
      <c r="G27" s="1801"/>
      <c r="H27" s="1801"/>
      <c r="I27" s="1801"/>
      <c r="J27" s="1801"/>
      <c r="K27" s="1801"/>
      <c r="L27" s="1801"/>
      <c r="M27" s="1842"/>
    </row>
    <row r="28" customFormat="false" ht="9.75" hidden="false" customHeight="true" outlineLevel="0" collapsed="false">
      <c r="A28" s="1841"/>
      <c r="B28" s="1801"/>
      <c r="C28" s="1801"/>
      <c r="D28" s="1801"/>
      <c r="E28" s="1801"/>
      <c r="F28" s="1801"/>
      <c r="G28" s="1801"/>
      <c r="H28" s="1801"/>
      <c r="I28" s="1801"/>
      <c r="J28" s="1801"/>
      <c r="K28" s="1801"/>
      <c r="L28" s="1801"/>
      <c r="M28" s="1842"/>
    </row>
    <row r="29" customFormat="false" ht="9.75" hidden="false" customHeight="true" outlineLevel="0" collapsed="false">
      <c r="A29" s="1841"/>
      <c r="B29" s="1801"/>
      <c r="C29" s="1801"/>
      <c r="D29" s="1801"/>
      <c r="E29" s="1801"/>
      <c r="F29" s="1801"/>
      <c r="G29" s="1801"/>
      <c r="H29" s="1801"/>
      <c r="I29" s="1801"/>
      <c r="J29" s="1801"/>
      <c r="K29" s="1801"/>
      <c r="L29" s="1801"/>
      <c r="M29" s="1842"/>
    </row>
    <row r="30" customFormat="false" ht="9.75" hidden="false" customHeight="true" outlineLevel="0" collapsed="false">
      <c r="A30" s="1841"/>
      <c r="B30" s="1801"/>
      <c r="C30" s="1801"/>
      <c r="D30" s="1801"/>
      <c r="E30" s="1801"/>
      <c r="F30" s="1801"/>
      <c r="G30" s="1801"/>
      <c r="H30" s="1801"/>
      <c r="I30" s="1801"/>
      <c r="J30" s="1801"/>
      <c r="K30" s="1801"/>
      <c r="L30" s="1801"/>
      <c r="M30" s="1842"/>
    </row>
    <row r="31" customFormat="false" ht="9.75" hidden="false" customHeight="true" outlineLevel="0" collapsed="false">
      <c r="A31" s="1841"/>
      <c r="B31" s="1801"/>
      <c r="C31" s="1801"/>
      <c r="D31" s="1801"/>
      <c r="E31" s="1801"/>
      <c r="F31" s="1801"/>
      <c r="G31" s="1801"/>
      <c r="H31" s="1801"/>
      <c r="I31" s="1801"/>
      <c r="J31" s="1801"/>
      <c r="K31" s="1801"/>
      <c r="L31" s="1801"/>
      <c r="M31" s="1842"/>
    </row>
    <row r="32" customFormat="false" ht="9.75" hidden="false" customHeight="true" outlineLevel="0" collapsed="false">
      <c r="A32" s="1841"/>
      <c r="B32" s="1801"/>
      <c r="C32" s="1801"/>
      <c r="D32" s="1801"/>
      <c r="E32" s="1801"/>
      <c r="F32" s="1801"/>
      <c r="G32" s="1801"/>
      <c r="H32" s="1801"/>
      <c r="I32" s="1801"/>
      <c r="J32" s="1801"/>
      <c r="K32" s="1801"/>
      <c r="L32" s="1801"/>
      <c r="M32" s="1842"/>
    </row>
    <row r="33" customFormat="false" ht="9.75" hidden="false" customHeight="true" outlineLevel="0" collapsed="false">
      <c r="A33" s="1841"/>
      <c r="B33" s="1801"/>
      <c r="C33" s="1801"/>
      <c r="D33" s="1801"/>
      <c r="E33" s="1801"/>
      <c r="F33" s="1801"/>
      <c r="G33" s="1801"/>
      <c r="H33" s="1801"/>
      <c r="I33" s="1801"/>
      <c r="J33" s="1801"/>
      <c r="K33" s="1801"/>
      <c r="L33" s="1801"/>
      <c r="M33" s="1842"/>
    </row>
    <row r="34" customFormat="false" ht="9.75" hidden="false" customHeight="true" outlineLevel="0" collapsed="false">
      <c r="A34" s="1841"/>
      <c r="B34" s="1801"/>
      <c r="C34" s="1801"/>
      <c r="D34" s="1801"/>
      <c r="E34" s="1801"/>
      <c r="F34" s="1801"/>
      <c r="G34" s="1801"/>
      <c r="H34" s="1801"/>
      <c r="I34" s="1801"/>
      <c r="J34" s="1801"/>
      <c r="K34" s="1801"/>
      <c r="L34" s="1801"/>
      <c r="M34" s="1842"/>
    </row>
    <row r="35" customFormat="false" ht="10.5" hidden="false" customHeight="true" outlineLevel="0" collapsed="false">
      <c r="A35" s="1843"/>
      <c r="B35" s="1844"/>
      <c r="C35" s="1844"/>
      <c r="D35" s="1844"/>
      <c r="E35" s="1844"/>
      <c r="F35" s="1844"/>
      <c r="G35" s="1844"/>
      <c r="H35" s="1844"/>
      <c r="I35" s="1844"/>
      <c r="J35" s="1844"/>
      <c r="K35" s="1844"/>
      <c r="L35" s="1844"/>
      <c r="M35" s="1845"/>
    </row>
    <row r="36" customFormat="false" ht="9.75" hidden="false" customHeight="true" outlineLevel="0" collapsed="false">
      <c r="A36" s="1801"/>
      <c r="B36" s="1801"/>
      <c r="C36" s="1801"/>
      <c r="D36" s="1801"/>
      <c r="E36" s="1801"/>
      <c r="F36" s="1801"/>
      <c r="G36" s="1801"/>
      <c r="H36" s="1801"/>
      <c r="I36" s="1801"/>
      <c r="J36" s="1801"/>
      <c r="K36" s="1801"/>
      <c r="L36" s="1801"/>
      <c r="M36" s="1801"/>
    </row>
  </sheetData>
  <mergeCells count="1">
    <mergeCell ref="A11:B11"/>
  </mergeCells>
  <printOptions headings="false" gridLines="false" gridLinesSet="true" horizontalCentered="false" verticalCentered="false"/>
  <pageMargins left="0.75" right="0.75" top="0.861111111111111" bottom="1" header="0.511811023622047" footer="0.5"/>
  <pageSetup paperSize="1" scale="100" fitToWidth="1" fitToHeight="0" pageOrder="downThenOver" orientation="landscape" blackAndWhite="false" draft="false" cellComments="none" horizontalDpi="300" verticalDpi="300" copies="1"/>
  <headerFooter differentFirst="false" differentOddEven="false">
    <oddHeader/>
    <oddFooter>&amp;CBreak Even</oddFooter>
  </headerFooter>
  <drawing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0000"/>
    <pageSetUpPr fitToPage="false"/>
  </sheetPr>
  <dimension ref="A1:O208"/>
  <sheetViews>
    <sheetView showFormulas="false" showGridLines="true" showRowColHeaders="true" showZeros="true" rightToLeft="false" tabSelected="false" showOutlineSymbols="true" defaultGridColor="true" view="normal" topLeftCell="A111" colorId="64" zoomScale="100" zoomScaleNormal="100" zoomScalePageLayoutView="100" workbookViewId="0">
      <selection pane="topLeft" activeCell="K144" activeCellId="0" sqref="K144"/>
    </sheetView>
  </sheetViews>
  <sheetFormatPr defaultColWidth="8.54296875" defaultRowHeight="12" customHeight="true" zeroHeight="false" outlineLevelRow="0" outlineLevelCol="0"/>
  <cols>
    <col collapsed="false" customWidth="true" hidden="false" outlineLevel="0" max="1" min="1" style="1" width="20.45"/>
    <col collapsed="false" customWidth="true" hidden="false" outlineLevel="0" max="2" min="2" style="1" width="31.45"/>
    <col collapsed="false" customWidth="true" hidden="false" outlineLevel="0" max="3" min="3" style="1" width="32.54"/>
    <col collapsed="false" customWidth="true" hidden="false" outlineLevel="0" max="4" min="4" style="1" width="13"/>
    <col collapsed="false" customWidth="true" hidden="false" outlineLevel="0" max="5" min="5" style="1" width="14"/>
    <col collapsed="false" customWidth="true" hidden="false" outlineLevel="0" max="7" min="6" style="1" width="10"/>
    <col collapsed="false" customWidth="true" hidden="false" outlineLevel="0" max="10" min="10" style="1" width="7.27"/>
    <col collapsed="false" customWidth="true" hidden="false" outlineLevel="0" max="12" min="11" style="1" width="11.82"/>
    <col collapsed="false" customWidth="true" hidden="false" outlineLevel="0" max="15" min="13" style="1" width="11.54"/>
  </cols>
  <sheetData>
    <row r="1" s="1846" customFormat="true" ht="33.75" hidden="false" customHeight="true" outlineLevel="0" collapsed="false">
      <c r="B1" s="1847" t="s">
        <v>2142</v>
      </c>
      <c r="C1" s="1847"/>
    </row>
    <row r="2" s="1848" customFormat="true" ht="30" hidden="false" customHeight="true" outlineLevel="0" collapsed="false">
      <c r="B2" s="1849" t="s">
        <v>2143</v>
      </c>
    </row>
    <row r="3" s="1848" customFormat="true" ht="18" hidden="false" customHeight="true" outlineLevel="0" collapsed="false">
      <c r="B3" s="1850" t="s">
        <v>2144</v>
      </c>
    </row>
    <row r="4" customFormat="false" ht="15" hidden="false" customHeight="true" outlineLevel="0" collapsed="false">
      <c r="A4" s="1764" t="s">
        <v>2145</v>
      </c>
      <c r="B4" s="1764"/>
      <c r="J4" s="1851" t="s">
        <v>2146</v>
      </c>
      <c r="K4" s="1852" t="n">
        <f aca="false">'P&amp;L'!BJ46</f>
        <v>-3831207.37527624</v>
      </c>
      <c r="L4" s="1852" t="n">
        <f aca="false">'P&amp;L'!BK46</f>
        <v>8408716.91682543</v>
      </c>
      <c r="M4" s="1852" t="n">
        <f aca="false">'P&amp;L'!BL46</f>
        <v>42095422.6414667</v>
      </c>
      <c r="N4" s="1852" t="n">
        <f aca="false">'P&amp;L'!BM46</f>
        <v>48489992.1730687</v>
      </c>
      <c r="O4" s="1852" t="n">
        <f aca="false">'P&amp;L'!BN46</f>
        <v>54856792.4462355</v>
      </c>
    </row>
    <row r="5" customFormat="false" ht="15" hidden="false" customHeight="true" outlineLevel="0" collapsed="false">
      <c r="A5" s="1853" t="s">
        <v>292</v>
      </c>
      <c r="B5" s="1853" t="s">
        <v>2147</v>
      </c>
      <c r="C5" s="1854" t="s">
        <v>2148</v>
      </c>
      <c r="D5" s="1855" t="s">
        <v>2149</v>
      </c>
      <c r="E5" s="1855" t="s">
        <v>2150</v>
      </c>
      <c r="F5" s="1855" t="s">
        <v>2151</v>
      </c>
      <c r="G5" s="1855" t="s">
        <v>2152</v>
      </c>
      <c r="J5" s="1856" t="s">
        <v>2153</v>
      </c>
      <c r="K5" s="1857"/>
      <c r="L5" s="1858" t="n">
        <v>0.34</v>
      </c>
      <c r="M5" s="1858" t="n">
        <v>0.32</v>
      </c>
      <c r="N5" s="1859" t="n">
        <v>0.3</v>
      </c>
      <c r="O5" s="1858" t="n">
        <v>0.28</v>
      </c>
    </row>
    <row r="6" customFormat="false" ht="14.25" hidden="false" customHeight="true" outlineLevel="0" collapsed="false">
      <c r="A6" s="1860" t="s">
        <v>2154</v>
      </c>
      <c r="B6" s="1861"/>
      <c r="C6" s="1862"/>
      <c r="D6" s="1863" t="n">
        <f aca="false">SUM(D7:D26)</f>
        <v>145967</v>
      </c>
      <c r="E6" s="1863" t="n">
        <f aca="false">SUM(E7:E26)</f>
        <v>1751604</v>
      </c>
      <c r="F6" s="1864" t="n">
        <f aca="false">IFERROR(E6/'P&amp;L'!BJ19,0)</f>
        <v>0.178801049643555</v>
      </c>
      <c r="G6" s="1864" t="n">
        <f aca="false">IFERROR(E6/'P&amp;L'!BN19,0)</f>
        <v>0.00898269267644047</v>
      </c>
      <c r="J6" s="1865"/>
      <c r="K6" s="1866" t="n">
        <v>0</v>
      </c>
      <c r="L6" s="1866" t="n">
        <f aca="false">L4*L5</f>
        <v>2858963.75172065</v>
      </c>
      <c r="M6" s="1866" t="n">
        <f aca="false">M4*M5</f>
        <v>13470535.2452694</v>
      </c>
      <c r="N6" s="1866" t="n">
        <f aca="false">N4*N5</f>
        <v>14546997.6519206</v>
      </c>
      <c r="O6" s="1866" t="n">
        <f aca="false">O4*O5</f>
        <v>15359901.884946</v>
      </c>
    </row>
    <row r="7" customFormat="false" ht="12" hidden="false" customHeight="true" outlineLevel="0" collapsed="false">
      <c r="A7" s="1867"/>
      <c r="B7" s="1868" t="s">
        <v>2155</v>
      </c>
      <c r="C7" s="1869" t="s">
        <v>2156</v>
      </c>
      <c r="D7" s="1870" t="n">
        <v>60000</v>
      </c>
      <c r="E7" s="1871" t="n">
        <f aca="false">D7*12</f>
        <v>720000</v>
      </c>
      <c r="F7" s="1872" t="n">
        <f aca="false">IFERROR(E7/'P&amp;L'!BJ19,0)</f>
        <v>0.0734964956367761</v>
      </c>
      <c r="G7" s="1872" t="n">
        <f aca="false">IFERROR(E7/'P&amp;L'!BN19,0)</f>
        <v>0.00369235211100063</v>
      </c>
    </row>
    <row r="8" customFormat="false" ht="12" hidden="false" customHeight="true" outlineLevel="0" collapsed="false">
      <c r="A8" s="1867"/>
      <c r="B8" s="1868" t="s">
        <v>2157</v>
      </c>
      <c r="C8" s="1869" t="s">
        <v>2158</v>
      </c>
      <c r="D8" s="1870" t="n">
        <v>2500</v>
      </c>
      <c r="E8" s="1871" t="n">
        <f aca="false">D8*12</f>
        <v>30000</v>
      </c>
      <c r="F8" s="1872" t="n">
        <f aca="false">IFERROR(E8/'P&amp;L'!BJ19,0)</f>
        <v>0.00306235398486567</v>
      </c>
      <c r="G8" s="1872" t="n">
        <f aca="false">IFERROR(E8/'P&amp;L'!BN19,0)</f>
        <v>0.000153848004625026</v>
      </c>
    </row>
    <row r="9" customFormat="false" ht="12" hidden="false" customHeight="true" outlineLevel="0" collapsed="false">
      <c r="A9" s="1867"/>
      <c r="B9" s="1868" t="s">
        <v>2159</v>
      </c>
      <c r="C9" s="1869" t="s">
        <v>2160</v>
      </c>
      <c r="D9" s="1870" t="n">
        <v>16667</v>
      </c>
      <c r="E9" s="1871" t="n">
        <f aca="false">D9*12</f>
        <v>200004</v>
      </c>
      <c r="F9" s="1872" t="n">
        <f aca="false">IFERROR(E9/'P&amp;L'!BJ19,0)</f>
        <v>0.0204161015463025</v>
      </c>
      <c r="G9" s="1872" t="n">
        <f aca="false">IFERROR(E9/'P&amp;L'!BN19,0)</f>
        <v>0.00102567387723412</v>
      </c>
    </row>
    <row r="10" customFormat="false" ht="12" hidden="false" customHeight="true" outlineLevel="0" collapsed="false">
      <c r="A10" s="1867"/>
      <c r="B10" s="1868" t="s">
        <v>2161</v>
      </c>
      <c r="C10" s="1869" t="s">
        <v>2162</v>
      </c>
      <c r="D10" s="1870" t="n">
        <v>1500</v>
      </c>
      <c r="E10" s="1871" t="n">
        <f aca="false">D10*12</f>
        <v>18000</v>
      </c>
      <c r="F10" s="1872" t="n">
        <f aca="false">IFERROR(E10/'P&amp;L'!BJ19,0)</f>
        <v>0.0018374123909194</v>
      </c>
      <c r="G10" s="1872" t="n">
        <f aca="false">IFERROR(E10/'P&amp;L'!BN19,0)</f>
        <v>9.23088027750157E-005</v>
      </c>
    </row>
    <row r="11" customFormat="false" ht="12" hidden="false" customHeight="true" outlineLevel="0" collapsed="false">
      <c r="A11" s="1867"/>
      <c r="B11" s="1868" t="s">
        <v>2163</v>
      </c>
      <c r="C11" s="1869" t="s">
        <v>2164</v>
      </c>
      <c r="D11" s="1870" t="n">
        <v>45000</v>
      </c>
      <c r="E11" s="1871" t="n">
        <f aca="false">D11*12</f>
        <v>540000</v>
      </c>
      <c r="F11" s="1872" t="n">
        <f aca="false">IFERROR(E11/'P&amp;L'!BJ19,0)</f>
        <v>0.0551223717275821</v>
      </c>
      <c r="G11" s="1872" t="n">
        <f aca="false">IFERROR(E11/'P&amp;L'!BN19,0)</f>
        <v>0.00276926408325047</v>
      </c>
    </row>
    <row r="12" customFormat="false" ht="12" hidden="false" customHeight="true" outlineLevel="0" collapsed="false">
      <c r="A12" s="1867"/>
      <c r="B12" s="1868" t="s">
        <v>2165</v>
      </c>
      <c r="C12" s="1869" t="s">
        <v>2166</v>
      </c>
      <c r="D12" s="1870" t="n">
        <v>3000</v>
      </c>
      <c r="E12" s="1871" t="n">
        <f aca="false">D12*12</f>
        <v>36000</v>
      </c>
      <c r="F12" s="1872" t="n">
        <f aca="false">IFERROR(E12/'P&amp;L'!BJ19,0)</f>
        <v>0.0036748247818388</v>
      </c>
      <c r="G12" s="1872" t="n">
        <f aca="false">IFERROR(E12/'P&amp;L'!BN19,0)</f>
        <v>0.000184617605550031</v>
      </c>
    </row>
    <row r="13" customFormat="false" ht="12" hidden="false" customHeight="true" outlineLevel="0" collapsed="false">
      <c r="A13" s="1867"/>
      <c r="B13" s="1868" t="s">
        <v>2167</v>
      </c>
      <c r="C13" s="1869" t="s">
        <v>2168</v>
      </c>
      <c r="D13" s="1870" t="n">
        <v>2000</v>
      </c>
      <c r="E13" s="1871" t="n">
        <f aca="false">D13*12</f>
        <v>24000</v>
      </c>
      <c r="F13" s="1872" t="n">
        <f aca="false">IFERROR(E13/'P&amp;L'!BJ19,0)</f>
        <v>0.00244988318789254</v>
      </c>
      <c r="G13" s="1872" t="n">
        <f aca="false">IFERROR(E13/'P&amp;L'!BN19,0)</f>
        <v>0.000123078403700021</v>
      </c>
    </row>
    <row r="14" customFormat="false" ht="12" hidden="false" customHeight="true" outlineLevel="0" collapsed="false">
      <c r="A14" s="1867"/>
      <c r="B14" s="1868" t="s">
        <v>2169</v>
      </c>
      <c r="C14" s="1869" t="s">
        <v>2170</v>
      </c>
      <c r="D14" s="1870" t="n">
        <v>2500</v>
      </c>
      <c r="E14" s="1871" t="n">
        <f aca="false">D14*12</f>
        <v>30000</v>
      </c>
      <c r="F14" s="1872" t="n">
        <f aca="false">IFERROR(E14/'P&amp;L'!BJ19,0)</f>
        <v>0.00306235398486567</v>
      </c>
      <c r="G14" s="1872" t="n">
        <f aca="false">IFERROR(E14/'P&amp;L'!BN19,0)</f>
        <v>0.000153848004625026</v>
      </c>
    </row>
    <row r="15" customFormat="false" ht="12" hidden="false" customHeight="true" outlineLevel="0" collapsed="false">
      <c r="A15" s="1867"/>
      <c r="B15" s="1868" t="s">
        <v>2171</v>
      </c>
      <c r="C15" s="1869" t="s">
        <v>2172</v>
      </c>
      <c r="D15" s="1870" t="n">
        <v>0</v>
      </c>
      <c r="E15" s="1871" t="n">
        <f aca="false">D15*12</f>
        <v>0</v>
      </c>
      <c r="F15" s="1872" t="n">
        <f aca="false">IFERROR(E15/'P&amp;L'!BJ19,0)</f>
        <v>0</v>
      </c>
      <c r="G15" s="1872" t="n">
        <f aca="false">IFERROR(E15/'P&amp;L'!BN19,0)</f>
        <v>0</v>
      </c>
    </row>
    <row r="16" customFormat="false" ht="12" hidden="false" customHeight="true" outlineLevel="0" collapsed="false">
      <c r="A16" s="1867"/>
      <c r="B16" s="1868" t="s">
        <v>2173</v>
      </c>
      <c r="C16" s="1869" t="s">
        <v>2174</v>
      </c>
      <c r="D16" s="1870" t="n">
        <v>2000</v>
      </c>
      <c r="E16" s="1871" t="n">
        <f aca="false">D16*12</f>
        <v>24000</v>
      </c>
      <c r="F16" s="1872" t="n">
        <f aca="false">IFERROR(E16/'P&amp;L'!BJ19,0)</f>
        <v>0.00244988318789254</v>
      </c>
      <c r="G16" s="1872" t="n">
        <f aca="false">IFERROR(E16/'P&amp;L'!BN19,0)</f>
        <v>0.000123078403700021</v>
      </c>
    </row>
    <row r="17" customFormat="false" ht="12" hidden="false" customHeight="true" outlineLevel="0" collapsed="false">
      <c r="A17" s="1867"/>
      <c r="B17" s="1868" t="s">
        <v>2175</v>
      </c>
      <c r="C17" s="1869" t="s">
        <v>2176</v>
      </c>
      <c r="D17" s="1870" t="n">
        <v>300</v>
      </c>
      <c r="E17" s="1871" t="n">
        <f aca="false">D17*12</f>
        <v>3600</v>
      </c>
      <c r="F17" s="1872" t="n">
        <f aca="false">IFERROR(E17/'P&amp;L'!BJ19,0)</f>
        <v>0.000367482478183881</v>
      </c>
      <c r="G17" s="1872" t="n">
        <f aca="false">IFERROR(E17/'P&amp;L'!BN19,0)</f>
        <v>1.84617605550031E-005</v>
      </c>
    </row>
    <row r="18" customFormat="false" ht="12" hidden="false" customHeight="true" outlineLevel="0" collapsed="false">
      <c r="A18" s="1867"/>
      <c r="B18" s="1868" t="s">
        <v>2177</v>
      </c>
      <c r="C18" s="1869" t="s">
        <v>2178</v>
      </c>
      <c r="D18" s="1870" t="n">
        <v>500</v>
      </c>
      <c r="E18" s="1871" t="n">
        <f aca="false">D18*12</f>
        <v>6000</v>
      </c>
      <c r="F18" s="1872" t="n">
        <f aca="false">IFERROR(E18/'P&amp;L'!BJ19,0)</f>
        <v>0.000612470796973134</v>
      </c>
      <c r="G18" s="1872" t="n">
        <f aca="false">IFERROR(E18/'P&amp;L'!BN19,0)</f>
        <v>3.07696009250052E-005</v>
      </c>
    </row>
    <row r="19" customFormat="false" ht="12" hidden="false" customHeight="true" outlineLevel="0" collapsed="false">
      <c r="A19" s="1867"/>
      <c r="B19" s="1868" t="s">
        <v>2179</v>
      </c>
      <c r="C19" s="1869" t="s">
        <v>1608</v>
      </c>
      <c r="D19" s="1870" t="n">
        <v>0</v>
      </c>
      <c r="E19" s="1871" t="n">
        <f aca="false">D19*12</f>
        <v>0</v>
      </c>
      <c r="F19" s="1872" t="n">
        <f aca="false">IFERROR(E19/'P&amp;L'!BJ19,0)</f>
        <v>0</v>
      </c>
      <c r="G19" s="1872" t="n">
        <f aca="false">IFERROR(E19/'P&amp;L'!BN19,0)</f>
        <v>0</v>
      </c>
    </row>
    <row r="20" customFormat="false" ht="12" hidden="false" customHeight="true" outlineLevel="0" collapsed="false">
      <c r="A20" s="1867"/>
      <c r="B20" s="1868" t="s">
        <v>2180</v>
      </c>
      <c r="C20" s="1869" t="s">
        <v>2181</v>
      </c>
      <c r="D20" s="1870" t="n">
        <v>1500</v>
      </c>
      <c r="E20" s="1871" t="n">
        <f aca="false">D20*12</f>
        <v>18000</v>
      </c>
      <c r="F20" s="1872" t="n">
        <f aca="false">IFERROR(E20/'P&amp;L'!BJ19,0)</f>
        <v>0.0018374123909194</v>
      </c>
      <c r="G20" s="1872" t="n">
        <f aca="false">IFERROR(E20/'P&amp;L'!BN19,0)</f>
        <v>9.23088027750157E-005</v>
      </c>
    </row>
    <row r="21" customFormat="false" ht="12" hidden="false" customHeight="true" outlineLevel="0" collapsed="false">
      <c r="A21" s="1867"/>
      <c r="B21" s="1868" t="s">
        <v>2182</v>
      </c>
      <c r="C21" s="1869" t="s">
        <v>2183</v>
      </c>
      <c r="D21" s="1870" t="n">
        <v>500</v>
      </c>
      <c r="E21" s="1871" t="n">
        <f aca="false">D21*12</f>
        <v>6000</v>
      </c>
      <c r="F21" s="1872" t="n">
        <f aca="false">IFERROR(E21/'P&amp;L'!BJ19,0)</f>
        <v>0.000612470796973134</v>
      </c>
      <c r="G21" s="1872" t="n">
        <f aca="false">IFERROR(E21/'P&amp;L'!BN19,0)</f>
        <v>3.07696009250052E-005</v>
      </c>
    </row>
    <row r="22" customFormat="false" ht="12" hidden="false" customHeight="true" outlineLevel="0" collapsed="false">
      <c r="A22" s="1867"/>
      <c r="B22" s="1868" t="s">
        <v>2184</v>
      </c>
      <c r="C22" s="1869" t="s">
        <v>2185</v>
      </c>
      <c r="D22" s="1870" t="n">
        <v>1000</v>
      </c>
      <c r="E22" s="1871" t="n">
        <f aca="false">D22*12</f>
        <v>12000</v>
      </c>
      <c r="F22" s="1872" t="n">
        <f aca="false">IFERROR(E22/'P&amp;L'!BJ19,0)</f>
        <v>0.00122494159394627</v>
      </c>
      <c r="G22" s="1872" t="n">
        <f aca="false">IFERROR(E22/'P&amp;L'!BN19,0)</f>
        <v>6.15392018500104E-005</v>
      </c>
    </row>
    <row r="23" customFormat="false" ht="12" hidden="false" customHeight="true" outlineLevel="0" collapsed="false">
      <c r="A23" s="1867"/>
      <c r="B23" s="1868" t="s">
        <v>2186</v>
      </c>
      <c r="C23" s="1869" t="s">
        <v>2187</v>
      </c>
      <c r="D23" s="1870" t="n">
        <v>1500</v>
      </c>
      <c r="E23" s="1871" t="n">
        <f aca="false">D23*12</f>
        <v>18000</v>
      </c>
      <c r="F23" s="1872" t="n">
        <f aca="false">IFERROR(E23/'P&amp;L'!BJ19,0)</f>
        <v>0.0018374123909194</v>
      </c>
      <c r="G23" s="1872" t="n">
        <f aca="false">IFERROR(E23/'P&amp;L'!BN19,0)</f>
        <v>9.23088027750157E-005</v>
      </c>
    </row>
    <row r="24" customFormat="false" ht="12" hidden="false" customHeight="true" outlineLevel="0" collapsed="false">
      <c r="A24" s="1867"/>
      <c r="B24" s="1868" t="s">
        <v>2188</v>
      </c>
      <c r="C24" s="1869" t="s">
        <v>2189</v>
      </c>
      <c r="D24" s="1870" t="n">
        <v>1000</v>
      </c>
      <c r="E24" s="1871" t="n">
        <f aca="false">D24*12</f>
        <v>12000</v>
      </c>
      <c r="F24" s="1872" t="n">
        <f aca="false">IFERROR(E24/'P&amp;L'!BJ19,0)</f>
        <v>0.00122494159394627</v>
      </c>
      <c r="G24" s="1872" t="n">
        <f aca="false">IFERROR(E24/'P&amp;L'!BN19,0)</f>
        <v>6.15392018500104E-005</v>
      </c>
    </row>
    <row r="25" customFormat="false" ht="12" hidden="false" customHeight="true" outlineLevel="0" collapsed="false">
      <c r="A25" s="1867"/>
      <c r="B25" s="1868" t="s">
        <v>2190</v>
      </c>
      <c r="C25" s="1869" t="s">
        <v>2191</v>
      </c>
      <c r="D25" s="1870" t="n">
        <v>1500</v>
      </c>
      <c r="E25" s="1871" t="n">
        <f aca="false">D25*12</f>
        <v>18000</v>
      </c>
      <c r="F25" s="1872" t="n">
        <f aca="false">IFERROR(E25/'P&amp;L'!BJ19,0)</f>
        <v>0.0018374123909194</v>
      </c>
      <c r="G25" s="1872" t="n">
        <f aca="false">IFERROR(E25/'P&amp;L'!BN19,0)</f>
        <v>9.23088027750157E-005</v>
      </c>
    </row>
    <row r="26" customFormat="false" ht="12" hidden="false" customHeight="true" outlineLevel="0" collapsed="false">
      <c r="A26" s="1867"/>
      <c r="B26" s="1868" t="s">
        <v>2192</v>
      </c>
      <c r="C26" s="1869" t="s">
        <v>2193</v>
      </c>
      <c r="D26" s="1870" t="n">
        <v>3000</v>
      </c>
      <c r="E26" s="1871" t="n">
        <f aca="false">D26*12</f>
        <v>36000</v>
      </c>
      <c r="F26" s="1872" t="n">
        <f aca="false">IFERROR(E26/'P&amp;L'!BJ19,0)</f>
        <v>0.0036748247818388</v>
      </c>
      <c r="G26" s="1872" t="n">
        <f aca="false">IFERROR(E26/'P&amp;L'!BN19,0)</f>
        <v>0.000184617605550031</v>
      </c>
    </row>
    <row r="27" customFormat="false" ht="14.25" hidden="false" customHeight="true" outlineLevel="0" collapsed="false">
      <c r="A27" s="1860" t="s">
        <v>1535</v>
      </c>
      <c r="B27" s="1861"/>
      <c r="C27" s="1862"/>
      <c r="D27" s="1863" t="n">
        <f aca="false">SUM(D28:D38)</f>
        <v>8750</v>
      </c>
      <c r="E27" s="1863" t="n">
        <f aca="false">SUM(E28:E38)</f>
        <v>105000</v>
      </c>
      <c r="F27" s="1864" t="n">
        <f aca="false">IFERROR(E27/'P&amp;L'!BJ19,0)</f>
        <v>0.0107182389470298</v>
      </c>
      <c r="G27" s="1864" t="n">
        <f aca="false">IFERROR(E27/'P&amp;L'!BN19,0)</f>
        <v>0.000538468016187591</v>
      </c>
    </row>
    <row r="28" customFormat="false" ht="12" hidden="false" customHeight="true" outlineLevel="0" collapsed="false">
      <c r="A28" s="1867"/>
      <c r="B28" s="1868" t="s">
        <v>2194</v>
      </c>
      <c r="C28" s="1869" t="s">
        <v>2195</v>
      </c>
      <c r="D28" s="1870" t="n">
        <v>0</v>
      </c>
      <c r="E28" s="1871" t="n">
        <f aca="false">D28*12</f>
        <v>0</v>
      </c>
      <c r="F28" s="1872" t="n">
        <f aca="false">IFERROR(E28/'P&amp;L'!BJ19,0)</f>
        <v>0</v>
      </c>
      <c r="G28" s="1872" t="n">
        <f aca="false">IFERROR(E28/'P&amp;L'!BN19,0)</f>
        <v>0</v>
      </c>
    </row>
    <row r="29" customFormat="false" ht="12" hidden="false" customHeight="true" outlineLevel="0" collapsed="false">
      <c r="A29" s="1867"/>
      <c r="B29" s="1868" t="s">
        <v>2196</v>
      </c>
      <c r="C29" s="1869" t="s">
        <v>2197</v>
      </c>
      <c r="D29" s="1870" t="n">
        <v>0</v>
      </c>
      <c r="E29" s="1871" t="n">
        <f aca="false">D29*12</f>
        <v>0</v>
      </c>
      <c r="F29" s="1872" t="n">
        <f aca="false">IFERROR(E29/'P&amp;L'!BJ19,0)</f>
        <v>0</v>
      </c>
      <c r="G29" s="1872" t="n">
        <f aca="false">IFERROR(E29/'P&amp;L'!BN19,0)</f>
        <v>0</v>
      </c>
    </row>
    <row r="30" customFormat="false" ht="12" hidden="false" customHeight="true" outlineLevel="0" collapsed="false">
      <c r="A30" s="1867"/>
      <c r="B30" s="1868" t="s">
        <v>2198</v>
      </c>
      <c r="C30" s="1869" t="s">
        <v>2199</v>
      </c>
      <c r="D30" s="1870" t="n">
        <v>2400</v>
      </c>
      <c r="E30" s="1871" t="n">
        <f aca="false">D30*12</f>
        <v>28800</v>
      </c>
      <c r="F30" s="1872" t="n">
        <f aca="false">IFERROR(E30/'P&amp;L'!BJ19,0)</f>
        <v>0.00293985982547104</v>
      </c>
      <c r="G30" s="1872" t="n">
        <f aca="false">IFERROR(E30/'P&amp;L'!BN19,0)</f>
        <v>0.000147694084440025</v>
      </c>
    </row>
    <row r="31" customFormat="false" ht="12" hidden="false" customHeight="true" outlineLevel="0" collapsed="false">
      <c r="A31" s="1867"/>
      <c r="B31" s="1868" t="s">
        <v>2200</v>
      </c>
      <c r="C31" s="1869" t="s">
        <v>2201</v>
      </c>
      <c r="D31" s="1870" t="n">
        <v>1250</v>
      </c>
      <c r="E31" s="1871" t="n">
        <f aca="false">D31*12</f>
        <v>15000</v>
      </c>
      <c r="F31" s="1872" t="n">
        <f aca="false">IFERROR(E31/'P&amp;L'!BJ19,0)</f>
        <v>0.00153117699243284</v>
      </c>
      <c r="G31" s="1872" t="n">
        <f aca="false">IFERROR(E31/'P&amp;L'!BN19,0)</f>
        <v>7.69240023125131E-005</v>
      </c>
    </row>
    <row r="32" customFormat="false" ht="12" hidden="false" customHeight="true" outlineLevel="0" collapsed="false">
      <c r="A32" s="1867"/>
      <c r="B32" s="1868" t="s">
        <v>2202</v>
      </c>
      <c r="C32" s="1869" t="s">
        <v>2203</v>
      </c>
      <c r="D32" s="1870" t="n">
        <v>800</v>
      </c>
      <c r="E32" s="1871" t="n">
        <f aca="false">D32*12</f>
        <v>9600</v>
      </c>
      <c r="F32" s="1872" t="n">
        <f aca="false">IFERROR(E32/'P&amp;L'!BJ19,0)</f>
        <v>0.000979953275157015</v>
      </c>
      <c r="G32" s="1872" t="n">
        <f aca="false">IFERROR(E32/'P&amp;L'!BN19,0)</f>
        <v>4.92313614800084E-005</v>
      </c>
    </row>
    <row r="33" customFormat="false" ht="12" hidden="false" customHeight="true" outlineLevel="0" collapsed="false">
      <c r="A33" s="1867"/>
      <c r="B33" s="1868" t="s">
        <v>2204</v>
      </c>
      <c r="C33" s="1869" t="s">
        <v>2205</v>
      </c>
      <c r="D33" s="1870" t="n">
        <v>600</v>
      </c>
      <c r="E33" s="1871" t="n">
        <f aca="false">D33*12</f>
        <v>7200</v>
      </c>
      <c r="F33" s="1872" t="n">
        <f aca="false">IFERROR(E33/'P&amp;L'!BJ19,0)</f>
        <v>0.000734964956367761</v>
      </c>
      <c r="G33" s="1872" t="n">
        <f aca="false">IFERROR(E33/'P&amp;L'!BN19,0)</f>
        <v>3.69235211100063E-005</v>
      </c>
    </row>
    <row r="34" customFormat="false" ht="12" hidden="false" customHeight="true" outlineLevel="0" collapsed="false">
      <c r="A34" s="1867"/>
      <c r="B34" s="1868" t="s">
        <v>2206</v>
      </c>
      <c r="C34" s="1869" t="s">
        <v>2207</v>
      </c>
      <c r="D34" s="1870" t="n">
        <v>500</v>
      </c>
      <c r="E34" s="1871" t="n">
        <f aca="false">D34*12</f>
        <v>6000</v>
      </c>
      <c r="F34" s="1872" t="n">
        <f aca="false">IFERROR(E34/'P&amp;L'!BJ19,0)</f>
        <v>0.000612470796973134</v>
      </c>
      <c r="G34" s="1872" t="n">
        <f aca="false">IFERROR(E34/'P&amp;L'!BN19,0)</f>
        <v>3.07696009250052E-005</v>
      </c>
    </row>
    <row r="35" customFormat="false" ht="12" hidden="false" customHeight="true" outlineLevel="0" collapsed="false">
      <c r="A35" s="1867"/>
      <c r="B35" s="1868" t="s">
        <v>2208</v>
      </c>
      <c r="C35" s="1869" t="s">
        <v>2209</v>
      </c>
      <c r="D35" s="1870" t="n">
        <v>1500</v>
      </c>
      <c r="E35" s="1871" t="n">
        <f aca="false">D35*12</f>
        <v>18000</v>
      </c>
      <c r="F35" s="1872" t="n">
        <f aca="false">IFERROR(E35/'P&amp;L'!BJ19,0)</f>
        <v>0.0018374123909194</v>
      </c>
      <c r="G35" s="1872" t="n">
        <f aca="false">IFERROR(E35/'P&amp;L'!BN19,0)</f>
        <v>9.23088027750157E-005</v>
      </c>
    </row>
    <row r="36" customFormat="false" ht="12" hidden="false" customHeight="true" outlineLevel="0" collapsed="false">
      <c r="A36" s="1867"/>
      <c r="B36" s="1868" t="s">
        <v>2210</v>
      </c>
      <c r="C36" s="1869" t="s">
        <v>2211</v>
      </c>
      <c r="D36" s="1870" t="n">
        <v>500</v>
      </c>
      <c r="E36" s="1871" t="n">
        <f aca="false">D36*12</f>
        <v>6000</v>
      </c>
      <c r="F36" s="1872" t="n">
        <f aca="false">IFERROR(E36/'P&amp;L'!BJ19,0)</f>
        <v>0.000612470796973134</v>
      </c>
      <c r="G36" s="1872" t="n">
        <f aca="false">IFERROR(E36/'P&amp;L'!BN19,0)</f>
        <v>3.07696009250052E-005</v>
      </c>
    </row>
    <row r="37" customFormat="false" ht="12" hidden="false" customHeight="true" outlineLevel="0" collapsed="false">
      <c r="A37" s="1867"/>
      <c r="B37" s="1868" t="s">
        <v>2212</v>
      </c>
      <c r="C37" s="1869" t="s">
        <v>2213</v>
      </c>
      <c r="D37" s="1870" t="n">
        <v>200</v>
      </c>
      <c r="E37" s="1871" t="n">
        <f aca="false">D37*12</f>
        <v>2400</v>
      </c>
      <c r="F37" s="1872" t="n">
        <f aca="false">IFERROR(E37/'P&amp;L'!BJ19,0)</f>
        <v>0.000244988318789254</v>
      </c>
      <c r="G37" s="1872" t="n">
        <f aca="false">IFERROR(E37/'P&amp;L'!BN19,0)</f>
        <v>1.23078403700021E-005</v>
      </c>
    </row>
    <row r="38" customFormat="false" ht="12" hidden="false" customHeight="true" outlineLevel="0" collapsed="false">
      <c r="A38" s="1867"/>
      <c r="B38" s="1868" t="s">
        <v>2214</v>
      </c>
      <c r="C38" s="1869" t="s">
        <v>2215</v>
      </c>
      <c r="D38" s="1870" t="n">
        <v>1000</v>
      </c>
      <c r="E38" s="1871" t="n">
        <f aca="false">D38*12</f>
        <v>12000</v>
      </c>
      <c r="F38" s="1872" t="n">
        <f aca="false">IFERROR(E38/'P&amp;L'!BJ19,0)</f>
        <v>0.00122494159394627</v>
      </c>
      <c r="G38" s="1872" t="n">
        <f aca="false">IFERROR(E38/'P&amp;L'!BN19,0)</f>
        <v>6.15392018500104E-005</v>
      </c>
    </row>
    <row r="39" customFormat="false" ht="14.25" hidden="false" customHeight="true" outlineLevel="0" collapsed="false">
      <c r="A39" s="1860" t="s">
        <v>2216</v>
      </c>
      <c r="B39" s="1861"/>
      <c r="C39" s="1862"/>
      <c r="D39" s="1863" t="n">
        <f aca="false">SUM(D40:D60)</f>
        <v>150883</v>
      </c>
      <c r="E39" s="1863" t="n">
        <f aca="false">SUM(E40:E60)</f>
        <v>1810596</v>
      </c>
      <c r="F39" s="1864" t="n">
        <f aca="false">IFERROR(E39/'P&amp;L'!BJ19,0)</f>
        <v>0.184822862519395</v>
      </c>
      <c r="G39" s="1864" t="n">
        <f aca="false">IFERROR(E39/'P&amp;L'!BN19,0)</f>
        <v>0.00928521939273513</v>
      </c>
    </row>
    <row r="40" customFormat="false" ht="12" hidden="false" customHeight="true" outlineLevel="0" collapsed="false">
      <c r="A40" s="1867"/>
      <c r="B40" s="1868" t="s">
        <v>2217</v>
      </c>
      <c r="C40" s="1869" t="s">
        <v>2218</v>
      </c>
      <c r="D40" s="1870" t="n">
        <v>10000</v>
      </c>
      <c r="E40" s="1871" t="n">
        <f aca="false">D40*12</f>
        <v>120000</v>
      </c>
      <c r="F40" s="1872" t="n">
        <f aca="false">IFERROR(E40/'P&amp;L'!BJ19,0)</f>
        <v>0.0122494159394627</v>
      </c>
      <c r="G40" s="1872" t="n">
        <f aca="false">IFERROR(E40/'P&amp;L'!BN19,0)</f>
        <v>0.000615392018500104</v>
      </c>
    </row>
    <row r="41" customFormat="false" ht="12" hidden="false" customHeight="true" outlineLevel="0" collapsed="false">
      <c r="A41" s="1867"/>
      <c r="B41" s="1868" t="s">
        <v>2219</v>
      </c>
      <c r="C41" s="1869" t="s">
        <v>2220</v>
      </c>
      <c r="D41" s="1870" t="n">
        <v>15000</v>
      </c>
      <c r="E41" s="1871" t="n">
        <f aca="false">D41*12</f>
        <v>180000</v>
      </c>
      <c r="F41" s="1872" t="n">
        <f aca="false">IFERROR(E41/'P&amp;L'!BJ19,0)</f>
        <v>0.018374123909194</v>
      </c>
      <c r="G41" s="1872" t="n">
        <f aca="false">IFERROR(E41/'P&amp;L'!BN19,0)</f>
        <v>0.000923088027750157</v>
      </c>
    </row>
    <row r="42" customFormat="false" ht="12" hidden="false" customHeight="true" outlineLevel="0" collapsed="false">
      <c r="A42" s="1867"/>
      <c r="B42" s="1868" t="s">
        <v>2221</v>
      </c>
      <c r="C42" s="1869" t="s">
        <v>2222</v>
      </c>
      <c r="D42" s="1870" t="n">
        <v>13000</v>
      </c>
      <c r="E42" s="1871" t="n">
        <f aca="false">D42*12</f>
        <v>156000</v>
      </c>
      <c r="F42" s="1872" t="n">
        <f aca="false">IFERROR(E42/'P&amp;L'!BJ19,0)</f>
        <v>0.0159242407213015</v>
      </c>
      <c r="G42" s="1872" t="n">
        <f aca="false">IFERROR(E42/'P&amp;L'!BN19,0)</f>
        <v>0.000800009624050136</v>
      </c>
    </row>
    <row r="43" customFormat="false" ht="12" hidden="false" customHeight="true" outlineLevel="0" collapsed="false">
      <c r="A43" s="1867"/>
      <c r="B43" s="1868" t="s">
        <v>2223</v>
      </c>
      <c r="C43" s="1869" t="s">
        <v>2224</v>
      </c>
      <c r="D43" s="1870" t="n">
        <v>3817</v>
      </c>
      <c r="E43" s="1871" t="n">
        <f aca="false">D43*12</f>
        <v>45804</v>
      </c>
      <c r="F43" s="1872" t="n">
        <f aca="false">IFERROR(E43/'P&amp;L'!BJ19,0)</f>
        <v>0.00467560206409291</v>
      </c>
      <c r="G43" s="1872" t="n">
        <f aca="false">IFERROR(E43/'P&amp;L'!BN19,0)</f>
        <v>0.00023489513346149</v>
      </c>
    </row>
    <row r="44" customFormat="false" ht="12" hidden="false" customHeight="true" outlineLevel="0" collapsed="false">
      <c r="A44" s="1867"/>
      <c r="B44" s="1868" t="s">
        <v>2225</v>
      </c>
      <c r="C44" s="1869" t="s">
        <v>2226</v>
      </c>
      <c r="D44" s="1870" t="n">
        <v>5417</v>
      </c>
      <c r="E44" s="1871" t="n">
        <f aca="false">D44*12</f>
        <v>65004</v>
      </c>
      <c r="F44" s="1872" t="n">
        <f aca="false">IFERROR(E44/'P&amp;L'!BJ19,0)</f>
        <v>0.00663550861440694</v>
      </c>
      <c r="G44" s="1872" t="n">
        <f aca="false">IFERROR(E44/'P&amp;L'!BN19,0)</f>
        <v>0.000333357856421507</v>
      </c>
    </row>
    <row r="45" customFormat="false" ht="12" hidden="false" customHeight="true" outlineLevel="0" collapsed="false">
      <c r="A45" s="1867"/>
      <c r="B45" s="1868" t="s">
        <v>2227</v>
      </c>
      <c r="C45" s="1869" t="s">
        <v>2228</v>
      </c>
      <c r="D45" s="1870" t="n">
        <v>8333</v>
      </c>
      <c r="E45" s="1871" t="n">
        <f aca="false">D45*12</f>
        <v>99996</v>
      </c>
      <c r="F45" s="1872" t="n">
        <f aca="false">IFERROR(E45/'P&amp;L'!BJ19,0)</f>
        <v>0.0102074383023543</v>
      </c>
      <c r="G45" s="1872" t="n">
        <f aca="false">IFERROR(E45/'P&amp;L'!BN19,0)</f>
        <v>0.000512806169016137</v>
      </c>
    </row>
    <row r="46" customFormat="false" ht="12" hidden="false" customHeight="true" outlineLevel="0" collapsed="false">
      <c r="A46" s="1867"/>
      <c r="B46" s="1868" t="s">
        <v>2229</v>
      </c>
      <c r="C46" s="1869" t="s">
        <v>2230</v>
      </c>
      <c r="D46" s="1870" t="n">
        <v>6250</v>
      </c>
      <c r="E46" s="1871" t="n">
        <f aca="false">D46*12</f>
        <v>75000</v>
      </c>
      <c r="F46" s="1872" t="n">
        <f aca="false">IFERROR(E46/'P&amp;L'!BJ19,0)</f>
        <v>0.00765588496216418</v>
      </c>
      <c r="G46" s="1872" t="n">
        <f aca="false">IFERROR(E46/'P&amp;L'!BN19,0)</f>
        <v>0.000384620011562565</v>
      </c>
    </row>
    <row r="47" customFormat="false" ht="12" hidden="false" customHeight="true" outlineLevel="0" collapsed="false">
      <c r="A47" s="1867"/>
      <c r="B47" s="1868" t="s">
        <v>2231</v>
      </c>
      <c r="C47" s="1869" t="s">
        <v>2232</v>
      </c>
      <c r="D47" s="1870" t="n">
        <v>7083</v>
      </c>
      <c r="E47" s="1871" t="n">
        <f aca="false">D47*12</f>
        <v>84996</v>
      </c>
      <c r="F47" s="1872" t="n">
        <f aca="false">IFERROR(E47/'P&amp;L'!BJ19,0)</f>
        <v>0.00867626130992142</v>
      </c>
      <c r="G47" s="1872" t="n">
        <f aca="false">IFERROR(E47/'P&amp;L'!BN19,0)</f>
        <v>0.000435882166703624</v>
      </c>
    </row>
    <row r="48" customFormat="false" ht="12" hidden="false" customHeight="true" outlineLevel="0" collapsed="false">
      <c r="A48" s="1867"/>
      <c r="B48" s="1868" t="s">
        <v>2233</v>
      </c>
      <c r="C48" s="1869" t="s">
        <v>2234</v>
      </c>
      <c r="D48" s="1870" t="n">
        <v>4583</v>
      </c>
      <c r="E48" s="1871" t="n">
        <f aca="false">D48*12</f>
        <v>54996</v>
      </c>
      <c r="F48" s="1872" t="n">
        <f aca="false">IFERROR(E48/'P&amp;L'!BJ19,0)</f>
        <v>0.00561390732505575</v>
      </c>
      <c r="G48" s="1872" t="n">
        <f aca="false">IFERROR(E48/'P&amp;L'!BN19,0)</f>
        <v>0.000282034162078598</v>
      </c>
    </row>
    <row r="49" customFormat="false" ht="12" hidden="false" customHeight="true" outlineLevel="0" collapsed="false">
      <c r="A49" s="1867"/>
      <c r="B49" s="1868" t="s">
        <v>2235</v>
      </c>
      <c r="C49" s="1869" t="s">
        <v>2236</v>
      </c>
      <c r="D49" s="1870" t="n">
        <v>5417</v>
      </c>
      <c r="E49" s="1871" t="n">
        <f aca="false">D49*12</f>
        <v>65004</v>
      </c>
      <c r="F49" s="1872" t="n">
        <f aca="false">IFERROR(E49/'P&amp;L'!BJ19,0)</f>
        <v>0.00663550861440694</v>
      </c>
      <c r="G49" s="1872" t="n">
        <f aca="false">IFERROR(E49/'P&amp;L'!BN19,0)</f>
        <v>0.000333357856421507</v>
      </c>
    </row>
    <row r="50" customFormat="false" ht="12" hidden="false" customHeight="true" outlineLevel="0" collapsed="false">
      <c r="A50" s="1867"/>
      <c r="B50" s="1868" t="s">
        <v>2237</v>
      </c>
      <c r="C50" s="1869" t="s">
        <v>2238</v>
      </c>
      <c r="D50" s="1870" t="n">
        <v>20833</v>
      </c>
      <c r="E50" s="1871" t="n">
        <f aca="false">D50*12</f>
        <v>249996</v>
      </c>
      <c r="F50" s="1872" t="n">
        <f aca="false">IFERROR(E50/'P&amp;L'!BJ19,0)</f>
        <v>0.0255192082266826</v>
      </c>
      <c r="G50" s="1872" t="n">
        <f aca="false">IFERROR(E50/'P&amp;L'!BN19,0)</f>
        <v>0.00128204619214127</v>
      </c>
    </row>
    <row r="51" customFormat="false" ht="24.75" hidden="false" customHeight="true" outlineLevel="0" collapsed="false">
      <c r="A51" s="1867"/>
      <c r="B51" s="1868" t="s">
        <v>2239</v>
      </c>
      <c r="C51" s="1869" t="s">
        <v>2240</v>
      </c>
      <c r="D51" s="1870" t="n">
        <v>8987</v>
      </c>
      <c r="E51" s="1871" t="n">
        <f aca="false">D51*12</f>
        <v>107844</v>
      </c>
      <c r="F51" s="1872" t="n">
        <f aca="false">IFERROR(E51/'P&amp;L'!BJ19,0)</f>
        <v>0.0110085501047951</v>
      </c>
      <c r="G51" s="1872" t="n">
        <f aca="false">IFERROR(E51/'P&amp;L'!BN19,0)</f>
        <v>0.000553052807026044</v>
      </c>
    </row>
    <row r="52" customFormat="false" ht="12" hidden="false" customHeight="true" outlineLevel="0" collapsed="false">
      <c r="A52" s="1867"/>
      <c r="B52" s="1868" t="s">
        <v>2241</v>
      </c>
      <c r="C52" s="1869" t="s">
        <v>2242</v>
      </c>
      <c r="D52" s="1870" t="n">
        <v>3117</v>
      </c>
      <c r="E52" s="1871" t="n">
        <f aca="false">D52*12</f>
        <v>37404</v>
      </c>
      <c r="F52" s="1872" t="n">
        <f aca="false">IFERROR(E52/'P&amp;L'!BJ19,0)</f>
        <v>0.00381814294833052</v>
      </c>
      <c r="G52" s="1872" t="n">
        <f aca="false">IFERROR(E52/'P&amp;L'!BN19,0)</f>
        <v>0.000191817692166483</v>
      </c>
    </row>
    <row r="53" customFormat="false" ht="12" hidden="false" customHeight="true" outlineLevel="0" collapsed="false">
      <c r="A53" s="1867"/>
      <c r="B53" s="1868" t="s">
        <v>2243</v>
      </c>
      <c r="C53" s="1869" t="s">
        <v>2244</v>
      </c>
      <c r="D53" s="1870" t="n">
        <v>18000</v>
      </c>
      <c r="E53" s="1871" t="n">
        <f aca="false">D53*12</f>
        <v>216000</v>
      </c>
      <c r="F53" s="1872" t="n">
        <f aca="false">IFERROR(E53/'P&amp;L'!BJ19,0)</f>
        <v>0.0220489486910328</v>
      </c>
      <c r="G53" s="1872" t="n">
        <f aca="false">IFERROR(E53/'P&amp;L'!BN19,0)</f>
        <v>0.00110770563330019</v>
      </c>
    </row>
    <row r="54" customFormat="false" ht="12" hidden="false" customHeight="true" outlineLevel="0" collapsed="false">
      <c r="A54" s="1867"/>
      <c r="B54" s="1868" t="s">
        <v>2245</v>
      </c>
      <c r="C54" s="1869" t="s">
        <v>2246</v>
      </c>
      <c r="D54" s="1870" t="n">
        <v>4156</v>
      </c>
      <c r="E54" s="1871" t="n">
        <f aca="false">D54*12</f>
        <v>49872</v>
      </c>
      <c r="F54" s="1872" t="n">
        <f aca="false">IFERROR(E54/'P&amp;L'!BJ19,0)</f>
        <v>0.00509085726444069</v>
      </c>
      <c r="G54" s="1872" t="n">
        <f aca="false">IFERROR(E54/'P&amp;L'!BN19,0)</f>
        <v>0.000255756922888643</v>
      </c>
    </row>
    <row r="55" customFormat="false" ht="12" hidden="false" customHeight="true" outlineLevel="0" collapsed="false">
      <c r="A55" s="1867"/>
      <c r="B55" s="1868" t="s">
        <v>2247</v>
      </c>
      <c r="C55" s="1869" t="s">
        <v>2248</v>
      </c>
      <c r="D55" s="1870" t="n">
        <v>5195</v>
      </c>
      <c r="E55" s="1871" t="n">
        <f aca="false">D55*12</f>
        <v>62340</v>
      </c>
      <c r="F55" s="1872" t="n">
        <f aca="false">IFERROR(E55/'P&amp;L'!BJ19,0)</f>
        <v>0.00636357158055086</v>
      </c>
      <c r="G55" s="1872" t="n">
        <f aca="false">IFERROR(E55/'P&amp;L'!BN19,0)</f>
        <v>0.000319696153610804</v>
      </c>
    </row>
    <row r="56" customFormat="false" ht="12" hidden="false" customHeight="true" outlineLevel="0" collapsed="false">
      <c r="A56" s="1867"/>
      <c r="B56" s="1868" t="s">
        <v>2249</v>
      </c>
      <c r="C56" s="1869" t="s">
        <v>2250</v>
      </c>
      <c r="D56" s="1870" t="n">
        <v>5195</v>
      </c>
      <c r="E56" s="1871" t="n">
        <f aca="false">D56*12</f>
        <v>62340</v>
      </c>
      <c r="F56" s="1872" t="n">
        <f aca="false">IFERROR(E56/'P&amp;L'!BJ19,0)</f>
        <v>0.00636357158055086</v>
      </c>
      <c r="G56" s="1872" t="n">
        <f aca="false">IFERROR(E56/'P&amp;L'!BN19,0)</f>
        <v>0.000319696153610804</v>
      </c>
    </row>
    <row r="57" customFormat="false" ht="12" hidden="false" customHeight="true" outlineLevel="0" collapsed="false">
      <c r="A57" s="1867"/>
      <c r="B57" s="1868" t="s">
        <v>2251</v>
      </c>
      <c r="C57" s="1869" t="s">
        <v>2252</v>
      </c>
      <c r="D57" s="1870" t="n">
        <v>2000</v>
      </c>
      <c r="E57" s="1871" t="n">
        <f aca="false">D57*12</f>
        <v>24000</v>
      </c>
      <c r="F57" s="1872" t="n">
        <f aca="false">IFERROR(E57/'P&amp;L'!BJ19,0)</f>
        <v>0.00244988318789254</v>
      </c>
      <c r="G57" s="1872" t="n">
        <f aca="false">IFERROR(E57/'P&amp;L'!BN19,0)</f>
        <v>0.000123078403700021</v>
      </c>
    </row>
    <row r="58" customFormat="false" ht="12" hidden="false" customHeight="true" outlineLevel="0" collapsed="false">
      <c r="A58" s="1867"/>
      <c r="B58" s="1868" t="s">
        <v>2253</v>
      </c>
      <c r="C58" s="1869" t="s">
        <v>2254</v>
      </c>
      <c r="D58" s="1870" t="n">
        <v>2500</v>
      </c>
      <c r="E58" s="1871" t="n">
        <f aca="false">D58*12</f>
        <v>30000</v>
      </c>
      <c r="F58" s="1872" t="n">
        <f aca="false">IFERROR(E58/'P&amp;L'!BJ19,0)</f>
        <v>0.00306235398486567</v>
      </c>
      <c r="G58" s="1872" t="n">
        <f aca="false">IFERROR(E58/'P&amp;L'!BN19,0)</f>
        <v>0.000153848004625026</v>
      </c>
    </row>
    <row r="59" customFormat="false" ht="12" hidden="false" customHeight="true" outlineLevel="0" collapsed="false">
      <c r="A59" s="1867"/>
      <c r="B59" s="1868" t="s">
        <v>2255</v>
      </c>
      <c r="C59" s="1869" t="s">
        <v>2256</v>
      </c>
      <c r="D59" s="1870" t="n">
        <v>500</v>
      </c>
      <c r="E59" s="1871" t="n">
        <f aca="false">D59*12</f>
        <v>6000</v>
      </c>
      <c r="F59" s="1872" t="n">
        <f aca="false">IFERROR(E59/'P&amp;L'!BJ19,0)</f>
        <v>0.000612470796973134</v>
      </c>
      <c r="G59" s="1872" t="n">
        <f aca="false">IFERROR(E59/'P&amp;L'!BN19,0)</f>
        <v>3.07696009250052E-005</v>
      </c>
    </row>
    <row r="60" customFormat="false" ht="12" hidden="false" customHeight="true" outlineLevel="0" collapsed="false">
      <c r="A60" s="1867"/>
      <c r="B60" s="1868" t="s">
        <v>2257</v>
      </c>
      <c r="C60" s="1869" t="s">
        <v>2258</v>
      </c>
      <c r="D60" s="1870" t="n">
        <v>1500</v>
      </c>
      <c r="E60" s="1871" t="n">
        <f aca="false">D60*12</f>
        <v>18000</v>
      </c>
      <c r="F60" s="1872" t="n">
        <f aca="false">IFERROR(E60/'P&amp;L'!BJ19,0)</f>
        <v>0.0018374123909194</v>
      </c>
      <c r="G60" s="1872" t="n">
        <f aca="false">IFERROR(E60/'P&amp;L'!BN19,0)</f>
        <v>9.23088027750157E-005</v>
      </c>
    </row>
    <row r="61" customFormat="false" ht="14.25" hidden="false" customHeight="true" outlineLevel="0" collapsed="false">
      <c r="A61" s="1860" t="s">
        <v>2259</v>
      </c>
      <c r="B61" s="1861"/>
      <c r="C61" s="1862"/>
      <c r="D61" s="1863" t="n">
        <f aca="false">SUM(D62:D74)</f>
        <v>19100</v>
      </c>
      <c r="E61" s="1863" t="n">
        <f aca="false">SUM(E62:E74)</f>
        <v>229200</v>
      </c>
      <c r="F61" s="1864" t="n">
        <f aca="false">IFERROR(E61/'P&amp;L'!BJ19,0)</f>
        <v>0.0233963844443737</v>
      </c>
      <c r="G61" s="1864" t="n">
        <f aca="false">IFERROR(E61/'P&amp;L'!BN19,0)</f>
        <v>0.0011753987553352</v>
      </c>
    </row>
    <row r="62" customFormat="false" ht="24.75" hidden="false" customHeight="true" outlineLevel="0" collapsed="false">
      <c r="A62" s="1867"/>
      <c r="B62" s="1868" t="s">
        <v>2260</v>
      </c>
      <c r="C62" s="1869" t="s">
        <v>2261</v>
      </c>
      <c r="D62" s="1870" t="n">
        <v>6000</v>
      </c>
      <c r="E62" s="1871" t="n">
        <f aca="false">D62*12</f>
        <v>72000</v>
      </c>
      <c r="F62" s="1872" t="n">
        <f aca="false">IFERROR(E62/'P&amp;L'!BJ19,0)</f>
        <v>0.00734964956367761</v>
      </c>
      <c r="G62" s="1872" t="n">
        <f aca="false">IFERROR(E62/'P&amp;L'!BN19,0)</f>
        <v>0.000369235211100063</v>
      </c>
    </row>
    <row r="63" customFormat="false" ht="12" hidden="false" customHeight="true" outlineLevel="0" collapsed="false">
      <c r="A63" s="1867"/>
      <c r="B63" s="1868" t="s">
        <v>2262</v>
      </c>
      <c r="C63" s="1869" t="s">
        <v>2263</v>
      </c>
      <c r="D63" s="1870" t="n">
        <v>1500</v>
      </c>
      <c r="E63" s="1871" t="n">
        <f aca="false">D63*12</f>
        <v>18000</v>
      </c>
      <c r="F63" s="1872" t="n">
        <f aca="false">IFERROR(E63/'P&amp;L'!BJ19,0)</f>
        <v>0.0018374123909194</v>
      </c>
      <c r="G63" s="1872" t="n">
        <f aca="false">IFERROR(E63/'P&amp;L'!BN19,0)</f>
        <v>9.23088027750157E-005</v>
      </c>
    </row>
    <row r="64" customFormat="false" ht="12" hidden="false" customHeight="true" outlineLevel="0" collapsed="false">
      <c r="A64" s="1867"/>
      <c r="B64" s="1868" t="s">
        <v>2264</v>
      </c>
      <c r="C64" s="1869" t="s">
        <v>2265</v>
      </c>
      <c r="D64" s="1870" t="n">
        <v>2500</v>
      </c>
      <c r="E64" s="1871" t="n">
        <f aca="false">D64*12</f>
        <v>30000</v>
      </c>
      <c r="F64" s="1872" t="n">
        <f aca="false">IFERROR(E64/'P&amp;L'!BJ19,0)</f>
        <v>0.00306235398486567</v>
      </c>
      <c r="G64" s="1872" t="n">
        <f aca="false">IFERROR(E64/'P&amp;L'!BN19,0)</f>
        <v>0.000153848004625026</v>
      </c>
    </row>
    <row r="65" customFormat="false" ht="12" hidden="false" customHeight="true" outlineLevel="0" collapsed="false">
      <c r="A65" s="1867"/>
      <c r="B65" s="1868" t="s">
        <v>2266</v>
      </c>
      <c r="C65" s="1869" t="s">
        <v>1608</v>
      </c>
      <c r="D65" s="1870" t="n">
        <v>500</v>
      </c>
      <c r="E65" s="1871" t="n">
        <f aca="false">D65*12</f>
        <v>6000</v>
      </c>
      <c r="F65" s="1872" t="n">
        <f aca="false">IFERROR(E65/'P&amp;L'!BJ19,0)</f>
        <v>0.000612470796973134</v>
      </c>
      <c r="G65" s="1872" t="n">
        <f aca="false">IFERROR(E65/'P&amp;L'!BN19,0)</f>
        <v>3.07696009250052E-005</v>
      </c>
    </row>
    <row r="66" customFormat="false" ht="24.75" hidden="false" customHeight="true" outlineLevel="0" collapsed="false">
      <c r="A66" s="1867"/>
      <c r="B66" s="1868" t="s">
        <v>2267</v>
      </c>
      <c r="C66" s="1869" t="s">
        <v>1608</v>
      </c>
      <c r="D66" s="1870" t="n">
        <v>300</v>
      </c>
      <c r="E66" s="1871" t="n">
        <f aca="false">D66*12</f>
        <v>3600</v>
      </c>
      <c r="F66" s="1872" t="n">
        <f aca="false">IFERROR(E66/'P&amp;L'!BJ19,0)</f>
        <v>0.000367482478183881</v>
      </c>
      <c r="G66" s="1872" t="n">
        <f aca="false">IFERROR(E66/'P&amp;L'!BN19,0)</f>
        <v>1.84617605550031E-005</v>
      </c>
    </row>
    <row r="67" customFormat="false" ht="24.75" hidden="false" customHeight="true" outlineLevel="0" collapsed="false">
      <c r="A67" s="1867"/>
      <c r="B67" s="1868" t="s">
        <v>2268</v>
      </c>
      <c r="C67" s="1869" t="s">
        <v>2269</v>
      </c>
      <c r="D67" s="1870" t="n">
        <v>3000</v>
      </c>
      <c r="E67" s="1871" t="n">
        <f aca="false">D67*12</f>
        <v>36000</v>
      </c>
      <c r="F67" s="1872" t="n">
        <f aca="false">IFERROR(E67/'P&amp;L'!BJ19,0)</f>
        <v>0.0036748247818388</v>
      </c>
      <c r="G67" s="1872" t="n">
        <f aca="false">IFERROR(E67/'P&amp;L'!BN19,0)</f>
        <v>0.000184617605550031</v>
      </c>
    </row>
    <row r="68" customFormat="false" ht="12" hidden="false" customHeight="true" outlineLevel="0" collapsed="false">
      <c r="A68" s="1867"/>
      <c r="B68" s="1868" t="s">
        <v>2270</v>
      </c>
      <c r="C68" s="1869" t="s">
        <v>2271</v>
      </c>
      <c r="D68" s="1870" t="n">
        <v>400</v>
      </c>
      <c r="E68" s="1871" t="n">
        <f aca="false">D68*12</f>
        <v>4800</v>
      </c>
      <c r="F68" s="1872" t="n">
        <f aca="false">IFERROR(E68/'P&amp;L'!BJ19,0)</f>
        <v>0.000489976637578507</v>
      </c>
      <c r="G68" s="1872" t="n">
        <f aca="false">IFERROR(E68/'P&amp;L'!BN19,0)</f>
        <v>2.46156807400042E-005</v>
      </c>
    </row>
    <row r="69" customFormat="false" ht="12" hidden="false" customHeight="true" outlineLevel="0" collapsed="false">
      <c r="A69" s="1867"/>
      <c r="B69" s="1868" t="s">
        <v>2272</v>
      </c>
      <c r="C69" s="1869" t="s">
        <v>2273</v>
      </c>
      <c r="D69" s="1870" t="n">
        <v>1500</v>
      </c>
      <c r="E69" s="1871" t="n">
        <f aca="false">D69*12</f>
        <v>18000</v>
      </c>
      <c r="F69" s="1872" t="n">
        <f aca="false">IFERROR(E69/'P&amp;L'!BJ19,0)</f>
        <v>0.0018374123909194</v>
      </c>
      <c r="G69" s="1872" t="n">
        <f aca="false">IFERROR(E69/'P&amp;L'!BN19,0)</f>
        <v>9.23088027750157E-005</v>
      </c>
    </row>
    <row r="70" customFormat="false" ht="12" hidden="false" customHeight="true" outlineLevel="0" collapsed="false">
      <c r="A70" s="1867"/>
      <c r="B70" s="1868" t="s">
        <v>2274</v>
      </c>
      <c r="C70" s="1869" t="s">
        <v>2275</v>
      </c>
      <c r="D70" s="1870" t="n">
        <v>800</v>
      </c>
      <c r="E70" s="1871" t="n">
        <f aca="false">D70*12</f>
        <v>9600</v>
      </c>
      <c r="F70" s="1872" t="n">
        <f aca="false">IFERROR(E70/'P&amp;L'!BJ19,0)</f>
        <v>0.000979953275157015</v>
      </c>
      <c r="G70" s="1872" t="n">
        <f aca="false">IFERROR(E70/'P&amp;L'!BN19,0)</f>
        <v>4.92313614800084E-005</v>
      </c>
    </row>
    <row r="71" customFormat="false" ht="12" hidden="false" customHeight="true" outlineLevel="0" collapsed="false">
      <c r="A71" s="1867"/>
      <c r="B71" s="1868" t="s">
        <v>2276</v>
      </c>
      <c r="C71" s="1869" t="s">
        <v>1608</v>
      </c>
      <c r="D71" s="1870" t="n">
        <v>600</v>
      </c>
      <c r="E71" s="1871" t="n">
        <f aca="false">D71*12</f>
        <v>7200</v>
      </c>
      <c r="F71" s="1872" t="n">
        <f aca="false">IFERROR(E71/'P&amp;L'!BJ19,0)</f>
        <v>0.000734964956367761</v>
      </c>
      <c r="G71" s="1872" t="n">
        <f aca="false">IFERROR(E71/'P&amp;L'!BN19,0)</f>
        <v>3.69235211100063E-005</v>
      </c>
    </row>
    <row r="72" customFormat="false" ht="12" hidden="false" customHeight="true" outlineLevel="0" collapsed="false">
      <c r="A72" s="1867"/>
      <c r="B72" s="1868" t="s">
        <v>2277</v>
      </c>
      <c r="C72" s="1869" t="s">
        <v>1608</v>
      </c>
      <c r="D72" s="1870" t="n">
        <v>500</v>
      </c>
      <c r="E72" s="1871" t="n">
        <f aca="false">D72*12</f>
        <v>6000</v>
      </c>
      <c r="F72" s="1872" t="n">
        <f aca="false">IFERROR(E72/'P&amp;L'!BJ19,0)</f>
        <v>0.000612470796973134</v>
      </c>
      <c r="G72" s="1872" t="n">
        <f aca="false">IFERROR(E72/'P&amp;L'!BN19,0)</f>
        <v>3.07696009250052E-005</v>
      </c>
    </row>
    <row r="73" customFormat="false" ht="12" hidden="false" customHeight="true" outlineLevel="0" collapsed="false">
      <c r="A73" s="1867"/>
      <c r="B73" s="1868" t="s">
        <v>2278</v>
      </c>
      <c r="C73" s="1869" t="s">
        <v>2279</v>
      </c>
      <c r="D73" s="1870" t="n">
        <v>700</v>
      </c>
      <c r="E73" s="1871" t="n">
        <f aca="false">D73*12</f>
        <v>8400</v>
      </c>
      <c r="F73" s="1872" t="n">
        <f aca="false">IFERROR(E73/'P&amp;L'!BJ19,0)</f>
        <v>0.000857459115762388</v>
      </c>
      <c r="G73" s="1872" t="n">
        <f aca="false">IFERROR(E73/'P&amp;L'!BN19,0)</f>
        <v>4.30774412950073E-005</v>
      </c>
    </row>
    <row r="74" customFormat="false" ht="12" hidden="false" customHeight="true" outlineLevel="0" collapsed="false">
      <c r="A74" s="1867"/>
      <c r="B74" s="1868" t="s">
        <v>2280</v>
      </c>
      <c r="C74" s="1869" t="s">
        <v>2281</v>
      </c>
      <c r="D74" s="1870" t="n">
        <v>800</v>
      </c>
      <c r="E74" s="1871" t="n">
        <f aca="false">D74*12</f>
        <v>9600</v>
      </c>
      <c r="F74" s="1872" t="n">
        <f aca="false">IFERROR(E74/'P&amp;L'!BJ19,0)</f>
        <v>0.000979953275157015</v>
      </c>
      <c r="G74" s="1872" t="n">
        <f aca="false">IFERROR(E74/'P&amp;L'!BN19,0)</f>
        <v>4.92313614800084E-005</v>
      </c>
    </row>
    <row r="75" customFormat="false" ht="14.25" hidden="false" customHeight="true" outlineLevel="0" collapsed="false">
      <c r="A75" s="1860" t="s">
        <v>2282</v>
      </c>
      <c r="B75" s="1861"/>
      <c r="C75" s="1862"/>
      <c r="D75" s="1863" t="n">
        <f aca="false">SUM(D76:D94)</f>
        <v>21600</v>
      </c>
      <c r="E75" s="1863" t="n">
        <f aca="false">SUM(E76:E94)</f>
        <v>259200</v>
      </c>
      <c r="F75" s="1864" t="n">
        <f aca="false">IFERROR(E75/'P&amp;L'!BJ19,0)</f>
        <v>0.0264587384292394</v>
      </c>
      <c r="G75" s="1864" t="n">
        <f aca="false">IFERROR(E75/'P&amp;L'!BN19,0)</f>
        <v>0.00132924675996023</v>
      </c>
    </row>
    <row r="76" customFormat="false" ht="12" hidden="false" customHeight="true" outlineLevel="0" collapsed="false">
      <c r="A76" s="1867"/>
      <c r="B76" s="1868" t="s">
        <v>2283</v>
      </c>
      <c r="C76" s="1869" t="s">
        <v>2284</v>
      </c>
      <c r="D76" s="1870" t="n">
        <v>2000</v>
      </c>
      <c r="E76" s="1871" t="n">
        <f aca="false">D76*12</f>
        <v>24000</v>
      </c>
      <c r="F76" s="1872" t="n">
        <f aca="false">IFERROR(E76/'P&amp;L'!BJ19,0)</f>
        <v>0.00244988318789254</v>
      </c>
      <c r="G76" s="1872" t="n">
        <f aca="false">IFERROR(E76/'P&amp;L'!BN19,0)</f>
        <v>0.000123078403700021</v>
      </c>
    </row>
    <row r="77" customFormat="false" ht="12" hidden="false" customHeight="true" outlineLevel="0" collapsed="false">
      <c r="A77" s="1867"/>
      <c r="B77" s="1868" t="s">
        <v>2285</v>
      </c>
      <c r="C77" s="1869" t="s">
        <v>1608</v>
      </c>
      <c r="D77" s="1870" t="n">
        <v>1500</v>
      </c>
      <c r="E77" s="1871" t="n">
        <f aca="false">D77*12</f>
        <v>18000</v>
      </c>
      <c r="F77" s="1872" t="n">
        <f aca="false">IFERROR(E77/'P&amp;L'!BJ19,0)</f>
        <v>0.0018374123909194</v>
      </c>
      <c r="G77" s="1872" t="n">
        <f aca="false">IFERROR(E77/'P&amp;L'!BN19,0)</f>
        <v>9.23088027750157E-005</v>
      </c>
    </row>
    <row r="78" customFormat="false" ht="12" hidden="false" customHeight="true" outlineLevel="0" collapsed="false">
      <c r="A78" s="1867"/>
      <c r="B78" s="1868" t="s">
        <v>2286</v>
      </c>
      <c r="C78" s="1869" t="s">
        <v>2287</v>
      </c>
      <c r="D78" s="1870" t="n">
        <v>5000</v>
      </c>
      <c r="E78" s="1871" t="n">
        <f aca="false">D78*12</f>
        <v>60000</v>
      </c>
      <c r="F78" s="1872" t="n">
        <f aca="false">IFERROR(E78/'P&amp;L'!BJ19,0)</f>
        <v>0.00612470796973134</v>
      </c>
      <c r="G78" s="1872" t="n">
        <f aca="false">IFERROR(E78/'P&amp;L'!BN19,0)</f>
        <v>0.000307696009250052</v>
      </c>
    </row>
    <row r="79" customFormat="false" ht="24.75" hidden="false" customHeight="true" outlineLevel="0" collapsed="false">
      <c r="A79" s="1867"/>
      <c r="B79" s="1868" t="s">
        <v>2288</v>
      </c>
      <c r="C79" s="1869" t="s">
        <v>2289</v>
      </c>
      <c r="D79" s="1870" t="n">
        <v>2000</v>
      </c>
      <c r="E79" s="1871" t="n">
        <f aca="false">D79*12</f>
        <v>24000</v>
      </c>
      <c r="F79" s="1872" t="n">
        <f aca="false">IFERROR(E79/'P&amp;L'!BJ19,0)</f>
        <v>0.00244988318789254</v>
      </c>
      <c r="G79" s="1872" t="n">
        <f aca="false">IFERROR(E79/'P&amp;L'!BN19,0)</f>
        <v>0.000123078403700021</v>
      </c>
    </row>
    <row r="80" customFormat="false" ht="12" hidden="false" customHeight="true" outlineLevel="0" collapsed="false">
      <c r="A80" s="1867"/>
      <c r="B80" s="1868" t="s">
        <v>2290</v>
      </c>
      <c r="C80" s="1869" t="s">
        <v>2291</v>
      </c>
      <c r="D80" s="1870" t="n">
        <v>2000</v>
      </c>
      <c r="E80" s="1871" t="n">
        <f aca="false">D80*12</f>
        <v>24000</v>
      </c>
      <c r="F80" s="1872" t="n">
        <f aca="false">IFERROR(E80/'P&amp;L'!BJ19,0)</f>
        <v>0.00244988318789254</v>
      </c>
      <c r="G80" s="1872" t="n">
        <f aca="false">IFERROR(E80/'P&amp;L'!BN19,0)</f>
        <v>0.000123078403700021</v>
      </c>
    </row>
    <row r="81" customFormat="false" ht="12" hidden="false" customHeight="true" outlineLevel="0" collapsed="false">
      <c r="A81" s="1867"/>
      <c r="B81" s="1868" t="s">
        <v>2292</v>
      </c>
      <c r="C81" s="1869" t="s">
        <v>2293</v>
      </c>
      <c r="D81" s="1870" t="n">
        <v>1500</v>
      </c>
      <c r="E81" s="1871" t="n">
        <f aca="false">D81*12</f>
        <v>18000</v>
      </c>
      <c r="F81" s="1872" t="n">
        <f aca="false">IFERROR(E81/'P&amp;L'!BJ19,0)</f>
        <v>0.0018374123909194</v>
      </c>
      <c r="G81" s="1872" t="n">
        <f aca="false">IFERROR(E81/'P&amp;L'!BN19,0)</f>
        <v>9.23088027750157E-005</v>
      </c>
    </row>
    <row r="82" customFormat="false" ht="12" hidden="false" customHeight="true" outlineLevel="0" collapsed="false">
      <c r="A82" s="1867"/>
      <c r="B82" s="1868" t="s">
        <v>2294</v>
      </c>
      <c r="C82" s="1869" t="s">
        <v>2295</v>
      </c>
      <c r="D82" s="1870" t="n">
        <v>1000</v>
      </c>
      <c r="E82" s="1871" t="n">
        <f aca="false">D82*12</f>
        <v>12000</v>
      </c>
      <c r="F82" s="1872" t="n">
        <f aca="false">IFERROR(E82/'P&amp;L'!BJ19,0)</f>
        <v>0.00122494159394627</v>
      </c>
      <c r="G82" s="1872" t="n">
        <f aca="false">IFERROR(E82/'P&amp;L'!BN19,0)</f>
        <v>6.15392018500104E-005</v>
      </c>
    </row>
    <row r="83" customFormat="false" ht="12" hidden="false" customHeight="true" outlineLevel="0" collapsed="false">
      <c r="A83" s="1867"/>
      <c r="B83" s="1868" t="s">
        <v>2296</v>
      </c>
      <c r="C83" s="1869" t="s">
        <v>2297</v>
      </c>
      <c r="D83" s="1870" t="n">
        <v>800</v>
      </c>
      <c r="E83" s="1871" t="n">
        <f aca="false">D83*12</f>
        <v>9600</v>
      </c>
      <c r="F83" s="1872" t="n">
        <f aca="false">IFERROR(E83/'P&amp;L'!BJ19,0)</f>
        <v>0.000979953275157015</v>
      </c>
      <c r="G83" s="1872" t="n">
        <f aca="false">IFERROR(E83/'P&amp;L'!BN19,0)</f>
        <v>4.92313614800084E-005</v>
      </c>
    </row>
    <row r="84" customFormat="false" ht="12" hidden="false" customHeight="true" outlineLevel="0" collapsed="false">
      <c r="A84" s="1867"/>
      <c r="B84" s="1868" t="s">
        <v>2298</v>
      </c>
      <c r="C84" s="1869" t="s">
        <v>2299</v>
      </c>
      <c r="D84" s="1870" t="n">
        <v>500</v>
      </c>
      <c r="E84" s="1871" t="n">
        <f aca="false">D84*12</f>
        <v>6000</v>
      </c>
      <c r="F84" s="1872" t="n">
        <f aca="false">IFERROR(E84/'P&amp;L'!BJ19,0)</f>
        <v>0.000612470796973134</v>
      </c>
      <c r="G84" s="1872" t="n">
        <f aca="false">IFERROR(E84/'P&amp;L'!BN19,0)</f>
        <v>3.07696009250052E-005</v>
      </c>
    </row>
    <row r="85" customFormat="false" ht="24.75" hidden="false" customHeight="true" outlineLevel="0" collapsed="false">
      <c r="A85" s="1867"/>
      <c r="B85" s="1868" t="s">
        <v>2300</v>
      </c>
      <c r="C85" s="1869" t="s">
        <v>2301</v>
      </c>
      <c r="D85" s="1870" t="n">
        <v>800</v>
      </c>
      <c r="E85" s="1871" t="n">
        <f aca="false">D85*12</f>
        <v>9600</v>
      </c>
      <c r="F85" s="1872" t="n">
        <f aca="false">IFERROR(E85/'P&amp;L'!BJ19,0)</f>
        <v>0.000979953275157015</v>
      </c>
      <c r="G85" s="1872" t="n">
        <f aca="false">IFERROR(E85/'P&amp;L'!BN19,0)</f>
        <v>4.92313614800084E-005</v>
      </c>
    </row>
    <row r="86" customFormat="false" ht="12" hidden="false" customHeight="true" outlineLevel="0" collapsed="false">
      <c r="A86" s="1867"/>
      <c r="B86" s="1868" t="s">
        <v>2302</v>
      </c>
      <c r="C86" s="1869" t="s">
        <v>2303</v>
      </c>
      <c r="D86" s="1870" t="n">
        <v>400</v>
      </c>
      <c r="E86" s="1871" t="n">
        <f aca="false">D86*12</f>
        <v>4800</v>
      </c>
      <c r="F86" s="1872" t="n">
        <f aca="false">IFERROR(E86/'P&amp;L'!BJ19,0)</f>
        <v>0.000489976637578507</v>
      </c>
      <c r="G86" s="1872" t="n">
        <f aca="false">IFERROR(E86/'P&amp;L'!BN19,0)</f>
        <v>2.46156807400042E-005</v>
      </c>
    </row>
    <row r="87" customFormat="false" ht="12" hidden="false" customHeight="true" outlineLevel="0" collapsed="false">
      <c r="A87" s="1867"/>
      <c r="B87" s="1868" t="s">
        <v>2304</v>
      </c>
      <c r="C87" s="1869" t="s">
        <v>2305</v>
      </c>
      <c r="D87" s="1870" t="n">
        <v>500</v>
      </c>
      <c r="E87" s="1871" t="n">
        <f aca="false">D87*12</f>
        <v>6000</v>
      </c>
      <c r="F87" s="1872" t="n">
        <f aca="false">IFERROR(E87/'P&amp;L'!BJ19,0)</f>
        <v>0.000612470796973134</v>
      </c>
      <c r="G87" s="1872" t="n">
        <f aca="false">IFERROR(E87/'P&amp;L'!BN19,0)</f>
        <v>3.07696009250052E-005</v>
      </c>
    </row>
    <row r="88" customFormat="false" ht="12" hidden="false" customHeight="true" outlineLevel="0" collapsed="false">
      <c r="A88" s="1867"/>
      <c r="B88" s="1868" t="s">
        <v>2306</v>
      </c>
      <c r="C88" s="1869" t="s">
        <v>2307</v>
      </c>
      <c r="D88" s="1870" t="n">
        <v>300</v>
      </c>
      <c r="E88" s="1871" t="n">
        <f aca="false">D88*12</f>
        <v>3600</v>
      </c>
      <c r="F88" s="1872" t="n">
        <f aca="false">IFERROR(E88/'P&amp;L'!BJ19,0)</f>
        <v>0.000367482478183881</v>
      </c>
      <c r="G88" s="1872" t="n">
        <f aca="false">IFERROR(E88/'P&amp;L'!BN19,0)</f>
        <v>1.84617605550031E-005</v>
      </c>
    </row>
    <row r="89" customFormat="false" ht="12" hidden="false" customHeight="true" outlineLevel="0" collapsed="false">
      <c r="A89" s="1867"/>
      <c r="B89" s="1868" t="s">
        <v>2308</v>
      </c>
      <c r="C89" s="1869" t="s">
        <v>2309</v>
      </c>
      <c r="D89" s="1870" t="n">
        <v>500</v>
      </c>
      <c r="E89" s="1871" t="n">
        <f aca="false">D89*12</f>
        <v>6000</v>
      </c>
      <c r="F89" s="1872" t="n">
        <f aca="false">IFERROR(E89/'P&amp;L'!BJ19,0)</f>
        <v>0.000612470796973134</v>
      </c>
      <c r="G89" s="1872" t="n">
        <f aca="false">IFERROR(E89/'P&amp;L'!BN19,0)</f>
        <v>3.07696009250052E-005</v>
      </c>
    </row>
    <row r="90" customFormat="false" ht="12" hidden="false" customHeight="true" outlineLevel="0" collapsed="false">
      <c r="A90" s="1867"/>
      <c r="B90" s="1868" t="s">
        <v>2310</v>
      </c>
      <c r="C90" s="1869" t="s">
        <v>2311</v>
      </c>
      <c r="D90" s="1870" t="n">
        <v>0</v>
      </c>
      <c r="E90" s="1871" t="n">
        <f aca="false">D90*12</f>
        <v>0</v>
      </c>
      <c r="F90" s="1872" t="n">
        <f aca="false">IFERROR(E90/'P&amp;L'!BJ19,0)</f>
        <v>0</v>
      </c>
      <c r="G90" s="1872" t="n">
        <f aca="false">IFERROR(E90/'P&amp;L'!BN19,0)</f>
        <v>0</v>
      </c>
    </row>
    <row r="91" customFormat="false" ht="12" hidden="false" customHeight="true" outlineLevel="0" collapsed="false">
      <c r="A91" s="1867"/>
      <c r="B91" s="1868" t="s">
        <v>2312</v>
      </c>
      <c r="C91" s="1869" t="s">
        <v>2313</v>
      </c>
      <c r="D91" s="1870" t="n">
        <v>0</v>
      </c>
      <c r="E91" s="1871" t="n">
        <f aca="false">D91*12</f>
        <v>0</v>
      </c>
      <c r="F91" s="1872" t="n">
        <f aca="false">IFERROR(E91/'P&amp;L'!BJ19,0)</f>
        <v>0</v>
      </c>
      <c r="G91" s="1872" t="n">
        <f aca="false">IFERROR(E91/'P&amp;L'!BN19,0)</f>
        <v>0</v>
      </c>
    </row>
    <row r="92" customFormat="false" ht="12" hidden="false" customHeight="true" outlineLevel="0" collapsed="false">
      <c r="A92" s="1867"/>
      <c r="B92" s="1868" t="s">
        <v>2314</v>
      </c>
      <c r="C92" s="1869" t="s">
        <v>2315</v>
      </c>
      <c r="D92" s="1870" t="n">
        <v>300</v>
      </c>
      <c r="E92" s="1871" t="n">
        <f aca="false">D92*12</f>
        <v>3600</v>
      </c>
      <c r="F92" s="1872" t="n">
        <f aca="false">IFERROR(E92/'P&amp;L'!BJ19,0)</f>
        <v>0.000367482478183881</v>
      </c>
      <c r="G92" s="1872" t="n">
        <f aca="false">IFERROR(E92/'P&amp;L'!BN19,0)</f>
        <v>1.84617605550031E-005</v>
      </c>
    </row>
    <row r="93" customFormat="false" ht="12" hidden="false" customHeight="true" outlineLevel="0" collapsed="false">
      <c r="A93" s="1867"/>
      <c r="B93" s="1868" t="s">
        <v>2316</v>
      </c>
      <c r="C93" s="1869" t="s">
        <v>1608</v>
      </c>
      <c r="D93" s="1870" t="n">
        <v>500</v>
      </c>
      <c r="E93" s="1871" t="n">
        <f aca="false">D93*12</f>
        <v>6000</v>
      </c>
      <c r="F93" s="1872" t="n">
        <f aca="false">IFERROR(E93/'P&amp;L'!BJ19,0)</f>
        <v>0.000612470796973134</v>
      </c>
      <c r="G93" s="1872" t="n">
        <f aca="false">IFERROR(E93/'P&amp;L'!BN19,0)</f>
        <v>3.07696009250052E-005</v>
      </c>
    </row>
    <row r="94" customFormat="false" ht="12" hidden="false" customHeight="true" outlineLevel="0" collapsed="false">
      <c r="A94" s="1867"/>
      <c r="B94" s="1868" t="s">
        <v>2317</v>
      </c>
      <c r="C94" s="1869" t="s">
        <v>2318</v>
      </c>
      <c r="D94" s="1870" t="n">
        <v>2000</v>
      </c>
      <c r="E94" s="1871" t="n">
        <f aca="false">D94*12</f>
        <v>24000</v>
      </c>
      <c r="F94" s="1872" t="n">
        <f aca="false">IFERROR(E94/'P&amp;L'!BJ19,0)</f>
        <v>0.00244988318789254</v>
      </c>
      <c r="G94" s="1872" t="n">
        <f aca="false">IFERROR(E94/'P&amp;L'!BN19,0)</f>
        <v>0.000123078403700021</v>
      </c>
    </row>
    <row r="95" customFormat="false" ht="14.25" hidden="false" customHeight="true" outlineLevel="0" collapsed="false">
      <c r="A95" s="1860" t="s">
        <v>2319</v>
      </c>
      <c r="B95" s="1861"/>
      <c r="C95" s="1862"/>
      <c r="D95" s="1863" t="n">
        <f aca="false">SUM(D96:D105)</f>
        <v>12200</v>
      </c>
      <c r="E95" s="1863" t="n">
        <f aca="false">SUM(E96:E105)</f>
        <v>146400</v>
      </c>
      <c r="F95" s="1864" t="n">
        <f aca="false">IFERROR(E95/'P&amp;L'!BJ19,0)</f>
        <v>0.0149442874461445</v>
      </c>
      <c r="G95" s="1864" t="n">
        <f aca="false">IFERROR(E95/'P&amp;L'!BN19,0)</f>
        <v>0.000750778262570127</v>
      </c>
    </row>
    <row r="96" customFormat="false" ht="23.25" hidden="false" customHeight="true" outlineLevel="0" collapsed="false">
      <c r="A96" s="1867"/>
      <c r="B96" s="1868" t="s">
        <v>2320</v>
      </c>
      <c r="C96" s="1869" t="s">
        <v>2321</v>
      </c>
      <c r="D96" s="1870" t="n">
        <v>400</v>
      </c>
      <c r="E96" s="1871" t="n">
        <f aca="false">D96*12</f>
        <v>4800</v>
      </c>
      <c r="F96" s="1872" t="n">
        <f aca="false">IFERROR(E96/'P&amp;L'!BJ19,0)</f>
        <v>0.000489976637578507</v>
      </c>
      <c r="G96" s="1872" t="n">
        <f aca="false">IFERROR(E96/'P&amp;L'!BN19,0)</f>
        <v>2.46156807400042E-005</v>
      </c>
    </row>
    <row r="97" customFormat="false" ht="12" hidden="false" customHeight="true" outlineLevel="0" collapsed="false">
      <c r="A97" s="1867"/>
      <c r="B97" s="1868" t="s">
        <v>2322</v>
      </c>
      <c r="C97" s="1869" t="s">
        <v>2323</v>
      </c>
      <c r="D97" s="1870" t="n">
        <v>500</v>
      </c>
      <c r="E97" s="1871" t="n">
        <f aca="false">D97*12</f>
        <v>6000</v>
      </c>
      <c r="F97" s="1872" t="n">
        <f aca="false">IFERROR(E97/'P&amp;L'!BJ19,0)</f>
        <v>0.000612470796973134</v>
      </c>
      <c r="G97" s="1872" t="n">
        <f aca="false">IFERROR(E97/'P&amp;L'!BN19,0)</f>
        <v>3.07696009250052E-005</v>
      </c>
    </row>
    <row r="98" customFormat="false" ht="12" hidden="false" customHeight="true" outlineLevel="0" collapsed="false">
      <c r="A98" s="1867"/>
      <c r="B98" s="1868" t="s">
        <v>2324</v>
      </c>
      <c r="C98" s="1869" t="s">
        <v>2325</v>
      </c>
      <c r="D98" s="1870" t="n">
        <v>1500</v>
      </c>
      <c r="E98" s="1871" t="n">
        <f aca="false">D98*12</f>
        <v>18000</v>
      </c>
      <c r="F98" s="1872" t="n">
        <f aca="false">IFERROR(E98/'P&amp;L'!BJ19,0)</f>
        <v>0.0018374123909194</v>
      </c>
      <c r="G98" s="1872" t="n">
        <f aca="false">IFERROR(E98/'P&amp;L'!BN19,0)</f>
        <v>9.23088027750157E-005</v>
      </c>
    </row>
    <row r="99" customFormat="false" ht="12" hidden="false" customHeight="true" outlineLevel="0" collapsed="false">
      <c r="A99" s="1867"/>
      <c r="B99" s="1868" t="s">
        <v>2326</v>
      </c>
      <c r="C99" s="1869" t="s">
        <v>2327</v>
      </c>
      <c r="D99" s="1870" t="n">
        <v>2000</v>
      </c>
      <c r="E99" s="1871" t="n">
        <f aca="false">D99*12</f>
        <v>24000</v>
      </c>
      <c r="F99" s="1872" t="n">
        <f aca="false">IFERROR(E99/'P&amp;L'!BJ19,0)</f>
        <v>0.00244988318789254</v>
      </c>
      <c r="G99" s="1872" t="n">
        <f aca="false">IFERROR(E99/'P&amp;L'!BN19,0)</f>
        <v>0.000123078403700021</v>
      </c>
    </row>
    <row r="100" customFormat="false" ht="12" hidden="false" customHeight="true" outlineLevel="0" collapsed="false">
      <c r="A100" s="1867"/>
      <c r="B100" s="1868" t="s">
        <v>2328</v>
      </c>
      <c r="C100" s="1869" t="s">
        <v>2329</v>
      </c>
      <c r="D100" s="1870" t="n">
        <v>2000</v>
      </c>
      <c r="E100" s="1871" t="n">
        <f aca="false">D100*12</f>
        <v>24000</v>
      </c>
      <c r="F100" s="1872" t="n">
        <f aca="false">IFERROR(E100/'P&amp;L'!BJ19,0)</f>
        <v>0.00244988318789254</v>
      </c>
      <c r="G100" s="1872" t="n">
        <f aca="false">IFERROR(E100/'P&amp;L'!BN19,0)</f>
        <v>0.000123078403700021</v>
      </c>
    </row>
    <row r="101" customFormat="false" ht="12" hidden="false" customHeight="true" outlineLevel="0" collapsed="false">
      <c r="A101" s="1867"/>
      <c r="B101" s="1868" t="s">
        <v>2330</v>
      </c>
      <c r="C101" s="1869" t="s">
        <v>2331</v>
      </c>
      <c r="D101" s="1870" t="n">
        <v>3000</v>
      </c>
      <c r="E101" s="1871" t="n">
        <f aca="false">D101*12</f>
        <v>36000</v>
      </c>
      <c r="F101" s="1872" t="n">
        <f aca="false">IFERROR(E101/'P&amp;L'!BJ19,0)</f>
        <v>0.0036748247818388</v>
      </c>
      <c r="G101" s="1872" t="n">
        <f aca="false">IFERROR(E101/'P&amp;L'!BN19,0)</f>
        <v>0.000184617605550031</v>
      </c>
    </row>
    <row r="102" customFormat="false" ht="12" hidden="false" customHeight="true" outlineLevel="0" collapsed="false">
      <c r="A102" s="1867"/>
      <c r="B102" s="1868" t="s">
        <v>2332</v>
      </c>
      <c r="C102" s="1869" t="s">
        <v>2333</v>
      </c>
      <c r="D102" s="1870" t="n">
        <v>500</v>
      </c>
      <c r="E102" s="1871" t="n">
        <f aca="false">D102*12</f>
        <v>6000</v>
      </c>
      <c r="F102" s="1872" t="n">
        <f aca="false">IFERROR(E102/'P&amp;L'!BJ19,0)</f>
        <v>0.000612470796973134</v>
      </c>
      <c r="G102" s="1872" t="n">
        <f aca="false">IFERROR(E102/'P&amp;L'!BN19,0)</f>
        <v>3.07696009250052E-005</v>
      </c>
    </row>
    <row r="103" customFormat="false" ht="12" hidden="false" customHeight="true" outlineLevel="0" collapsed="false">
      <c r="A103" s="1867"/>
      <c r="B103" s="1868" t="s">
        <v>2334</v>
      </c>
      <c r="C103" s="1869" t="s">
        <v>2335</v>
      </c>
      <c r="D103" s="1870" t="n">
        <v>500</v>
      </c>
      <c r="E103" s="1871" t="n">
        <f aca="false">D103*12</f>
        <v>6000</v>
      </c>
      <c r="F103" s="1872" t="n">
        <f aca="false">IFERROR(E103/'P&amp;L'!BJ19,0)</f>
        <v>0.000612470796973134</v>
      </c>
      <c r="G103" s="1872" t="n">
        <f aca="false">IFERROR(E103/'P&amp;L'!BN19,0)</f>
        <v>3.07696009250052E-005</v>
      </c>
    </row>
    <row r="104" customFormat="false" ht="12" hidden="false" customHeight="true" outlineLevel="0" collapsed="false">
      <c r="A104" s="1867"/>
      <c r="B104" s="1868" t="s">
        <v>2336</v>
      </c>
      <c r="C104" s="1869" t="s">
        <v>2337</v>
      </c>
      <c r="D104" s="1870" t="n">
        <v>1000</v>
      </c>
      <c r="E104" s="1871" t="n">
        <f aca="false">D104*12</f>
        <v>12000</v>
      </c>
      <c r="F104" s="1872" t="n">
        <f aca="false">IFERROR(E104/'P&amp;L'!BJ19,0)</f>
        <v>0.00122494159394627</v>
      </c>
      <c r="G104" s="1872" t="n">
        <f aca="false">IFERROR(E104/'P&amp;L'!BN19,0)</f>
        <v>6.15392018500104E-005</v>
      </c>
    </row>
    <row r="105" customFormat="false" ht="12" hidden="false" customHeight="true" outlineLevel="0" collapsed="false">
      <c r="A105" s="1867"/>
      <c r="B105" s="1868" t="s">
        <v>2338</v>
      </c>
      <c r="C105" s="1869" t="s">
        <v>2339</v>
      </c>
      <c r="D105" s="1870" t="n">
        <v>800</v>
      </c>
      <c r="E105" s="1871" t="n">
        <f aca="false">D105*12</f>
        <v>9600</v>
      </c>
      <c r="F105" s="1872" t="n">
        <f aca="false">IFERROR(E105/'P&amp;L'!BJ19,0)</f>
        <v>0.000979953275157015</v>
      </c>
      <c r="G105" s="1872" t="n">
        <f aca="false">IFERROR(E105/'P&amp;L'!BN19,0)</f>
        <v>4.92313614800084E-005</v>
      </c>
    </row>
    <row r="106" customFormat="false" ht="14.25" hidden="false" customHeight="true" outlineLevel="0" collapsed="false">
      <c r="A106" s="1860" t="s">
        <v>2340</v>
      </c>
      <c r="B106" s="1861"/>
      <c r="C106" s="1862"/>
      <c r="D106" s="1863" t="n">
        <f aca="false">SUM(D107:D118)</f>
        <v>54700</v>
      </c>
      <c r="E106" s="1863" t="n">
        <f aca="false">SUM(E107:E118)</f>
        <v>656400</v>
      </c>
      <c r="F106" s="1864" t="n">
        <f aca="false">IFERROR(E106/'P&amp;L'!BJ19,0)</f>
        <v>0.0670043051888609</v>
      </c>
      <c r="G106" s="1864" t="n">
        <f aca="false">IFERROR(E106/'P&amp;L'!BN19,0)</f>
        <v>0.00336619434119557</v>
      </c>
    </row>
    <row r="107" customFormat="false" ht="12" hidden="false" customHeight="true" outlineLevel="0" collapsed="false">
      <c r="A107" s="1867"/>
      <c r="B107" s="1868" t="s">
        <v>2341</v>
      </c>
      <c r="C107" s="1869" t="s">
        <v>2342</v>
      </c>
      <c r="D107" s="1870" t="n">
        <v>18000</v>
      </c>
      <c r="E107" s="1871" t="n">
        <f aca="false">D107*12</f>
        <v>216000</v>
      </c>
      <c r="F107" s="1872" t="n">
        <f aca="false">IFERROR(E107/'P&amp;L'!BJ19,0)</f>
        <v>0.0220489486910328</v>
      </c>
      <c r="G107" s="1872" t="n">
        <f aca="false">IFERROR(E107/'P&amp;L'!BN19,0)</f>
        <v>0.00110770563330019</v>
      </c>
    </row>
    <row r="108" customFormat="false" ht="12" hidden="false" customHeight="true" outlineLevel="0" collapsed="false">
      <c r="A108" s="1867"/>
      <c r="B108" s="1868" t="s">
        <v>2343</v>
      </c>
      <c r="C108" s="1869" t="s">
        <v>2344</v>
      </c>
      <c r="D108" s="1870" t="n">
        <v>2000</v>
      </c>
      <c r="E108" s="1871" t="n">
        <f aca="false">D108*12</f>
        <v>24000</v>
      </c>
      <c r="F108" s="1872" t="n">
        <f aca="false">IFERROR(E108/'P&amp;L'!BJ19,0)</f>
        <v>0.00244988318789254</v>
      </c>
      <c r="G108" s="1872" t="n">
        <f aca="false">IFERROR(E108/'P&amp;L'!BN19,0)</f>
        <v>0.000123078403700021</v>
      </c>
    </row>
    <row r="109" customFormat="false" ht="12" hidden="false" customHeight="true" outlineLevel="0" collapsed="false">
      <c r="A109" s="1867"/>
      <c r="B109" s="1868" t="s">
        <v>2345</v>
      </c>
      <c r="C109" s="1869" t="s">
        <v>2346</v>
      </c>
      <c r="D109" s="1870" t="n">
        <v>2500</v>
      </c>
      <c r="E109" s="1871" t="n">
        <f aca="false">D109*12</f>
        <v>30000</v>
      </c>
      <c r="F109" s="1872" t="n">
        <f aca="false">IFERROR(E109/'P&amp;L'!BJ19,0)</f>
        <v>0.00306235398486567</v>
      </c>
      <c r="G109" s="1872" t="n">
        <f aca="false">IFERROR(E109/'P&amp;L'!BN19,0)</f>
        <v>0.000153848004625026</v>
      </c>
    </row>
    <row r="110" customFormat="false" ht="12" hidden="false" customHeight="true" outlineLevel="0" collapsed="false">
      <c r="A110" s="1867"/>
      <c r="B110" s="1868" t="s">
        <v>2347</v>
      </c>
      <c r="C110" s="1869" t="s">
        <v>2348</v>
      </c>
      <c r="D110" s="1870" t="n">
        <v>1000</v>
      </c>
      <c r="E110" s="1871" t="n">
        <f aca="false">D110*12</f>
        <v>12000</v>
      </c>
      <c r="F110" s="1872" t="n">
        <f aca="false">IFERROR(E110/'P&amp;L'!BJ19,0)</f>
        <v>0.00122494159394627</v>
      </c>
      <c r="G110" s="1872" t="n">
        <f aca="false">IFERROR(E110/'P&amp;L'!BN19,0)</f>
        <v>6.15392018500104E-005</v>
      </c>
    </row>
    <row r="111" customFormat="false" ht="24.75" hidden="false" customHeight="true" outlineLevel="0" collapsed="false">
      <c r="A111" s="1867"/>
      <c r="B111" s="1868" t="s">
        <v>2349</v>
      </c>
      <c r="C111" s="1869" t="s">
        <v>1608</v>
      </c>
      <c r="D111" s="1870" t="n">
        <v>500</v>
      </c>
      <c r="E111" s="1871" t="n">
        <f aca="false">D111*12</f>
        <v>6000</v>
      </c>
      <c r="F111" s="1872" t="n">
        <f aca="false">IFERROR(E111/'P&amp;L'!BJ19,0)</f>
        <v>0.000612470796973134</v>
      </c>
      <c r="G111" s="1872" t="n">
        <f aca="false">IFERROR(E111/'P&amp;L'!BN19,0)</f>
        <v>3.07696009250052E-005</v>
      </c>
    </row>
    <row r="112" customFormat="false" ht="12" hidden="false" customHeight="true" outlineLevel="0" collapsed="false">
      <c r="A112" s="1867"/>
      <c r="B112" s="1868" t="s">
        <v>2350</v>
      </c>
      <c r="C112" s="1869" t="s">
        <v>2351</v>
      </c>
      <c r="D112" s="1870" t="n">
        <v>2000</v>
      </c>
      <c r="E112" s="1871" t="n">
        <f aca="false">D112*12</f>
        <v>24000</v>
      </c>
      <c r="F112" s="1872" t="n">
        <f aca="false">IFERROR(E112/'P&amp;L'!BJ19,0)</f>
        <v>0.00244988318789254</v>
      </c>
      <c r="G112" s="1872" t="n">
        <f aca="false">IFERROR(E112/'P&amp;L'!BN19,0)</f>
        <v>0.000123078403700021</v>
      </c>
    </row>
    <row r="113" customFormat="false" ht="12" hidden="false" customHeight="true" outlineLevel="0" collapsed="false">
      <c r="A113" s="1867"/>
      <c r="B113" s="1868" t="s">
        <v>2352</v>
      </c>
      <c r="C113" s="1869" t="s">
        <v>2353</v>
      </c>
      <c r="D113" s="1870" t="n">
        <v>500</v>
      </c>
      <c r="E113" s="1871" t="n">
        <f aca="false">D113*12</f>
        <v>6000</v>
      </c>
      <c r="F113" s="1872" t="n">
        <f aca="false">IFERROR(E113/'P&amp;L'!BJ19,0)</f>
        <v>0.000612470796973134</v>
      </c>
      <c r="G113" s="1872" t="n">
        <f aca="false">IFERROR(E113/'P&amp;L'!BN19,0)</f>
        <v>3.07696009250052E-005</v>
      </c>
    </row>
    <row r="114" customFormat="false" ht="12" hidden="false" customHeight="true" outlineLevel="0" collapsed="false">
      <c r="A114" s="1867"/>
      <c r="B114" s="1868" t="s">
        <v>2354</v>
      </c>
      <c r="C114" s="1869" t="s">
        <v>1608</v>
      </c>
      <c r="D114" s="1870" t="n">
        <v>500</v>
      </c>
      <c r="E114" s="1871" t="n">
        <f aca="false">D114*12</f>
        <v>6000</v>
      </c>
      <c r="F114" s="1872" t="n">
        <f aca="false">IFERROR(E114/'P&amp;L'!BJ19,0)</f>
        <v>0.000612470796973134</v>
      </c>
      <c r="G114" s="1872" t="n">
        <f aca="false">IFERROR(E114/'P&amp;L'!BN19,0)</f>
        <v>3.07696009250052E-005</v>
      </c>
    </row>
    <row r="115" customFormat="false" ht="12" hidden="false" customHeight="true" outlineLevel="0" collapsed="false">
      <c r="A115" s="1867"/>
      <c r="B115" s="1868" t="s">
        <v>2355</v>
      </c>
      <c r="C115" s="1869" t="s">
        <v>2356</v>
      </c>
      <c r="D115" s="1870" t="n">
        <v>400</v>
      </c>
      <c r="E115" s="1871" t="n">
        <f aca="false">D115*12</f>
        <v>4800</v>
      </c>
      <c r="F115" s="1872" t="n">
        <f aca="false">IFERROR(E115/'P&amp;L'!BJ19,0)</f>
        <v>0.000489976637578507</v>
      </c>
      <c r="G115" s="1872" t="n">
        <f aca="false">IFERROR(E115/'P&amp;L'!BN19,0)</f>
        <v>2.46156807400042E-005</v>
      </c>
    </row>
    <row r="116" customFormat="false" ht="12" hidden="false" customHeight="true" outlineLevel="0" collapsed="false">
      <c r="A116" s="1867"/>
      <c r="B116" s="1868" t="s">
        <v>2357</v>
      </c>
      <c r="C116" s="1869" t="s">
        <v>1608</v>
      </c>
      <c r="D116" s="1870" t="n">
        <v>300</v>
      </c>
      <c r="E116" s="1871" t="n">
        <f aca="false">D116*12</f>
        <v>3600</v>
      </c>
      <c r="F116" s="1872" t="n">
        <f aca="false">IFERROR(E116/'P&amp;L'!BJ19,0)</f>
        <v>0.000367482478183881</v>
      </c>
      <c r="G116" s="1872" t="n">
        <f aca="false">IFERROR(E116/'P&amp;L'!BN19,0)</f>
        <v>1.84617605550031E-005</v>
      </c>
    </row>
    <row r="117" customFormat="false" ht="24.75" hidden="false" customHeight="true" outlineLevel="0" collapsed="false">
      <c r="A117" s="1867"/>
      <c r="B117" s="1868" t="s">
        <v>2358</v>
      </c>
      <c r="C117" s="1869" t="s">
        <v>2359</v>
      </c>
      <c r="D117" s="1870" t="n">
        <v>25000</v>
      </c>
      <c r="E117" s="1871" t="n">
        <f aca="false">D117*12</f>
        <v>300000</v>
      </c>
      <c r="F117" s="1872" t="n">
        <f aca="false">IFERROR(E117/'P&amp;L'!BJ19,0)</f>
        <v>0.0306235398486567</v>
      </c>
      <c r="G117" s="1872" t="n">
        <f aca="false">IFERROR(E117/'P&amp;L'!BN19,0)</f>
        <v>0.00153848004625026</v>
      </c>
    </row>
    <row r="118" customFormat="false" ht="12" hidden="false" customHeight="true" outlineLevel="0" collapsed="false">
      <c r="A118" s="1867"/>
      <c r="B118" s="1868" t="s">
        <v>2360</v>
      </c>
      <c r="C118" s="1869" t="s">
        <v>2361</v>
      </c>
      <c r="D118" s="1870" t="n">
        <v>2000</v>
      </c>
      <c r="E118" s="1871" t="n">
        <f aca="false">D118*12</f>
        <v>24000</v>
      </c>
      <c r="F118" s="1872" t="n">
        <f aca="false">IFERROR(E118/'P&amp;L'!BJ19,0)</f>
        <v>0.00244988318789254</v>
      </c>
      <c r="G118" s="1872" t="n">
        <f aca="false">IFERROR(E118/'P&amp;L'!BN19,0)</f>
        <v>0.000123078403700021</v>
      </c>
    </row>
    <row r="119" customFormat="false" ht="14.25" hidden="false" customHeight="true" outlineLevel="0" collapsed="false">
      <c r="A119" s="1860" t="s">
        <v>2362</v>
      </c>
      <c r="B119" s="1861"/>
      <c r="C119" s="1862"/>
      <c r="D119" s="1863" t="n">
        <f aca="false">SUM(D120:D134)</f>
        <v>12700</v>
      </c>
      <c r="E119" s="1863" t="n">
        <f aca="false">SUM(E120:E134)</f>
        <v>152400</v>
      </c>
      <c r="F119" s="1864" t="n">
        <f aca="false">IFERROR(E119/'P&amp;L'!BJ19,0)</f>
        <v>0.0155567582431176</v>
      </c>
      <c r="G119" s="1864" t="n">
        <f aca="false">IFERROR(E119/'P&amp;L'!BN19,0)</f>
        <v>0.000781547863495133</v>
      </c>
    </row>
    <row r="120" customFormat="false" ht="24.75" hidden="false" customHeight="true" outlineLevel="0" collapsed="false">
      <c r="A120" s="1867"/>
      <c r="B120" s="1868" t="s">
        <v>2363</v>
      </c>
      <c r="C120" s="1869" t="s">
        <v>2364</v>
      </c>
      <c r="D120" s="1870" t="n">
        <v>3000</v>
      </c>
      <c r="E120" s="1871" t="n">
        <f aca="false">D120*12</f>
        <v>36000</v>
      </c>
      <c r="F120" s="1872" t="n">
        <f aca="false">IFERROR(E120/'P&amp;L'!BJ19,0)</f>
        <v>0.0036748247818388</v>
      </c>
      <c r="G120" s="1872" t="n">
        <f aca="false">IFERROR(E120/'P&amp;L'!BN19,0)</f>
        <v>0.000184617605550031</v>
      </c>
    </row>
    <row r="121" customFormat="false" ht="24.75" hidden="false" customHeight="true" outlineLevel="0" collapsed="false">
      <c r="A121" s="1867"/>
      <c r="B121" s="1868" t="s">
        <v>2365</v>
      </c>
      <c r="C121" s="1869" t="s">
        <v>2366</v>
      </c>
      <c r="D121" s="1870" t="n">
        <v>500</v>
      </c>
      <c r="E121" s="1871" t="n">
        <f aca="false">D121*12</f>
        <v>6000</v>
      </c>
      <c r="F121" s="1872" t="n">
        <f aca="false">IFERROR(E121/'P&amp;L'!BJ19,0)</f>
        <v>0.000612470796973134</v>
      </c>
      <c r="G121" s="1872" t="n">
        <f aca="false">IFERROR(E121/'P&amp;L'!BN19,0)</f>
        <v>3.07696009250052E-005</v>
      </c>
    </row>
    <row r="122" customFormat="false" ht="12" hidden="false" customHeight="true" outlineLevel="0" collapsed="false">
      <c r="A122" s="1867"/>
      <c r="B122" s="1868" t="s">
        <v>2367</v>
      </c>
      <c r="C122" s="1869" t="s">
        <v>1608</v>
      </c>
      <c r="D122" s="1870" t="n">
        <v>800</v>
      </c>
      <c r="E122" s="1871" t="n">
        <f aca="false">D122*12</f>
        <v>9600</v>
      </c>
      <c r="F122" s="1872" t="n">
        <f aca="false">IFERROR(E122/'P&amp;L'!BJ19,0)</f>
        <v>0.000979953275157015</v>
      </c>
      <c r="G122" s="1872" t="n">
        <f aca="false">IFERROR(E122/'P&amp;L'!BN19,0)</f>
        <v>4.92313614800084E-005</v>
      </c>
    </row>
    <row r="123" customFormat="false" ht="12" hidden="false" customHeight="true" outlineLevel="0" collapsed="false">
      <c r="A123" s="1867"/>
      <c r="B123" s="1868" t="s">
        <v>2368</v>
      </c>
      <c r="C123" s="1869" t="s">
        <v>2369</v>
      </c>
      <c r="D123" s="1870" t="n">
        <v>1000</v>
      </c>
      <c r="E123" s="1871" t="n">
        <f aca="false">D123*12</f>
        <v>12000</v>
      </c>
      <c r="F123" s="1872" t="n">
        <f aca="false">IFERROR(E123/'P&amp;L'!BJ19,0)</f>
        <v>0.00122494159394627</v>
      </c>
      <c r="G123" s="1872" t="n">
        <f aca="false">IFERROR(E123/'P&amp;L'!BN19,0)</f>
        <v>6.15392018500104E-005</v>
      </c>
    </row>
    <row r="124" customFormat="false" ht="12" hidden="false" customHeight="true" outlineLevel="0" collapsed="false">
      <c r="A124" s="1867"/>
      <c r="B124" s="1868" t="s">
        <v>2370</v>
      </c>
      <c r="C124" s="1869" t="s">
        <v>2371</v>
      </c>
      <c r="D124" s="1870" t="n">
        <v>1500</v>
      </c>
      <c r="E124" s="1871" t="n">
        <f aca="false">D124*12</f>
        <v>18000</v>
      </c>
      <c r="F124" s="1872" t="n">
        <f aca="false">IFERROR(E124/'P&amp;L'!BJ19,0)</f>
        <v>0.0018374123909194</v>
      </c>
      <c r="G124" s="1872" t="n">
        <f aca="false">IFERROR(E124/'P&amp;L'!BN19,0)</f>
        <v>9.23088027750157E-005</v>
      </c>
    </row>
    <row r="125" customFormat="false" ht="12" hidden="false" customHeight="true" outlineLevel="0" collapsed="false">
      <c r="A125" s="1867"/>
      <c r="B125" s="1868" t="s">
        <v>2372</v>
      </c>
      <c r="C125" s="1869" t="s">
        <v>2373</v>
      </c>
      <c r="D125" s="1870" t="n">
        <v>300</v>
      </c>
      <c r="E125" s="1871" t="n">
        <f aca="false">D125*12</f>
        <v>3600</v>
      </c>
      <c r="F125" s="1872" t="n">
        <f aca="false">IFERROR(E125/'P&amp;L'!BJ19,0)</f>
        <v>0.000367482478183881</v>
      </c>
      <c r="G125" s="1872" t="n">
        <f aca="false">IFERROR(E125/'P&amp;L'!BN19,0)</f>
        <v>1.84617605550031E-005</v>
      </c>
    </row>
    <row r="126" customFormat="false" ht="12" hidden="false" customHeight="true" outlineLevel="0" collapsed="false">
      <c r="A126" s="1867"/>
      <c r="B126" s="1868" t="s">
        <v>2374</v>
      </c>
      <c r="C126" s="1869" t="s">
        <v>2375</v>
      </c>
      <c r="D126" s="1870" t="n">
        <v>600</v>
      </c>
      <c r="E126" s="1871" t="n">
        <f aca="false">D126*12</f>
        <v>7200</v>
      </c>
      <c r="F126" s="1872" t="n">
        <f aca="false">IFERROR(E126/'P&amp;L'!BJ19,0)</f>
        <v>0.000734964956367761</v>
      </c>
      <c r="G126" s="1872" t="n">
        <f aca="false">IFERROR(E126/'P&amp;L'!BN19,0)</f>
        <v>3.69235211100063E-005</v>
      </c>
    </row>
    <row r="127" customFormat="false" ht="24.75" hidden="false" customHeight="true" outlineLevel="0" collapsed="false">
      <c r="A127" s="1867"/>
      <c r="B127" s="1868" t="s">
        <v>2376</v>
      </c>
      <c r="C127" s="1869" t="s">
        <v>1608</v>
      </c>
      <c r="D127" s="1870" t="n">
        <v>300</v>
      </c>
      <c r="E127" s="1871" t="n">
        <f aca="false">D127*12</f>
        <v>3600</v>
      </c>
      <c r="F127" s="1872" t="n">
        <f aca="false">IFERROR(E127/'P&amp;L'!BJ19,0)</f>
        <v>0.000367482478183881</v>
      </c>
      <c r="G127" s="1872" t="n">
        <f aca="false">IFERROR(E127/'P&amp;L'!BN19,0)</f>
        <v>1.84617605550031E-005</v>
      </c>
    </row>
    <row r="128" customFormat="false" ht="12" hidden="false" customHeight="true" outlineLevel="0" collapsed="false">
      <c r="A128" s="1867"/>
      <c r="B128" s="1868" t="s">
        <v>2377</v>
      </c>
      <c r="C128" s="1869" t="s">
        <v>2378</v>
      </c>
      <c r="D128" s="1870" t="n">
        <v>500</v>
      </c>
      <c r="E128" s="1871" t="n">
        <f aca="false">D128*12</f>
        <v>6000</v>
      </c>
      <c r="F128" s="1872" t="n">
        <f aca="false">IFERROR(E128/'P&amp;L'!BJ19,0)</f>
        <v>0.000612470796973134</v>
      </c>
      <c r="G128" s="1872" t="n">
        <f aca="false">IFERROR(E128/'P&amp;L'!BN19,0)</f>
        <v>3.07696009250052E-005</v>
      </c>
    </row>
    <row r="129" customFormat="false" ht="12" hidden="false" customHeight="true" outlineLevel="0" collapsed="false">
      <c r="A129" s="1867"/>
      <c r="B129" s="1868" t="s">
        <v>2379</v>
      </c>
      <c r="C129" s="1869" t="s">
        <v>2380</v>
      </c>
      <c r="D129" s="1870" t="n">
        <v>500</v>
      </c>
      <c r="E129" s="1871" t="n">
        <f aca="false">D129*12</f>
        <v>6000</v>
      </c>
      <c r="F129" s="1872" t="n">
        <f aca="false">IFERROR(E129/'P&amp;L'!BJ19,0)</f>
        <v>0.000612470796973134</v>
      </c>
      <c r="G129" s="1872" t="n">
        <f aca="false">IFERROR(E129/'P&amp;L'!BN19,0)</f>
        <v>3.07696009250052E-005</v>
      </c>
    </row>
    <row r="130" customFormat="false" ht="12" hidden="false" customHeight="true" outlineLevel="0" collapsed="false">
      <c r="A130" s="1867"/>
      <c r="B130" s="1868" t="s">
        <v>2381</v>
      </c>
      <c r="C130" s="1869" t="s">
        <v>2382</v>
      </c>
      <c r="D130" s="1870" t="n">
        <v>1500</v>
      </c>
      <c r="E130" s="1871" t="n">
        <f aca="false">D130*12</f>
        <v>18000</v>
      </c>
      <c r="F130" s="1872" t="n">
        <f aca="false">IFERROR(E130/'P&amp;L'!BJ19,0)</f>
        <v>0.0018374123909194</v>
      </c>
      <c r="G130" s="1872" t="n">
        <f aca="false">IFERROR(E130/'P&amp;L'!BN19,0)</f>
        <v>9.23088027750157E-005</v>
      </c>
    </row>
    <row r="131" customFormat="false" ht="24.75" hidden="false" customHeight="true" outlineLevel="0" collapsed="false">
      <c r="A131" s="1867"/>
      <c r="B131" s="1868" t="s">
        <v>2383</v>
      </c>
      <c r="C131" s="1869" t="s">
        <v>2384</v>
      </c>
      <c r="D131" s="1870" t="n">
        <v>1000</v>
      </c>
      <c r="E131" s="1871" t="n">
        <f aca="false">D131*12</f>
        <v>12000</v>
      </c>
      <c r="F131" s="1872" t="n">
        <f aca="false">IFERROR(E131/'P&amp;L'!BJ19,0)</f>
        <v>0.00122494159394627</v>
      </c>
      <c r="G131" s="1872" t="n">
        <f aca="false">IFERROR(E131/'P&amp;L'!BN19,0)</f>
        <v>6.15392018500104E-005</v>
      </c>
    </row>
    <row r="132" customFormat="false" ht="23.25" hidden="false" customHeight="true" outlineLevel="0" collapsed="false">
      <c r="A132" s="1867"/>
      <c r="B132" s="1868" t="s">
        <v>2385</v>
      </c>
      <c r="C132" s="1869" t="s">
        <v>2386</v>
      </c>
      <c r="D132" s="1870" t="n">
        <v>300</v>
      </c>
      <c r="E132" s="1871" t="n">
        <f aca="false">D132*12</f>
        <v>3600</v>
      </c>
      <c r="F132" s="1872" t="n">
        <f aca="false">IFERROR(E132/'P&amp;L'!BJ19,0)</f>
        <v>0.000367482478183881</v>
      </c>
      <c r="G132" s="1872" t="n">
        <f aca="false">IFERROR(E132/'P&amp;L'!BN19,0)</f>
        <v>1.84617605550031E-005</v>
      </c>
    </row>
    <row r="133" customFormat="false" ht="12" hidden="false" customHeight="true" outlineLevel="0" collapsed="false">
      <c r="A133" s="1867"/>
      <c r="B133" s="1868" t="s">
        <v>2387</v>
      </c>
      <c r="C133" s="1869" t="s">
        <v>2388</v>
      </c>
      <c r="D133" s="1870" t="n">
        <v>500</v>
      </c>
      <c r="E133" s="1871" t="n">
        <f aca="false">D133*12</f>
        <v>6000</v>
      </c>
      <c r="F133" s="1872" t="n">
        <f aca="false">IFERROR(E133/'P&amp;L'!BJ19,0)</f>
        <v>0.000612470796973134</v>
      </c>
      <c r="G133" s="1872" t="n">
        <f aca="false">IFERROR(E133/'P&amp;L'!BN19,0)</f>
        <v>3.07696009250052E-005</v>
      </c>
    </row>
    <row r="134" customFormat="false" ht="12" hidden="false" customHeight="true" outlineLevel="0" collapsed="false">
      <c r="A134" s="1867"/>
      <c r="B134" s="1868" t="s">
        <v>2389</v>
      </c>
      <c r="C134" s="1869" t="s">
        <v>2390</v>
      </c>
      <c r="D134" s="1870" t="n">
        <v>400</v>
      </c>
      <c r="E134" s="1871" t="n">
        <f aca="false">D134*12</f>
        <v>4800</v>
      </c>
      <c r="F134" s="1872" t="n">
        <f aca="false">IFERROR(E134/'P&amp;L'!BJ19,0)</f>
        <v>0.000489976637578507</v>
      </c>
      <c r="G134" s="1872" t="n">
        <f aca="false">IFERROR(E134/'P&amp;L'!BN19,0)</f>
        <v>2.46156807400042E-005</v>
      </c>
    </row>
    <row r="135" customFormat="false" ht="14.25" hidden="false" customHeight="true" outlineLevel="0" collapsed="false">
      <c r="A135" s="1860" t="s">
        <v>2391</v>
      </c>
      <c r="B135" s="1861"/>
      <c r="C135" s="1862"/>
      <c r="D135" s="1863" t="n">
        <f aca="false">SUM(D136:D149)</f>
        <v>6200</v>
      </c>
      <c r="E135" s="1863" t="n">
        <f aca="false">SUM(E136:E149)</f>
        <v>74400</v>
      </c>
      <c r="F135" s="1864" t="n">
        <f aca="false">IFERROR(E135/'P&amp;L'!BJ19,0)</f>
        <v>0.00759463788246686</v>
      </c>
      <c r="G135" s="1864" t="n">
        <f aca="false">IFERROR(E135/'P&amp;L'!BN19,0)</f>
        <v>0.000381543051470065</v>
      </c>
    </row>
    <row r="136" customFormat="false" ht="12" hidden="false" customHeight="true" outlineLevel="0" collapsed="false">
      <c r="A136" s="1867"/>
      <c r="B136" s="1868" t="s">
        <v>2392</v>
      </c>
      <c r="C136" s="1869" t="s">
        <v>1608</v>
      </c>
      <c r="D136" s="1870" t="n">
        <v>1000</v>
      </c>
      <c r="E136" s="1871" t="n">
        <f aca="false">D136*12</f>
        <v>12000</v>
      </c>
      <c r="F136" s="1872" t="n">
        <f aca="false">IFERROR(E136/'P&amp;L'!BJ19,0)</f>
        <v>0.00122494159394627</v>
      </c>
      <c r="G136" s="1872" t="n">
        <f aca="false">IFERROR(E136/'P&amp;L'!BN19,0)</f>
        <v>6.15392018500104E-005</v>
      </c>
    </row>
    <row r="137" customFormat="false" ht="12" hidden="false" customHeight="true" outlineLevel="0" collapsed="false">
      <c r="A137" s="1867"/>
      <c r="B137" s="1868" t="s">
        <v>2393</v>
      </c>
      <c r="C137" s="1869" t="s">
        <v>1608</v>
      </c>
      <c r="D137" s="1870" t="n">
        <v>400</v>
      </c>
      <c r="E137" s="1871" t="n">
        <f aca="false">D137*12</f>
        <v>4800</v>
      </c>
      <c r="F137" s="1872" t="n">
        <f aca="false">IFERROR(E137/'P&amp;L'!BJ19,0)</f>
        <v>0.000489976637578507</v>
      </c>
      <c r="G137" s="1872" t="n">
        <f aca="false">IFERROR(E137/'P&amp;L'!BN19,0)</f>
        <v>2.46156807400042E-005</v>
      </c>
    </row>
    <row r="138" customFormat="false" ht="12" hidden="false" customHeight="true" outlineLevel="0" collapsed="false">
      <c r="A138" s="1867"/>
      <c r="B138" s="1868" t="s">
        <v>2394</v>
      </c>
      <c r="C138" s="1869" t="s">
        <v>2335</v>
      </c>
      <c r="D138" s="1870" t="n">
        <v>300</v>
      </c>
      <c r="E138" s="1871" t="n">
        <f aca="false">D138*12</f>
        <v>3600</v>
      </c>
      <c r="F138" s="1872" t="n">
        <f aca="false">IFERROR(E138/'P&amp;L'!BJ19,0)</f>
        <v>0.000367482478183881</v>
      </c>
      <c r="G138" s="1872" t="n">
        <f aca="false">IFERROR(E138/'P&amp;L'!BN19,0)</f>
        <v>1.84617605550031E-005</v>
      </c>
    </row>
    <row r="139" customFormat="false" ht="12" hidden="false" customHeight="true" outlineLevel="0" collapsed="false">
      <c r="A139" s="1867"/>
      <c r="B139" s="1868" t="s">
        <v>2395</v>
      </c>
      <c r="C139" s="1869" t="s">
        <v>2396</v>
      </c>
      <c r="D139" s="1870" t="n">
        <v>300</v>
      </c>
      <c r="E139" s="1871" t="n">
        <f aca="false">D139*12</f>
        <v>3600</v>
      </c>
      <c r="F139" s="1872" t="n">
        <f aca="false">IFERROR(E139/'P&amp;L'!BJ19,0)</f>
        <v>0.000367482478183881</v>
      </c>
      <c r="G139" s="1872" t="n">
        <f aca="false">IFERROR(E139/'P&amp;L'!BN19,0)</f>
        <v>1.84617605550031E-005</v>
      </c>
    </row>
    <row r="140" customFormat="false" ht="12" hidden="false" customHeight="true" outlineLevel="0" collapsed="false">
      <c r="A140" s="1867"/>
      <c r="B140" s="1868" t="s">
        <v>2397</v>
      </c>
      <c r="C140" s="1869" t="s">
        <v>1608</v>
      </c>
      <c r="D140" s="1870" t="n">
        <v>200</v>
      </c>
      <c r="E140" s="1871" t="n">
        <f aca="false">D140*12</f>
        <v>2400</v>
      </c>
      <c r="F140" s="1872" t="n">
        <f aca="false">IFERROR(E140/'P&amp;L'!BJ19,0)</f>
        <v>0.000244988318789254</v>
      </c>
      <c r="G140" s="1872" t="n">
        <f aca="false">IFERROR(E140/'P&amp;L'!BN19,0)</f>
        <v>1.23078403700021E-005</v>
      </c>
    </row>
    <row r="141" customFormat="false" ht="12" hidden="false" customHeight="true" outlineLevel="0" collapsed="false">
      <c r="A141" s="1867"/>
      <c r="B141" s="1868" t="s">
        <v>2398</v>
      </c>
      <c r="C141" s="1869" t="s">
        <v>1608</v>
      </c>
      <c r="D141" s="1870" t="n">
        <v>300</v>
      </c>
      <c r="E141" s="1871" t="n">
        <f aca="false">D141*12</f>
        <v>3600</v>
      </c>
      <c r="F141" s="1872" t="n">
        <f aca="false">IFERROR(E141/'P&amp;L'!BJ19,0)</f>
        <v>0.000367482478183881</v>
      </c>
      <c r="G141" s="1872" t="n">
        <f aca="false">IFERROR(E141/'P&amp;L'!BN19,0)</f>
        <v>1.84617605550031E-005</v>
      </c>
    </row>
    <row r="142" customFormat="false" ht="24.75" hidden="false" customHeight="true" outlineLevel="0" collapsed="false">
      <c r="A142" s="1867"/>
      <c r="B142" s="1868" t="s">
        <v>2399</v>
      </c>
      <c r="C142" s="1869" t="s">
        <v>1608</v>
      </c>
      <c r="D142" s="1870" t="n">
        <v>400</v>
      </c>
      <c r="E142" s="1871" t="n">
        <f aca="false">D142*12</f>
        <v>4800</v>
      </c>
      <c r="F142" s="1872" t="n">
        <f aca="false">IFERROR(E142/'P&amp;L'!BJ19,0)</f>
        <v>0.000489976637578507</v>
      </c>
      <c r="G142" s="1872" t="n">
        <f aca="false">IFERROR(E142/'P&amp;L'!BN19,0)</f>
        <v>2.46156807400042E-005</v>
      </c>
    </row>
    <row r="143" customFormat="false" ht="12" hidden="false" customHeight="true" outlineLevel="0" collapsed="false">
      <c r="A143" s="1867"/>
      <c r="B143" s="1868" t="s">
        <v>2400</v>
      </c>
      <c r="C143" s="1869" t="s">
        <v>2401</v>
      </c>
      <c r="D143" s="1870" t="n">
        <v>500</v>
      </c>
      <c r="E143" s="1871" t="n">
        <f aca="false">D143*12</f>
        <v>6000</v>
      </c>
      <c r="F143" s="1872" t="n">
        <f aca="false">IFERROR(E143/'P&amp;L'!BJ19,0)</f>
        <v>0.000612470796973134</v>
      </c>
      <c r="G143" s="1872" t="n">
        <f aca="false">IFERROR(E143/'P&amp;L'!BN19,0)</f>
        <v>3.07696009250052E-005</v>
      </c>
    </row>
    <row r="144" customFormat="false" ht="12" hidden="false" customHeight="true" outlineLevel="0" collapsed="false">
      <c r="A144" s="1867"/>
      <c r="B144" s="1868" t="s">
        <v>2402</v>
      </c>
      <c r="C144" s="1869" t="s">
        <v>2403</v>
      </c>
      <c r="D144" s="1870" t="n">
        <v>1000</v>
      </c>
      <c r="E144" s="1871" t="n">
        <f aca="false">D144*12</f>
        <v>12000</v>
      </c>
      <c r="F144" s="1872" t="n">
        <f aca="false">IFERROR(E144/'P&amp;L'!BJ19,0)</f>
        <v>0.00122494159394627</v>
      </c>
      <c r="G144" s="1872" t="n">
        <f aca="false">IFERROR(E144/'P&amp;L'!BN19,0)</f>
        <v>6.15392018500104E-005</v>
      </c>
    </row>
    <row r="145" customFormat="false" ht="12" hidden="false" customHeight="true" outlineLevel="0" collapsed="false">
      <c r="A145" s="1867"/>
      <c r="B145" s="1868" t="s">
        <v>2404</v>
      </c>
      <c r="C145" s="1869" t="s">
        <v>1608</v>
      </c>
      <c r="D145" s="1870" t="n">
        <v>300</v>
      </c>
      <c r="E145" s="1871" t="n">
        <f aca="false">D145*12</f>
        <v>3600</v>
      </c>
      <c r="F145" s="1872" t="n">
        <f aca="false">IFERROR(E145/'P&amp;L'!BJ19,0)</f>
        <v>0.000367482478183881</v>
      </c>
      <c r="G145" s="1872" t="n">
        <f aca="false">IFERROR(E145/'P&amp;L'!BN19,0)</f>
        <v>1.84617605550031E-005</v>
      </c>
    </row>
    <row r="146" customFormat="false" ht="23.25" hidden="false" customHeight="true" outlineLevel="0" collapsed="false">
      <c r="A146" s="1867"/>
      <c r="B146" s="1868" t="s">
        <v>2405</v>
      </c>
      <c r="C146" s="1869" t="s">
        <v>2406</v>
      </c>
      <c r="D146" s="1870" t="n">
        <v>300</v>
      </c>
      <c r="E146" s="1871" t="n">
        <f aca="false">D146*12</f>
        <v>3600</v>
      </c>
      <c r="F146" s="1872" t="n">
        <f aca="false">IFERROR(E146/'P&amp;L'!BJ19,0)</f>
        <v>0.000367482478183881</v>
      </c>
      <c r="G146" s="1872" t="n">
        <f aca="false">IFERROR(E146/'P&amp;L'!BN19,0)</f>
        <v>1.84617605550031E-005</v>
      </c>
    </row>
    <row r="147" customFormat="false" ht="24.75" hidden="false" customHeight="true" outlineLevel="0" collapsed="false">
      <c r="A147" s="1867"/>
      <c r="B147" s="1868" t="s">
        <v>2407</v>
      </c>
      <c r="C147" s="1869" t="s">
        <v>2408</v>
      </c>
      <c r="D147" s="1870" t="n">
        <v>500</v>
      </c>
      <c r="E147" s="1871" t="n">
        <f aca="false">D147*12</f>
        <v>6000</v>
      </c>
      <c r="F147" s="1872" t="n">
        <f aca="false">IFERROR(E147/'P&amp;L'!BJ19,0)</f>
        <v>0.000612470796973134</v>
      </c>
      <c r="G147" s="1872" t="n">
        <f aca="false">IFERROR(E147/'P&amp;L'!BN19,0)</f>
        <v>3.07696009250052E-005</v>
      </c>
    </row>
    <row r="148" customFormat="false" ht="24.75" hidden="false" customHeight="true" outlineLevel="0" collapsed="false">
      <c r="A148" s="1867"/>
      <c r="B148" s="1868" t="s">
        <v>2409</v>
      </c>
      <c r="C148" s="1869" t="s">
        <v>1608</v>
      </c>
      <c r="D148" s="1870" t="n">
        <v>400</v>
      </c>
      <c r="E148" s="1871" t="n">
        <f aca="false">D148*12</f>
        <v>4800</v>
      </c>
      <c r="F148" s="1872" t="n">
        <f aca="false">IFERROR(E148/'P&amp;L'!BJ19,0)</f>
        <v>0.000489976637578507</v>
      </c>
      <c r="G148" s="1872" t="n">
        <f aca="false">IFERROR(E148/'P&amp;L'!BN19,0)</f>
        <v>2.46156807400042E-005</v>
      </c>
    </row>
    <row r="149" customFormat="false" ht="12" hidden="false" customHeight="true" outlineLevel="0" collapsed="false">
      <c r="A149" s="1867"/>
      <c r="B149" s="1868" t="s">
        <v>2410</v>
      </c>
      <c r="C149" s="1869" t="s">
        <v>2411</v>
      </c>
      <c r="D149" s="1870" t="n">
        <v>300</v>
      </c>
      <c r="E149" s="1871" t="n">
        <f aca="false">D149*12</f>
        <v>3600</v>
      </c>
      <c r="F149" s="1872" t="n">
        <f aca="false">IFERROR(E149/'P&amp;L'!BJ19,0)</f>
        <v>0.000367482478183881</v>
      </c>
      <c r="G149" s="1872" t="n">
        <f aca="false">IFERROR(E149/'P&amp;L'!BN19,0)</f>
        <v>1.84617605550031E-005</v>
      </c>
    </row>
    <row r="150" customFormat="false" ht="14.25" hidden="false" customHeight="true" outlineLevel="0" collapsed="false">
      <c r="A150" s="1860" t="s">
        <v>2412</v>
      </c>
      <c r="B150" s="1861"/>
      <c r="C150" s="1862"/>
      <c r="D150" s="1863" t="n">
        <f aca="false">SUM(D151:D158)</f>
        <v>5600</v>
      </c>
      <c r="E150" s="1863" t="n">
        <f aca="false">SUM(E151:E158)</f>
        <v>67200</v>
      </c>
      <c r="F150" s="1864" t="n">
        <f aca="false">IFERROR(E150/'P&amp;L'!BJ19,0)</f>
        <v>0.0068596729260991</v>
      </c>
      <c r="G150" s="1864" t="n">
        <f aca="false">IFERROR(E150/'P&amp;L'!BN19,0)</f>
        <v>0.000344619530360058</v>
      </c>
    </row>
    <row r="151" customFormat="false" ht="24.75" hidden="false" customHeight="true" outlineLevel="0" collapsed="false">
      <c r="A151" s="1867"/>
      <c r="B151" s="1868" t="s">
        <v>2413</v>
      </c>
      <c r="C151" s="1869" t="s">
        <v>2414</v>
      </c>
      <c r="D151" s="1870" t="n">
        <v>2400</v>
      </c>
      <c r="E151" s="1871" t="n">
        <f aca="false">D151*12</f>
        <v>28800</v>
      </c>
      <c r="F151" s="1872" t="n">
        <f aca="false">IFERROR(E151/'P&amp;L'!BJ19,0)</f>
        <v>0.00293985982547104</v>
      </c>
      <c r="G151" s="1872" t="n">
        <f aca="false">IFERROR(E151/'P&amp;L'!BN19,0)</f>
        <v>0.000147694084440025</v>
      </c>
    </row>
    <row r="152" customFormat="false" ht="12" hidden="false" customHeight="true" outlineLevel="0" collapsed="false">
      <c r="A152" s="1867"/>
      <c r="B152" s="1868" t="s">
        <v>2415</v>
      </c>
      <c r="C152" s="1869" t="s">
        <v>2416</v>
      </c>
      <c r="D152" s="1870" t="n">
        <v>1500</v>
      </c>
      <c r="E152" s="1871" t="n">
        <f aca="false">D152*12</f>
        <v>18000</v>
      </c>
      <c r="F152" s="1872" t="n">
        <f aca="false">IFERROR(E152/'P&amp;L'!BJ19,0)</f>
        <v>0.0018374123909194</v>
      </c>
      <c r="G152" s="1872" t="n">
        <f aca="false">IFERROR(E152/'P&amp;L'!BN19,0)</f>
        <v>9.23088027750157E-005</v>
      </c>
    </row>
    <row r="153" customFormat="false" ht="12" hidden="false" customHeight="true" outlineLevel="0" collapsed="false">
      <c r="A153" s="1867"/>
      <c r="B153" s="1868" t="s">
        <v>2417</v>
      </c>
      <c r="C153" s="1869" t="s">
        <v>1608</v>
      </c>
      <c r="D153" s="1870" t="n">
        <v>300</v>
      </c>
      <c r="E153" s="1871" t="n">
        <f aca="false">D153*12</f>
        <v>3600</v>
      </c>
      <c r="F153" s="1872" t="n">
        <f aca="false">IFERROR(E153/'P&amp;L'!BJ19,0)</f>
        <v>0.000367482478183881</v>
      </c>
      <c r="G153" s="1872" t="n">
        <f aca="false">IFERROR(E153/'P&amp;L'!BN19,0)</f>
        <v>1.84617605550031E-005</v>
      </c>
    </row>
    <row r="154" customFormat="false" ht="12" hidden="false" customHeight="true" outlineLevel="0" collapsed="false">
      <c r="A154" s="1867"/>
      <c r="B154" s="1868" t="s">
        <v>2418</v>
      </c>
      <c r="C154" s="1869" t="s">
        <v>1608</v>
      </c>
      <c r="D154" s="1870" t="n">
        <v>500</v>
      </c>
      <c r="E154" s="1871" t="n">
        <f aca="false">D154*12</f>
        <v>6000</v>
      </c>
      <c r="F154" s="1872" t="n">
        <f aca="false">IFERROR(E154/'P&amp;L'!BJ19,0)</f>
        <v>0.000612470796973134</v>
      </c>
      <c r="G154" s="1872" t="n">
        <f aca="false">IFERROR(E154/'P&amp;L'!BN19,0)</f>
        <v>3.07696009250052E-005</v>
      </c>
    </row>
    <row r="155" customFormat="false" ht="12" hidden="false" customHeight="true" outlineLevel="0" collapsed="false">
      <c r="A155" s="1867"/>
      <c r="B155" s="1868" t="s">
        <v>2419</v>
      </c>
      <c r="C155" s="1869" t="s">
        <v>2420</v>
      </c>
      <c r="D155" s="1870" t="n">
        <v>300</v>
      </c>
      <c r="E155" s="1871" t="n">
        <f aca="false">D155*12</f>
        <v>3600</v>
      </c>
      <c r="F155" s="1872" t="n">
        <f aca="false">IFERROR(E155/'P&amp;L'!BJ19,0)</f>
        <v>0.000367482478183881</v>
      </c>
      <c r="G155" s="1872" t="n">
        <f aca="false">IFERROR(E155/'P&amp;L'!BN19,0)</f>
        <v>1.84617605550031E-005</v>
      </c>
    </row>
    <row r="156" customFormat="false" ht="12" hidden="false" customHeight="true" outlineLevel="0" collapsed="false">
      <c r="A156" s="1867"/>
      <c r="B156" s="1868" t="s">
        <v>2421</v>
      </c>
      <c r="C156" s="1869" t="s">
        <v>2422</v>
      </c>
      <c r="D156" s="1870" t="n">
        <v>200</v>
      </c>
      <c r="E156" s="1871" t="n">
        <f aca="false">D156*12</f>
        <v>2400</v>
      </c>
      <c r="F156" s="1872" t="n">
        <f aca="false">IFERROR(E156/'P&amp;L'!BJ19,0)</f>
        <v>0.000244988318789254</v>
      </c>
      <c r="G156" s="1872" t="n">
        <f aca="false">IFERROR(E156/'P&amp;L'!BN19,0)</f>
        <v>1.23078403700021E-005</v>
      </c>
    </row>
    <row r="157" customFormat="false" ht="12" hidden="false" customHeight="true" outlineLevel="0" collapsed="false">
      <c r="A157" s="1867"/>
      <c r="B157" s="1868" t="s">
        <v>2423</v>
      </c>
      <c r="C157" s="1869" t="s">
        <v>2424</v>
      </c>
      <c r="D157" s="1870" t="n">
        <v>200</v>
      </c>
      <c r="E157" s="1871" t="n">
        <f aca="false">D157*12</f>
        <v>2400</v>
      </c>
      <c r="F157" s="1872" t="n">
        <f aca="false">IFERROR(E157/'P&amp;L'!BJ19,0)</f>
        <v>0.000244988318789254</v>
      </c>
      <c r="G157" s="1872" t="n">
        <f aca="false">IFERROR(E157/'P&amp;L'!BN19,0)</f>
        <v>1.23078403700021E-005</v>
      </c>
    </row>
    <row r="158" customFormat="false" ht="12" hidden="false" customHeight="true" outlineLevel="0" collapsed="false">
      <c r="A158" s="1867"/>
      <c r="B158" s="1868" t="s">
        <v>2425</v>
      </c>
      <c r="C158" s="1869" t="s">
        <v>1608</v>
      </c>
      <c r="D158" s="1870" t="n">
        <v>200</v>
      </c>
      <c r="E158" s="1871" t="n">
        <f aca="false">D158*12</f>
        <v>2400</v>
      </c>
      <c r="F158" s="1872" t="n">
        <f aca="false">IFERROR(E158/'P&amp;L'!BJ19,0)</f>
        <v>0.000244988318789254</v>
      </c>
      <c r="G158" s="1872" t="n">
        <f aca="false">IFERROR(E158/'P&amp;L'!BN19,0)</f>
        <v>1.23078403700021E-005</v>
      </c>
    </row>
    <row r="159" customFormat="false" ht="14.25" hidden="false" customHeight="true" outlineLevel="0" collapsed="false">
      <c r="A159" s="1860" t="s">
        <v>2426</v>
      </c>
      <c r="B159" s="1861"/>
      <c r="C159" s="1862"/>
      <c r="D159" s="1863" t="n">
        <f aca="false">SUM(D160:D176)</f>
        <v>20100</v>
      </c>
      <c r="E159" s="1863" t="n">
        <f aca="false">SUM(E160:E176)</f>
        <v>241200</v>
      </c>
      <c r="F159" s="1864" t="n">
        <f aca="false">IFERROR(E159/'P&amp;L'!BJ19,0)</f>
        <v>0.02462132603832</v>
      </c>
      <c r="G159" s="1864" t="n">
        <f aca="false">IFERROR(E159/'P&amp;L'!BN19,0)</f>
        <v>0.00123693795718521</v>
      </c>
    </row>
    <row r="160" customFormat="false" ht="12" hidden="false" customHeight="true" outlineLevel="0" collapsed="false">
      <c r="A160" s="1867"/>
      <c r="B160" s="1868" t="s">
        <v>2427</v>
      </c>
      <c r="C160" s="1869" t="s">
        <v>2428</v>
      </c>
      <c r="D160" s="1870" t="n">
        <v>0</v>
      </c>
      <c r="E160" s="1871" t="n">
        <f aca="false">D160*12</f>
        <v>0</v>
      </c>
      <c r="F160" s="1872" t="n">
        <f aca="false">IFERROR(E160/'P&amp;L'!BJ19,0)</f>
        <v>0</v>
      </c>
      <c r="G160" s="1872" t="n">
        <f aca="false">IFERROR(E160/'P&amp;L'!BN19,0)</f>
        <v>0</v>
      </c>
    </row>
    <row r="161" customFormat="false" ht="12" hidden="false" customHeight="true" outlineLevel="0" collapsed="false">
      <c r="A161" s="1867"/>
      <c r="B161" s="1868" t="s">
        <v>2429</v>
      </c>
      <c r="C161" s="1869" t="s">
        <v>1608</v>
      </c>
      <c r="D161" s="1870" t="n">
        <v>500</v>
      </c>
      <c r="E161" s="1871" t="n">
        <f aca="false">D161*12</f>
        <v>6000</v>
      </c>
      <c r="F161" s="1872" t="n">
        <f aca="false">IFERROR(E161/'P&amp;L'!BJ19,0)</f>
        <v>0.000612470796973134</v>
      </c>
      <c r="G161" s="1872" t="n">
        <f aca="false">IFERROR(E161/'P&amp;L'!BN19,0)</f>
        <v>3.07696009250052E-005</v>
      </c>
    </row>
    <row r="162" customFormat="false" ht="12" hidden="false" customHeight="true" outlineLevel="0" collapsed="false">
      <c r="A162" s="1867"/>
      <c r="B162" s="1868" t="s">
        <v>2430</v>
      </c>
      <c r="C162" s="1869" t="s">
        <v>1608</v>
      </c>
      <c r="D162" s="1870" t="n">
        <v>800</v>
      </c>
      <c r="E162" s="1871" t="n">
        <f aca="false">D162*12</f>
        <v>9600</v>
      </c>
      <c r="F162" s="1872" t="n">
        <f aca="false">IFERROR(E162/'P&amp;L'!BJ19,0)</f>
        <v>0.000979953275157015</v>
      </c>
      <c r="G162" s="1872" t="n">
        <f aca="false">IFERROR(E162/'P&amp;L'!BN19,0)</f>
        <v>4.92313614800084E-005</v>
      </c>
    </row>
    <row r="163" customFormat="false" ht="12" hidden="false" customHeight="true" outlineLevel="0" collapsed="false">
      <c r="A163" s="1867"/>
      <c r="B163" s="1868" t="s">
        <v>2431</v>
      </c>
      <c r="C163" s="1869" t="s">
        <v>1608</v>
      </c>
      <c r="D163" s="1870" t="n">
        <v>300</v>
      </c>
      <c r="E163" s="1871" t="n">
        <f aca="false">D163*12</f>
        <v>3600</v>
      </c>
      <c r="F163" s="1872" t="n">
        <f aca="false">IFERROR(E163/'P&amp;L'!BJ19,0)</f>
        <v>0.000367482478183881</v>
      </c>
      <c r="G163" s="1872" t="n">
        <f aca="false">IFERROR(E163/'P&amp;L'!BN19,0)</f>
        <v>1.84617605550031E-005</v>
      </c>
    </row>
    <row r="164" customFormat="false" ht="12" hidden="false" customHeight="true" outlineLevel="0" collapsed="false">
      <c r="A164" s="1867"/>
      <c r="B164" s="1868" t="s">
        <v>2432</v>
      </c>
      <c r="C164" s="1869" t="s">
        <v>1608</v>
      </c>
      <c r="D164" s="1870" t="n">
        <v>500</v>
      </c>
      <c r="E164" s="1871" t="n">
        <f aca="false">D164*12</f>
        <v>6000</v>
      </c>
      <c r="F164" s="1872" t="n">
        <f aca="false">IFERROR(E164/'P&amp;L'!BJ19,0)</f>
        <v>0.000612470796973134</v>
      </c>
      <c r="G164" s="1872" t="n">
        <f aca="false">IFERROR(E164/'P&amp;L'!BN19,0)</f>
        <v>3.07696009250052E-005</v>
      </c>
    </row>
    <row r="165" customFormat="false" ht="24.75" hidden="false" customHeight="true" outlineLevel="0" collapsed="false">
      <c r="A165" s="1867"/>
      <c r="B165" s="1868" t="s">
        <v>2433</v>
      </c>
      <c r="C165" s="1869" t="s">
        <v>2434</v>
      </c>
      <c r="D165" s="1870" t="n">
        <v>500</v>
      </c>
      <c r="E165" s="1871" t="n">
        <f aca="false">D165*12</f>
        <v>6000</v>
      </c>
      <c r="F165" s="1872" t="n">
        <f aca="false">IFERROR(E165/'P&amp;L'!BJ19,0)</f>
        <v>0.000612470796973134</v>
      </c>
      <c r="G165" s="1872" t="n">
        <f aca="false">IFERROR(E165/'P&amp;L'!BN19,0)</f>
        <v>3.07696009250052E-005</v>
      </c>
    </row>
    <row r="166" customFormat="false" ht="24.75" hidden="false" customHeight="true" outlineLevel="0" collapsed="false">
      <c r="A166" s="1867"/>
      <c r="B166" s="1868" t="s">
        <v>2435</v>
      </c>
      <c r="C166" s="1869" t="s">
        <v>2436</v>
      </c>
      <c r="D166" s="1870" t="n">
        <v>1000</v>
      </c>
      <c r="E166" s="1871" t="n">
        <f aca="false">D166*12</f>
        <v>12000</v>
      </c>
      <c r="F166" s="1872" t="n">
        <f aca="false">IFERROR(E166/'P&amp;L'!BJ19,0)</f>
        <v>0.00122494159394627</v>
      </c>
      <c r="G166" s="1872" t="n">
        <f aca="false">IFERROR(E166/'P&amp;L'!BN19,0)</f>
        <v>6.15392018500104E-005</v>
      </c>
    </row>
    <row r="167" customFormat="false" ht="12" hidden="false" customHeight="true" outlineLevel="0" collapsed="false">
      <c r="A167" s="1867"/>
      <c r="B167" s="1868" t="s">
        <v>2437</v>
      </c>
      <c r="C167" s="1869" t="s">
        <v>1608</v>
      </c>
      <c r="D167" s="1870" t="n">
        <v>2500</v>
      </c>
      <c r="E167" s="1871" t="n">
        <f aca="false">D167*12</f>
        <v>30000</v>
      </c>
      <c r="F167" s="1872" t="n">
        <f aca="false">IFERROR(E167/'P&amp;L'!BJ19,0)</f>
        <v>0.00306235398486567</v>
      </c>
      <c r="G167" s="1872" t="n">
        <f aca="false">IFERROR(E167/'P&amp;L'!BN19,0)</f>
        <v>0.000153848004625026</v>
      </c>
    </row>
    <row r="168" customFormat="false" ht="12" hidden="false" customHeight="true" outlineLevel="0" collapsed="false">
      <c r="A168" s="1867"/>
      <c r="B168" s="1868" t="s">
        <v>2438</v>
      </c>
      <c r="C168" s="1869" t="s">
        <v>2439</v>
      </c>
      <c r="D168" s="1870" t="n">
        <v>1500</v>
      </c>
      <c r="E168" s="1871" t="n">
        <f aca="false">D168*12</f>
        <v>18000</v>
      </c>
      <c r="F168" s="1872" t="n">
        <f aca="false">IFERROR(E168/'P&amp;L'!BJ19,0)</f>
        <v>0.0018374123909194</v>
      </c>
      <c r="G168" s="1872" t="n">
        <f aca="false">IFERROR(E168/'P&amp;L'!BN19,0)</f>
        <v>9.23088027750157E-005</v>
      </c>
    </row>
    <row r="169" customFormat="false" ht="12" hidden="false" customHeight="true" outlineLevel="0" collapsed="false">
      <c r="A169" s="1867"/>
      <c r="B169" s="1868" t="s">
        <v>2440</v>
      </c>
      <c r="C169" s="1869" t="s">
        <v>1608</v>
      </c>
      <c r="D169" s="1870" t="n">
        <v>2000</v>
      </c>
      <c r="E169" s="1871" t="n">
        <f aca="false">D169*12</f>
        <v>24000</v>
      </c>
      <c r="F169" s="1872" t="n">
        <f aca="false">IFERROR(E169/'P&amp;L'!BJ19,0)</f>
        <v>0.00244988318789254</v>
      </c>
      <c r="G169" s="1872" t="n">
        <f aca="false">IFERROR(E169/'P&amp;L'!BN19,0)</f>
        <v>0.000123078403700021</v>
      </c>
    </row>
    <row r="170" customFormat="false" ht="12" hidden="false" customHeight="true" outlineLevel="0" collapsed="false">
      <c r="A170" s="1867"/>
      <c r="B170" s="1868" t="s">
        <v>2441</v>
      </c>
      <c r="C170" s="1869" t="s">
        <v>2442</v>
      </c>
      <c r="D170" s="1870" t="n">
        <v>1000</v>
      </c>
      <c r="E170" s="1871" t="n">
        <f aca="false">D170*12</f>
        <v>12000</v>
      </c>
      <c r="F170" s="1872" t="n">
        <f aca="false">IFERROR(E170/'P&amp;L'!BJ19,0)</f>
        <v>0.00122494159394627</v>
      </c>
      <c r="G170" s="1872" t="n">
        <f aca="false">IFERROR(E170/'P&amp;L'!BN19,0)</f>
        <v>6.15392018500104E-005</v>
      </c>
    </row>
    <row r="171" customFormat="false" ht="12" hidden="false" customHeight="true" outlineLevel="0" collapsed="false">
      <c r="A171" s="1867"/>
      <c r="B171" s="1868" t="s">
        <v>2443</v>
      </c>
      <c r="C171" s="1869" t="s">
        <v>1608</v>
      </c>
      <c r="D171" s="1870" t="n">
        <v>500</v>
      </c>
      <c r="E171" s="1871" t="n">
        <f aca="false">D171*12</f>
        <v>6000</v>
      </c>
      <c r="F171" s="1872" t="n">
        <f aca="false">IFERROR(E171/'P&amp;L'!BJ19,0)</f>
        <v>0.000612470796973134</v>
      </c>
      <c r="G171" s="1872" t="n">
        <f aca="false">IFERROR(E171/'P&amp;L'!BN19,0)</f>
        <v>3.07696009250052E-005</v>
      </c>
    </row>
    <row r="172" customFormat="false" ht="12" hidden="false" customHeight="true" outlineLevel="0" collapsed="false">
      <c r="A172" s="1867"/>
      <c r="B172" s="1868" t="s">
        <v>2444</v>
      </c>
      <c r="C172" s="1869" t="s">
        <v>2445</v>
      </c>
      <c r="D172" s="1870" t="n">
        <v>3000</v>
      </c>
      <c r="E172" s="1871" t="n">
        <f aca="false">D172*12</f>
        <v>36000</v>
      </c>
      <c r="F172" s="1872" t="n">
        <f aca="false">IFERROR(E172/'P&amp;L'!BJ19,0)</f>
        <v>0.0036748247818388</v>
      </c>
      <c r="G172" s="1872" t="n">
        <f aca="false">IFERROR(E172/'P&amp;L'!BN19,0)</f>
        <v>0.000184617605550031</v>
      </c>
    </row>
    <row r="173" customFormat="false" ht="12" hidden="false" customHeight="true" outlineLevel="0" collapsed="false">
      <c r="A173" s="1867"/>
      <c r="B173" s="1868" t="s">
        <v>2446</v>
      </c>
      <c r="C173" s="1869" t="s">
        <v>2447</v>
      </c>
      <c r="D173" s="1870" t="n">
        <v>0</v>
      </c>
      <c r="E173" s="1871" t="n">
        <f aca="false">D173*12</f>
        <v>0</v>
      </c>
      <c r="F173" s="1872" t="n">
        <f aca="false">IFERROR(E173/'P&amp;L'!BJ19,0)</f>
        <v>0</v>
      </c>
      <c r="G173" s="1872" t="n">
        <f aca="false">IFERROR(E173/'P&amp;L'!BN19,0)</f>
        <v>0</v>
      </c>
    </row>
    <row r="174" customFormat="false" ht="12" hidden="false" customHeight="true" outlineLevel="0" collapsed="false">
      <c r="A174" s="1867"/>
      <c r="B174" s="1868" t="s">
        <v>2448</v>
      </c>
      <c r="C174" s="1869" t="s">
        <v>2449</v>
      </c>
      <c r="D174" s="1870" t="n">
        <v>1000</v>
      </c>
      <c r="E174" s="1871" t="n">
        <f aca="false">D174*12</f>
        <v>12000</v>
      </c>
      <c r="F174" s="1872" t="n">
        <f aca="false">IFERROR(E174/'P&amp;L'!BJ19,0)</f>
        <v>0.00122494159394627</v>
      </c>
      <c r="G174" s="1872" t="n">
        <f aca="false">IFERROR(E174/'P&amp;L'!BN19,0)</f>
        <v>6.15392018500104E-005</v>
      </c>
    </row>
    <row r="175" customFormat="false" ht="12" hidden="false" customHeight="true" outlineLevel="0" collapsed="false">
      <c r="A175" s="1867"/>
      <c r="B175" s="1868" t="s">
        <v>2450</v>
      </c>
      <c r="C175" s="1869" t="s">
        <v>1608</v>
      </c>
      <c r="D175" s="1870" t="n">
        <v>5000</v>
      </c>
      <c r="E175" s="1871" t="n">
        <f aca="false">D175*12</f>
        <v>60000</v>
      </c>
      <c r="F175" s="1872" t="n">
        <f aca="false">IFERROR(E175/'P&amp;L'!BJ19,0)</f>
        <v>0.00612470796973134</v>
      </c>
      <c r="G175" s="1872" t="n">
        <f aca="false">IFERROR(E175/'P&amp;L'!BN19,0)</f>
        <v>0.000307696009250052</v>
      </c>
    </row>
    <row r="176" customFormat="false" ht="12" hidden="false" customHeight="true" outlineLevel="0" collapsed="false">
      <c r="A176" s="1867"/>
      <c r="B176" s="1868" t="s">
        <v>2451</v>
      </c>
      <c r="C176" s="1869" t="s">
        <v>2452</v>
      </c>
      <c r="D176" s="1870" t="n">
        <v>0</v>
      </c>
      <c r="E176" s="1871" t="n">
        <f aca="false">D176*12</f>
        <v>0</v>
      </c>
      <c r="F176" s="1872" t="n">
        <f aca="false">IFERROR(E176/'P&amp;L'!BJ19,0)</f>
        <v>0</v>
      </c>
      <c r="G176" s="1872" t="n">
        <f aca="false">IFERROR(E176/'P&amp;L'!BN19,0)</f>
        <v>0</v>
      </c>
    </row>
    <row r="177" customFormat="false" ht="14.25" hidden="false" customHeight="true" outlineLevel="0" collapsed="false">
      <c r="A177" s="1860" t="s">
        <v>2453</v>
      </c>
      <c r="B177" s="1861"/>
      <c r="C177" s="1862"/>
      <c r="D177" s="1863" t="n">
        <f aca="false">SUM(D178:D186)</f>
        <v>13000</v>
      </c>
      <c r="E177" s="1863" t="n">
        <f aca="false">SUM(E178:E186)</f>
        <v>156000</v>
      </c>
      <c r="F177" s="1864" t="n">
        <f aca="false">IFERROR(E177/'P&amp;L'!BJ19,0)</f>
        <v>0.0159242407213015</v>
      </c>
      <c r="G177" s="1864" t="n">
        <f aca="false">IFERROR(E177/'P&amp;L'!BN19,0)</f>
        <v>0.000800009624050136</v>
      </c>
    </row>
    <row r="178" customFormat="false" ht="12" hidden="false" customHeight="true" outlineLevel="0" collapsed="false">
      <c r="A178" s="1867"/>
      <c r="B178" s="1868" t="s">
        <v>2454</v>
      </c>
      <c r="C178" s="1869" t="s">
        <v>2455</v>
      </c>
      <c r="D178" s="1870" t="n">
        <v>3000</v>
      </c>
      <c r="E178" s="1871" t="n">
        <f aca="false">D178*12</f>
        <v>36000</v>
      </c>
      <c r="F178" s="1872" t="n">
        <f aca="false">IFERROR(E178/'P&amp;L'!BJ19,0)</f>
        <v>0.0036748247818388</v>
      </c>
      <c r="G178" s="1872" t="n">
        <f aca="false">IFERROR(E178/'P&amp;L'!BN19,0)</f>
        <v>0.000184617605550031</v>
      </c>
    </row>
    <row r="179" customFormat="false" ht="12" hidden="false" customHeight="true" outlineLevel="0" collapsed="false">
      <c r="A179" s="1867"/>
      <c r="B179" s="1868" t="s">
        <v>2456</v>
      </c>
      <c r="C179" s="1869" t="s">
        <v>1608</v>
      </c>
      <c r="D179" s="1870" t="n">
        <v>500</v>
      </c>
      <c r="E179" s="1871" t="n">
        <f aca="false">D179*12</f>
        <v>6000</v>
      </c>
      <c r="F179" s="1872" t="n">
        <f aca="false">IFERROR(E179/'P&amp;L'!BJ19,0)</f>
        <v>0.000612470796973134</v>
      </c>
      <c r="G179" s="1872" t="n">
        <f aca="false">IFERROR(E179/'P&amp;L'!BN19,0)</f>
        <v>3.07696009250052E-005</v>
      </c>
    </row>
    <row r="180" customFormat="false" ht="12" hidden="false" customHeight="true" outlineLevel="0" collapsed="false">
      <c r="A180" s="1867"/>
      <c r="B180" s="1868" t="s">
        <v>2457</v>
      </c>
      <c r="C180" s="1869" t="s">
        <v>2458</v>
      </c>
      <c r="D180" s="1870" t="n">
        <v>2000</v>
      </c>
      <c r="E180" s="1871" t="n">
        <f aca="false">D180*12</f>
        <v>24000</v>
      </c>
      <c r="F180" s="1872" t="n">
        <f aca="false">IFERROR(E180/'P&amp;L'!BJ19,0)</f>
        <v>0.00244988318789254</v>
      </c>
      <c r="G180" s="1872" t="n">
        <f aca="false">IFERROR(E180/'P&amp;L'!BN19,0)</f>
        <v>0.000123078403700021</v>
      </c>
    </row>
    <row r="181" customFormat="false" ht="12" hidden="false" customHeight="true" outlineLevel="0" collapsed="false">
      <c r="A181" s="1867"/>
      <c r="B181" s="1868" t="s">
        <v>2459</v>
      </c>
      <c r="C181" s="1869" t="s">
        <v>2460</v>
      </c>
      <c r="D181" s="1870" t="n">
        <v>2000</v>
      </c>
      <c r="E181" s="1871" t="n">
        <f aca="false">D181*12</f>
        <v>24000</v>
      </c>
      <c r="F181" s="1872" t="n">
        <f aca="false">IFERROR(E181/'P&amp;L'!BJ19,0)</f>
        <v>0.00244988318789254</v>
      </c>
      <c r="G181" s="1872" t="n">
        <f aca="false">IFERROR(E181/'P&amp;L'!BN19,0)</f>
        <v>0.000123078403700021</v>
      </c>
    </row>
    <row r="182" customFormat="false" ht="24.75" hidden="false" customHeight="true" outlineLevel="0" collapsed="false">
      <c r="A182" s="1867"/>
      <c r="B182" s="1868" t="s">
        <v>2461</v>
      </c>
      <c r="C182" s="1869" t="s">
        <v>1608</v>
      </c>
      <c r="D182" s="1870" t="n">
        <v>1500</v>
      </c>
      <c r="E182" s="1871" t="n">
        <f aca="false">D182*12</f>
        <v>18000</v>
      </c>
      <c r="F182" s="1872" t="n">
        <f aca="false">IFERROR(E182/'P&amp;L'!BJ19,0)</f>
        <v>0.0018374123909194</v>
      </c>
      <c r="G182" s="1872" t="n">
        <f aca="false">IFERROR(E182/'P&amp;L'!BN19,0)</f>
        <v>9.23088027750157E-005</v>
      </c>
    </row>
    <row r="183" customFormat="false" ht="12" hidden="false" customHeight="true" outlineLevel="0" collapsed="false">
      <c r="A183" s="1867"/>
      <c r="B183" s="1868" t="s">
        <v>2462</v>
      </c>
      <c r="C183" s="1869" t="s">
        <v>1608</v>
      </c>
      <c r="D183" s="1870" t="n">
        <v>500</v>
      </c>
      <c r="E183" s="1871" t="n">
        <f aca="false">D183*12</f>
        <v>6000</v>
      </c>
      <c r="F183" s="1872" t="n">
        <f aca="false">IFERROR(E183/'P&amp;L'!BJ19,0)</f>
        <v>0.000612470796973134</v>
      </c>
      <c r="G183" s="1872" t="n">
        <f aca="false">IFERROR(E183/'P&amp;L'!BN19,0)</f>
        <v>3.07696009250052E-005</v>
      </c>
    </row>
    <row r="184" customFormat="false" ht="12" hidden="false" customHeight="true" outlineLevel="0" collapsed="false">
      <c r="A184" s="1867"/>
      <c r="B184" s="1868" t="s">
        <v>2463</v>
      </c>
      <c r="C184" s="1869" t="s">
        <v>2464</v>
      </c>
      <c r="D184" s="1870" t="n">
        <v>1000</v>
      </c>
      <c r="E184" s="1871" t="n">
        <f aca="false">D184*12</f>
        <v>12000</v>
      </c>
      <c r="F184" s="1872" t="n">
        <f aca="false">IFERROR(E184/'P&amp;L'!BJ19,0)</f>
        <v>0.00122494159394627</v>
      </c>
      <c r="G184" s="1872" t="n">
        <f aca="false">IFERROR(E184/'P&amp;L'!BN19,0)</f>
        <v>6.15392018500104E-005</v>
      </c>
    </row>
    <row r="185" customFormat="false" ht="12" hidden="false" customHeight="true" outlineLevel="0" collapsed="false">
      <c r="A185" s="1867"/>
      <c r="B185" s="1868" t="s">
        <v>2465</v>
      </c>
      <c r="C185" s="1869" t="s">
        <v>2466</v>
      </c>
      <c r="D185" s="1870" t="n">
        <v>2000</v>
      </c>
      <c r="E185" s="1871" t="n">
        <f aca="false">D185*12</f>
        <v>24000</v>
      </c>
      <c r="F185" s="1872" t="n">
        <f aca="false">IFERROR(E185/'P&amp;L'!BJ19,0)</f>
        <v>0.00244988318789254</v>
      </c>
      <c r="G185" s="1872" t="n">
        <f aca="false">IFERROR(E185/'P&amp;L'!BN19,0)</f>
        <v>0.000123078403700021</v>
      </c>
    </row>
    <row r="186" customFormat="false" ht="12" hidden="false" customHeight="true" outlineLevel="0" collapsed="false">
      <c r="A186" s="1867"/>
      <c r="B186" s="1868" t="s">
        <v>2467</v>
      </c>
      <c r="C186" s="1869" t="s">
        <v>1608</v>
      </c>
      <c r="D186" s="1870" t="n">
        <v>500</v>
      </c>
      <c r="E186" s="1871" t="n">
        <f aca="false">D186*12</f>
        <v>6000</v>
      </c>
      <c r="F186" s="1872" t="n">
        <f aca="false">IFERROR(E186/'P&amp;L'!BJ19,0)</f>
        <v>0.000612470796973134</v>
      </c>
      <c r="G186" s="1872" t="n">
        <f aca="false">IFERROR(E186/'P&amp;L'!BN19,0)</f>
        <v>3.07696009250052E-005</v>
      </c>
    </row>
    <row r="187" customFormat="false" ht="14.25" hidden="false" customHeight="true" outlineLevel="0" collapsed="false">
      <c r="A187" s="1860" t="s">
        <v>2468</v>
      </c>
      <c r="B187" s="1861"/>
      <c r="C187" s="1862"/>
      <c r="D187" s="1863" t="n">
        <f aca="false">SUM(D188:D200)</f>
        <v>7100</v>
      </c>
      <c r="E187" s="1863" t="n">
        <f aca="false">SUM(E188:E200)</f>
        <v>85200</v>
      </c>
      <c r="F187" s="1864" t="n">
        <f aca="false">IFERROR(E187/'P&amp;L'!BJ19,0)</f>
        <v>0.00869708531701851</v>
      </c>
      <c r="G187" s="1864" t="n">
        <f aca="false">IFERROR(E187/'P&amp;L'!BN19,0)</f>
        <v>0.000436928333135074</v>
      </c>
    </row>
    <row r="188" customFormat="false" ht="24.75" hidden="false" customHeight="true" outlineLevel="0" collapsed="false">
      <c r="A188" s="1867"/>
      <c r="B188" s="1868" t="s">
        <v>2469</v>
      </c>
      <c r="C188" s="1869" t="s">
        <v>2470</v>
      </c>
      <c r="D188" s="1870" t="n">
        <v>1000</v>
      </c>
      <c r="E188" s="1871" t="n">
        <f aca="false">D188*12</f>
        <v>12000</v>
      </c>
      <c r="F188" s="1872" t="n">
        <f aca="false">IFERROR(E188/'P&amp;L'!BJ19,0)</f>
        <v>0.00122494159394627</v>
      </c>
      <c r="G188" s="1872" t="n">
        <f aca="false">IFERROR(E188/'P&amp;L'!BN19,0)</f>
        <v>6.15392018500104E-005</v>
      </c>
    </row>
    <row r="189" customFormat="false" ht="12" hidden="false" customHeight="true" outlineLevel="0" collapsed="false">
      <c r="A189" s="1867"/>
      <c r="B189" s="1868" t="s">
        <v>2471</v>
      </c>
      <c r="C189" s="1869" t="s">
        <v>1608</v>
      </c>
      <c r="D189" s="1870" t="n">
        <v>500</v>
      </c>
      <c r="E189" s="1871" t="n">
        <f aca="false">D189*12</f>
        <v>6000</v>
      </c>
      <c r="F189" s="1872" t="n">
        <f aca="false">IFERROR(E189/'P&amp;L'!BJ19,0)</f>
        <v>0.000612470796973134</v>
      </c>
      <c r="G189" s="1872" t="n">
        <f aca="false">IFERROR(E189/'P&amp;L'!BN19,0)</f>
        <v>3.07696009250052E-005</v>
      </c>
    </row>
    <row r="190" customFormat="false" ht="12" hidden="false" customHeight="true" outlineLevel="0" collapsed="false">
      <c r="A190" s="1867"/>
      <c r="B190" s="1868" t="s">
        <v>2472</v>
      </c>
      <c r="C190" s="1869" t="s">
        <v>1608</v>
      </c>
      <c r="D190" s="1870" t="n">
        <v>200</v>
      </c>
      <c r="E190" s="1871" t="n">
        <f aca="false">D190*12</f>
        <v>2400</v>
      </c>
      <c r="F190" s="1872" t="n">
        <f aca="false">IFERROR(E190/'P&amp;L'!BJ19,0)</f>
        <v>0.000244988318789254</v>
      </c>
      <c r="G190" s="1872" t="n">
        <f aca="false">IFERROR(E190/'P&amp;L'!BN19,0)</f>
        <v>1.23078403700021E-005</v>
      </c>
    </row>
    <row r="191" customFormat="false" ht="12" hidden="false" customHeight="true" outlineLevel="0" collapsed="false">
      <c r="A191" s="1867"/>
      <c r="B191" s="1868" t="s">
        <v>2473</v>
      </c>
      <c r="C191" s="1869" t="s">
        <v>1608</v>
      </c>
      <c r="D191" s="1870" t="n">
        <v>200</v>
      </c>
      <c r="E191" s="1871" t="n">
        <f aca="false">D191*12</f>
        <v>2400</v>
      </c>
      <c r="F191" s="1872" t="n">
        <f aca="false">IFERROR(E191/'P&amp;L'!BJ19,0)</f>
        <v>0.000244988318789254</v>
      </c>
      <c r="G191" s="1872" t="n">
        <f aca="false">IFERROR(E191/'P&amp;L'!BN19,0)</f>
        <v>1.23078403700021E-005</v>
      </c>
    </row>
    <row r="192" customFormat="false" ht="12" hidden="false" customHeight="true" outlineLevel="0" collapsed="false">
      <c r="A192" s="1867"/>
      <c r="B192" s="1868" t="s">
        <v>2474</v>
      </c>
      <c r="C192" s="1869" t="s">
        <v>2475</v>
      </c>
      <c r="D192" s="1870" t="n">
        <v>500</v>
      </c>
      <c r="E192" s="1871" t="n">
        <f aca="false">D192*12</f>
        <v>6000</v>
      </c>
      <c r="F192" s="1872" t="n">
        <f aca="false">IFERROR(E192/'P&amp;L'!BJ19,0)</f>
        <v>0.000612470796973134</v>
      </c>
      <c r="G192" s="1872" t="n">
        <f aca="false">IFERROR(E192/'P&amp;L'!BN19,0)</f>
        <v>3.07696009250052E-005</v>
      </c>
    </row>
    <row r="193" customFormat="false" ht="12" hidden="false" customHeight="true" outlineLevel="0" collapsed="false">
      <c r="A193" s="1867"/>
      <c r="B193" s="1868" t="s">
        <v>2476</v>
      </c>
      <c r="C193" s="1869" t="s">
        <v>1608</v>
      </c>
      <c r="D193" s="1870" t="n">
        <v>300</v>
      </c>
      <c r="E193" s="1871" t="n">
        <f aca="false">D193*12</f>
        <v>3600</v>
      </c>
      <c r="F193" s="1872" t="n">
        <f aca="false">IFERROR(E193/'P&amp;L'!BJ19,0)</f>
        <v>0.000367482478183881</v>
      </c>
      <c r="G193" s="1872" t="n">
        <f aca="false">IFERROR(E193/'P&amp;L'!BN19,0)</f>
        <v>1.84617605550031E-005</v>
      </c>
    </row>
    <row r="194" customFormat="false" ht="12" hidden="false" customHeight="true" outlineLevel="0" collapsed="false">
      <c r="A194" s="1867"/>
      <c r="B194" s="1868" t="s">
        <v>2477</v>
      </c>
      <c r="C194" s="1869" t="s">
        <v>1608</v>
      </c>
      <c r="D194" s="1870" t="n">
        <v>300</v>
      </c>
      <c r="E194" s="1871" t="n">
        <f aca="false">D194*12</f>
        <v>3600</v>
      </c>
      <c r="F194" s="1872" t="n">
        <f aca="false">IFERROR(E194/'P&amp;L'!BJ19,0)</f>
        <v>0.000367482478183881</v>
      </c>
      <c r="G194" s="1872" t="n">
        <f aca="false">IFERROR(E194/'P&amp;L'!BN19,0)</f>
        <v>1.84617605550031E-005</v>
      </c>
    </row>
    <row r="195" customFormat="false" ht="12" hidden="false" customHeight="true" outlineLevel="0" collapsed="false">
      <c r="A195" s="1867"/>
      <c r="B195" s="1868" t="s">
        <v>2478</v>
      </c>
      <c r="C195" s="1869" t="s">
        <v>1608</v>
      </c>
      <c r="D195" s="1870" t="n">
        <v>300</v>
      </c>
      <c r="E195" s="1871" t="n">
        <f aca="false">D195*12</f>
        <v>3600</v>
      </c>
      <c r="F195" s="1872" t="n">
        <f aca="false">IFERROR(E195/'P&amp;L'!BJ19,0)</f>
        <v>0.000367482478183881</v>
      </c>
      <c r="G195" s="1872" t="n">
        <f aca="false">IFERROR(E195/'P&amp;L'!BN19,0)</f>
        <v>1.84617605550031E-005</v>
      </c>
    </row>
    <row r="196" customFormat="false" ht="12" hidden="false" customHeight="true" outlineLevel="0" collapsed="false">
      <c r="A196" s="1867"/>
      <c r="B196" s="1868" t="s">
        <v>2479</v>
      </c>
      <c r="C196" s="1869" t="s">
        <v>2480</v>
      </c>
      <c r="D196" s="1870" t="n">
        <v>300</v>
      </c>
      <c r="E196" s="1871" t="n">
        <f aca="false">D196*12</f>
        <v>3600</v>
      </c>
      <c r="F196" s="1872" t="n">
        <f aca="false">IFERROR(E196/'P&amp;L'!BJ19,0)</f>
        <v>0.000367482478183881</v>
      </c>
      <c r="G196" s="1872" t="n">
        <f aca="false">IFERROR(E196/'P&amp;L'!BN19,0)</f>
        <v>1.84617605550031E-005</v>
      </c>
    </row>
    <row r="197" customFormat="false" ht="12" hidden="false" customHeight="true" outlineLevel="0" collapsed="false">
      <c r="A197" s="1867"/>
      <c r="B197" s="1868" t="s">
        <v>2481</v>
      </c>
      <c r="C197" s="1869" t="s">
        <v>1608</v>
      </c>
      <c r="D197" s="1870" t="n">
        <v>500</v>
      </c>
      <c r="E197" s="1871" t="n">
        <f aca="false">D197*12</f>
        <v>6000</v>
      </c>
      <c r="F197" s="1872" t="n">
        <f aca="false">IFERROR(E197/'P&amp;L'!BJ19,0)</f>
        <v>0.000612470796973134</v>
      </c>
      <c r="G197" s="1872" t="n">
        <f aca="false">IFERROR(E197/'P&amp;L'!BN19,0)</f>
        <v>3.07696009250052E-005</v>
      </c>
    </row>
    <row r="198" customFormat="false" ht="12" hidden="false" customHeight="true" outlineLevel="0" collapsed="false">
      <c r="A198" s="1867"/>
      <c r="B198" s="1868" t="s">
        <v>2482</v>
      </c>
      <c r="C198" s="1869" t="s">
        <v>2483</v>
      </c>
      <c r="D198" s="1870" t="n">
        <v>1500</v>
      </c>
      <c r="E198" s="1871" t="n">
        <f aca="false">D198*12</f>
        <v>18000</v>
      </c>
      <c r="F198" s="1872" t="n">
        <f aca="false">IFERROR(E198/'P&amp;L'!BJ19,0)</f>
        <v>0.0018374123909194</v>
      </c>
      <c r="G198" s="1872" t="n">
        <f aca="false">IFERROR(E198/'P&amp;L'!BN19,0)</f>
        <v>9.23088027750157E-005</v>
      </c>
    </row>
    <row r="199" customFormat="false" ht="12" hidden="false" customHeight="true" outlineLevel="0" collapsed="false">
      <c r="A199" s="1867"/>
      <c r="B199" s="1868" t="s">
        <v>2484</v>
      </c>
      <c r="C199" s="1869" t="s">
        <v>1608</v>
      </c>
      <c r="D199" s="1870" t="n">
        <v>1000</v>
      </c>
      <c r="E199" s="1871" t="n">
        <f aca="false">D199*12</f>
        <v>12000</v>
      </c>
      <c r="F199" s="1872" t="n">
        <f aca="false">IFERROR(E199/'P&amp;L'!BJ19,0)</f>
        <v>0.00122494159394627</v>
      </c>
      <c r="G199" s="1872" t="n">
        <f aca="false">IFERROR(E199/'P&amp;L'!BN19,0)</f>
        <v>6.15392018500104E-005</v>
      </c>
    </row>
    <row r="200" customFormat="false" ht="12" hidden="false" customHeight="true" outlineLevel="0" collapsed="false">
      <c r="A200" s="1867"/>
      <c r="B200" s="1868" t="s">
        <v>2485</v>
      </c>
      <c r="C200" s="1869" t="s">
        <v>2486</v>
      </c>
      <c r="D200" s="1870" t="n">
        <v>500</v>
      </c>
      <c r="E200" s="1871" t="n">
        <f aca="false">D200*12</f>
        <v>6000</v>
      </c>
      <c r="F200" s="1872" t="n">
        <f aca="false">IFERROR(E200/'P&amp;L'!BJ19,0)</f>
        <v>0.000612470796973134</v>
      </c>
      <c r="G200" s="1872" t="n">
        <f aca="false">IFERROR(E200/'P&amp;L'!BN19,0)</f>
        <v>3.07696009250052E-005</v>
      </c>
    </row>
    <row r="201" customFormat="false" ht="14.25" hidden="false" customHeight="true" outlineLevel="0" collapsed="false">
      <c r="A201" s="1860" t="s">
        <v>2487</v>
      </c>
      <c r="B201" s="1861"/>
      <c r="C201" s="1862"/>
      <c r="D201" s="1863" t="n">
        <f aca="false">SUM(D202:D206)</f>
        <v>1800</v>
      </c>
      <c r="E201" s="1863" t="n">
        <f aca="false">SUM(E202:E206)</f>
        <v>21600</v>
      </c>
      <c r="F201" s="1864" t="n">
        <f aca="false">IFERROR(E201/'P&amp;L'!BJ19,0)</f>
        <v>0.00220489486910328</v>
      </c>
      <c r="G201" s="1864" t="n">
        <f aca="false">IFERROR(E201/'P&amp;L'!BN19,0)</f>
        <v>0.000110770563330019</v>
      </c>
    </row>
    <row r="202" customFormat="false" ht="12" hidden="false" customHeight="true" outlineLevel="0" collapsed="false">
      <c r="A202" s="1867"/>
      <c r="B202" s="1868" t="s">
        <v>2488</v>
      </c>
      <c r="C202" s="1869" t="s">
        <v>2489</v>
      </c>
      <c r="D202" s="1870" t="n">
        <v>500</v>
      </c>
      <c r="E202" s="1871" t="n">
        <f aca="false">D202*12</f>
        <v>6000</v>
      </c>
      <c r="F202" s="1872" t="n">
        <f aca="false">IFERROR(E202/'P&amp;L'!BJ19,0)</f>
        <v>0.000612470796973134</v>
      </c>
      <c r="G202" s="1872" t="n">
        <f aca="false">IFERROR(E202/'P&amp;L'!BN19,0)</f>
        <v>3.07696009250052E-005</v>
      </c>
    </row>
    <row r="203" customFormat="false" ht="12" hidden="false" customHeight="true" outlineLevel="0" collapsed="false">
      <c r="A203" s="1867"/>
      <c r="B203" s="1868" t="s">
        <v>2490</v>
      </c>
      <c r="C203" s="1869" t="s">
        <v>2491</v>
      </c>
      <c r="D203" s="1870" t="n">
        <v>500</v>
      </c>
      <c r="E203" s="1871" t="n">
        <f aca="false">D203*12</f>
        <v>6000</v>
      </c>
      <c r="F203" s="1872" t="n">
        <f aca="false">IFERROR(E203/'P&amp;L'!BJ19,0)</f>
        <v>0.000612470796973134</v>
      </c>
      <c r="G203" s="1872" t="n">
        <f aca="false">IFERROR(E203/'P&amp;L'!BN19,0)</f>
        <v>3.07696009250052E-005</v>
      </c>
    </row>
    <row r="204" customFormat="false" ht="12" hidden="false" customHeight="true" outlineLevel="0" collapsed="false">
      <c r="A204" s="1867"/>
      <c r="B204" s="1868" t="s">
        <v>2492</v>
      </c>
      <c r="C204" s="1869" t="s">
        <v>2493</v>
      </c>
      <c r="D204" s="1870" t="n">
        <v>200</v>
      </c>
      <c r="E204" s="1871" t="n">
        <f aca="false">D204*12</f>
        <v>2400</v>
      </c>
      <c r="F204" s="1872" t="n">
        <f aca="false">IFERROR(E204/'P&amp;L'!BJ19,0)</f>
        <v>0.000244988318789254</v>
      </c>
      <c r="G204" s="1872" t="n">
        <f aca="false">IFERROR(E204/'P&amp;L'!BN19,0)</f>
        <v>1.23078403700021E-005</v>
      </c>
    </row>
    <row r="205" customFormat="false" ht="12" hidden="false" customHeight="true" outlineLevel="0" collapsed="false">
      <c r="A205" s="1867"/>
      <c r="B205" s="1868" t="s">
        <v>2494</v>
      </c>
      <c r="C205" s="1869" t="s">
        <v>2495</v>
      </c>
      <c r="D205" s="1870" t="n">
        <v>300</v>
      </c>
      <c r="E205" s="1871" t="n">
        <f aca="false">D205*12</f>
        <v>3600</v>
      </c>
      <c r="F205" s="1872" t="n">
        <f aca="false">IFERROR(E205/'P&amp;L'!BJ19,0)</f>
        <v>0.000367482478183881</v>
      </c>
      <c r="G205" s="1872" t="n">
        <f aca="false">IFERROR(E205/'P&amp;L'!BN19,0)</f>
        <v>1.84617605550031E-005</v>
      </c>
    </row>
    <row r="206" customFormat="false" ht="12" hidden="false" customHeight="true" outlineLevel="0" collapsed="false">
      <c r="A206" s="1867"/>
      <c r="B206" s="1868" t="s">
        <v>2496</v>
      </c>
      <c r="C206" s="1869" t="s">
        <v>2497</v>
      </c>
      <c r="D206" s="1870" t="n">
        <v>300</v>
      </c>
      <c r="E206" s="1871" t="n">
        <f aca="false">D206*12</f>
        <v>3600</v>
      </c>
      <c r="F206" s="1872" t="n">
        <f aca="false">IFERROR(E206/'P&amp;L'!BJ19,0)</f>
        <v>0.000367482478183881</v>
      </c>
      <c r="G206" s="1872" t="n">
        <f aca="false">IFERROR(E206/'P&amp;L'!BN19,0)</f>
        <v>1.84617605550031E-005</v>
      </c>
    </row>
    <row r="208" customFormat="false" ht="15" hidden="false" customHeight="true" outlineLevel="0" collapsed="false">
      <c r="A208" s="1873" t="s">
        <v>2498</v>
      </c>
      <c r="B208" s="1873"/>
      <c r="C208" s="1873"/>
      <c r="D208" s="1874" t="n">
        <f aca="false">D6+D27+D39+D61+D75+D95+D106+D119+D135+D150+D159+D177+D187+D201</f>
        <v>479700</v>
      </c>
      <c r="E208" s="1874" t="n">
        <f aca="false">E6+E27+E39+E61+E75+E95+E106+E119+E135+E150+E159+E177+E187+E201</f>
        <v>5756400</v>
      </c>
      <c r="F208" s="1875" t="n">
        <f aca="false">IFERROR(E208/'P&amp;L'!BJ19,0)</f>
        <v>0.587604482616025</v>
      </c>
      <c r="G208" s="1875" t="n">
        <f aca="false">IFERROR(E208/'P&amp;L'!BN19,0)</f>
        <v>0.02952035512745</v>
      </c>
    </row>
  </sheetData>
  <mergeCells count="1">
    <mergeCell ref="B1:C1"/>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9900"/>
    <pageSetUpPr fitToPage="true"/>
  </sheetPr>
  <dimension ref="A1:HS76"/>
  <sheetViews>
    <sheetView showFormulas="false" showGridLines="true" showRowColHeaders="true" showZeros="true" rightToLeft="false" tabSelected="false" showOutlineSymbols="true" defaultGridColor="true" view="normal" topLeftCell="GM1" colorId="64" zoomScale="115" zoomScaleNormal="115" zoomScalePageLayoutView="100" workbookViewId="0">
      <selection pane="topLeft" activeCell="HN49" activeCellId="0" sqref="HN49"/>
    </sheetView>
  </sheetViews>
  <sheetFormatPr defaultColWidth="9.18359375" defaultRowHeight="10.5" customHeight="true" zeroHeight="false" outlineLevelRow="0" outlineLevelCol="0"/>
  <cols>
    <col collapsed="false" customWidth="true" hidden="false" outlineLevel="0" max="1" min="1" style="1520" width="4.45"/>
    <col collapsed="false" customWidth="true" hidden="false" outlineLevel="0" max="2" min="2" style="1134" width="10.27"/>
    <col collapsed="false" customWidth="true" hidden="false" outlineLevel="0" max="14" min="3" style="1876" width="6.54"/>
    <col collapsed="false" customWidth="true" hidden="false" outlineLevel="0" max="15" min="15" style="1134" width="4.45"/>
    <col collapsed="false" customWidth="true" hidden="false" outlineLevel="0" max="16" min="16" style="1134" width="10.27"/>
    <col collapsed="false" customWidth="true" hidden="false" outlineLevel="0" max="28" min="17" style="1876" width="6.54"/>
    <col collapsed="false" customWidth="true" hidden="false" outlineLevel="0" max="29" min="29" style="1134" width="4.45"/>
    <col collapsed="false" customWidth="true" hidden="false" outlineLevel="0" max="30" min="30" style="1134" width="10.27"/>
    <col collapsed="false" customWidth="true" hidden="false" outlineLevel="0" max="42" min="31" style="1876" width="7.54"/>
    <col collapsed="false" customWidth="true" hidden="false" outlineLevel="0" max="43" min="43" style="1134" width="4.73"/>
    <col collapsed="false" customWidth="true" hidden="false" outlineLevel="0" max="44" min="44" style="1134" width="10.27"/>
    <col collapsed="false" customWidth="true" hidden="false" outlineLevel="0" max="56" min="45" style="1876" width="7.54"/>
    <col collapsed="false" customWidth="false" hidden="false" outlineLevel="0" max="57" min="57" style="1134" width="9.18"/>
    <col collapsed="false" customWidth="true" hidden="false" outlineLevel="0" max="58" min="58" style="1134" width="4.18"/>
    <col collapsed="false" customWidth="true" hidden="false" outlineLevel="0" max="59" min="59" style="1877" width="15.45"/>
    <col collapsed="false" customWidth="true" hidden="false" outlineLevel="0" max="71" min="60" style="1877" width="9.27"/>
    <col collapsed="false" customWidth="true" hidden="false" outlineLevel="0" max="72" min="72" style="1134" width="4.45"/>
    <col collapsed="false" customWidth="true" hidden="false" outlineLevel="0" max="73" min="73" style="1877" width="15.45"/>
    <col collapsed="false" customWidth="true" hidden="false" outlineLevel="0" max="85" min="74" style="1877" width="9.27"/>
    <col collapsed="false" customWidth="true" hidden="false" outlineLevel="0" max="86" min="86" style="1134" width="4.54"/>
    <col collapsed="false" customWidth="true" hidden="false" outlineLevel="0" max="87" min="87" style="1877" width="15.45"/>
    <col collapsed="false" customWidth="true" hidden="false" outlineLevel="0" max="99" min="88" style="1877" width="9.27"/>
    <col collapsed="false" customWidth="true" hidden="false" outlineLevel="0" max="100" min="100" style="1134" width="4.45"/>
    <col collapsed="false" customWidth="true" hidden="false" outlineLevel="0" max="101" min="101" style="1877" width="15.45"/>
    <col collapsed="false" customWidth="true" hidden="false" outlineLevel="0" max="113" min="102" style="1877" width="8.36"/>
    <col collapsed="false" customWidth="false" hidden="false" outlineLevel="0" max="114" min="114" style="1134" width="9.18"/>
    <col collapsed="false" customWidth="true" hidden="false" outlineLevel="0" max="115" min="115" style="1134" width="4.45"/>
    <col collapsed="false" customWidth="true" hidden="false" outlineLevel="0" max="116" min="116" style="1134" width="15.82"/>
    <col collapsed="false" customWidth="true" hidden="false" outlineLevel="0" max="128" min="117" style="1134" width="6"/>
    <col collapsed="false" customWidth="true" hidden="false" outlineLevel="0" max="129" min="129" style="1134" width="4.45"/>
    <col collapsed="false" customWidth="true" hidden="false" outlineLevel="0" max="130" min="130" style="1876" width="15.18"/>
    <col collapsed="false" customWidth="true" hidden="false" outlineLevel="0" max="142" min="131" style="1134" width="6"/>
    <col collapsed="false" customWidth="true" hidden="false" outlineLevel="0" max="143" min="143" style="1134" width="4.45"/>
    <col collapsed="false" customWidth="true" hidden="false" outlineLevel="0" max="144" min="144" style="1876" width="15.82"/>
    <col collapsed="false" customWidth="true" hidden="false" outlineLevel="0" max="156" min="145" style="1876" width="6"/>
    <col collapsed="false" customWidth="true" hidden="false" outlineLevel="0" max="157" min="157" style="1134" width="4.45"/>
    <col collapsed="false" customWidth="true" hidden="false" outlineLevel="0" max="158" min="158" style="1876" width="15.82"/>
    <col collapsed="false" customWidth="true" hidden="false" outlineLevel="0" max="170" min="159" style="1134" width="6.54"/>
    <col collapsed="false" customWidth="false" hidden="false" outlineLevel="0" max="171" min="171" style="1134" width="9.18"/>
    <col collapsed="false" customWidth="true" hidden="false" outlineLevel="0" max="172" min="172" style="1134" width="5.18"/>
    <col collapsed="false" customWidth="true" hidden="false" outlineLevel="0" max="173" min="173" style="1134" width="17.45"/>
    <col collapsed="false" customWidth="true" hidden="false" outlineLevel="0" max="181" min="174" style="1878" width="8.09"/>
    <col collapsed="false" customWidth="true" hidden="false" outlineLevel="0" max="185" min="182" style="1878" width="7.63"/>
    <col collapsed="false" customWidth="true" hidden="false" outlineLevel="0" max="186" min="186" style="1134" width="4.45"/>
    <col collapsed="false" customWidth="true" hidden="false" outlineLevel="0" max="187" min="187" style="1134" width="17.45"/>
    <col collapsed="false" customWidth="true" hidden="false" outlineLevel="0" max="199" min="188" style="1878" width="8.36"/>
    <col collapsed="false" customWidth="true" hidden="false" outlineLevel="0" max="200" min="200" style="1134" width="4.45"/>
    <col collapsed="false" customWidth="true" hidden="false" outlineLevel="0" max="201" min="201" style="1879" width="17.45"/>
    <col collapsed="false" customWidth="true" hidden="false" outlineLevel="0" max="211" min="202" style="1878" width="8.36"/>
    <col collapsed="false" customWidth="true" hidden="false" outlineLevel="0" max="213" min="212" style="1878" width="9.09"/>
    <col collapsed="false" customWidth="true" hidden="false" outlineLevel="0" max="214" min="214" style="1134" width="4.45"/>
    <col collapsed="false" customWidth="true" hidden="false" outlineLevel="0" max="215" min="215" style="1134" width="17.45"/>
    <col collapsed="false" customWidth="true" hidden="false" outlineLevel="0" max="227" min="216" style="1876" width="9.09"/>
    <col collapsed="false" customWidth="false" hidden="false" outlineLevel="0" max="16384" min="228" style="1134" width="9.18"/>
  </cols>
  <sheetData>
    <row r="1" customFormat="false" ht="10.5" hidden="false" customHeight="true" outlineLevel="0" collapsed="false">
      <c r="A1" s="1641" t="s">
        <v>2499</v>
      </c>
      <c r="B1" s="1155"/>
      <c r="C1" s="1880" t="str">
        <f aca="false">Personnel!P2</f>
        <v>Month 13</v>
      </c>
      <c r="D1" s="1880" t="str">
        <f aca="false">Personnel!Q2</f>
        <v>Month 14</v>
      </c>
      <c r="E1" s="1880" t="str">
        <f aca="false">Personnel!R2</f>
        <v>Month 15</v>
      </c>
      <c r="F1" s="1880" t="str">
        <f aca="false">Personnel!S2</f>
        <v>Month 16</v>
      </c>
      <c r="G1" s="1880" t="str">
        <f aca="false">Personnel!T2</f>
        <v>Month 17</v>
      </c>
      <c r="H1" s="1880" t="str">
        <f aca="false">Personnel!U2</f>
        <v>Month 18</v>
      </c>
      <c r="I1" s="1880" t="str">
        <f aca="false">Personnel!V2</f>
        <v>Month 19</v>
      </c>
      <c r="J1" s="1880" t="str">
        <f aca="false">Personnel!W2</f>
        <v>Month 20</v>
      </c>
      <c r="K1" s="1880" t="str">
        <f aca="false">Personnel!X2</f>
        <v>Month 21</v>
      </c>
      <c r="L1" s="1880" t="str">
        <f aca="false">Personnel!Y2</f>
        <v>Month 22</v>
      </c>
      <c r="M1" s="1880" t="str">
        <f aca="false">Personnel!Z2</f>
        <v>Month 23</v>
      </c>
      <c r="N1" s="1881" t="str">
        <f aca="false">Personnel!AA2</f>
        <v>Month 24</v>
      </c>
      <c r="O1" s="1882" t="s">
        <v>2500</v>
      </c>
      <c r="P1" s="1147"/>
      <c r="Q1" s="1880" t="str">
        <f aca="false">Personnel!AB2</f>
        <v>Month 25</v>
      </c>
      <c r="R1" s="1880" t="str">
        <f aca="false">Personnel!AC2</f>
        <v>Month 26</v>
      </c>
      <c r="S1" s="1880" t="str">
        <f aca="false">Personnel!AD2</f>
        <v>Month 27</v>
      </c>
      <c r="T1" s="1880" t="str">
        <f aca="false">Personnel!AE2</f>
        <v>Month 28</v>
      </c>
      <c r="U1" s="1880" t="str">
        <f aca="false">Personnel!AF2</f>
        <v>Month 29</v>
      </c>
      <c r="V1" s="1880" t="str">
        <f aca="false">Personnel!AG2</f>
        <v>Month 30</v>
      </c>
      <c r="W1" s="1880" t="str">
        <f aca="false">Personnel!AH2</f>
        <v>Month 31</v>
      </c>
      <c r="X1" s="1880" t="str">
        <f aca="false">Personnel!AI2</f>
        <v>Month 32</v>
      </c>
      <c r="Y1" s="1880" t="str">
        <f aca="false">Personnel!AJ2</f>
        <v>Month 33</v>
      </c>
      <c r="Z1" s="1880" t="str">
        <f aca="false">Personnel!AK2</f>
        <v>Month 34</v>
      </c>
      <c r="AA1" s="1880" t="str">
        <f aca="false">Personnel!AL2</f>
        <v>Month 35</v>
      </c>
      <c r="AB1" s="1880" t="str">
        <f aca="false">Personnel!AM2</f>
        <v>Month 36</v>
      </c>
      <c r="AC1" s="1882" t="s">
        <v>2501</v>
      </c>
      <c r="AD1" s="1147"/>
      <c r="AE1" s="1880" t="str">
        <f aca="false">Personnel!AN2</f>
        <v>Month 37</v>
      </c>
      <c r="AF1" s="1880" t="str">
        <f aca="false">Personnel!AO2</f>
        <v>Month 38</v>
      </c>
      <c r="AG1" s="1880" t="str">
        <f aca="false">Personnel!AP2</f>
        <v>Month 39</v>
      </c>
      <c r="AH1" s="1880" t="str">
        <f aca="false">Personnel!AQ2</f>
        <v>Month 40</v>
      </c>
      <c r="AI1" s="1880" t="str">
        <f aca="false">Personnel!AR2</f>
        <v>Month 41</v>
      </c>
      <c r="AJ1" s="1880" t="str">
        <f aca="false">Personnel!AS2</f>
        <v>Month 42</v>
      </c>
      <c r="AK1" s="1880" t="str">
        <f aca="false">Personnel!AT2</f>
        <v>Month 43</v>
      </c>
      <c r="AL1" s="1880" t="str">
        <f aca="false">Personnel!AU2</f>
        <v>Month 44</v>
      </c>
      <c r="AM1" s="1880" t="str">
        <f aca="false">Personnel!AV2</f>
        <v>Month 45</v>
      </c>
      <c r="AN1" s="1880" t="str">
        <f aca="false">Personnel!AW2</f>
        <v>Month 46</v>
      </c>
      <c r="AO1" s="1880" t="str">
        <f aca="false">Personnel!AX2</f>
        <v>Month 47</v>
      </c>
      <c r="AP1" s="1880" t="str">
        <f aca="false">Personnel!AY2</f>
        <v>Month 48</v>
      </c>
      <c r="AQ1" s="1882" t="s">
        <v>2502</v>
      </c>
      <c r="AR1" s="1147"/>
      <c r="AS1" s="1883" t="str">
        <f aca="false">Personnel!AZ2</f>
        <v>Month 49</v>
      </c>
      <c r="AT1" s="1883" t="str">
        <f aca="false">Personnel!BA2</f>
        <v>Month 50</v>
      </c>
      <c r="AU1" s="1883" t="str">
        <f aca="false">Personnel!BB2</f>
        <v>Month 51</v>
      </c>
      <c r="AV1" s="1883" t="str">
        <f aca="false">Personnel!BC2</f>
        <v>Month 52</v>
      </c>
      <c r="AW1" s="1883" t="str">
        <f aca="false">Personnel!BD2</f>
        <v>Month 53</v>
      </c>
      <c r="AX1" s="1883" t="str">
        <f aca="false">Personnel!BE2</f>
        <v>Month 54</v>
      </c>
      <c r="AY1" s="1883" t="str">
        <f aca="false">Personnel!BF2</f>
        <v>Month 55</v>
      </c>
      <c r="AZ1" s="1883" t="str">
        <f aca="false">Personnel!BG2</f>
        <v>Month 56</v>
      </c>
      <c r="BA1" s="1883" t="str">
        <f aca="false">Personnel!BH2</f>
        <v>Month 57</v>
      </c>
      <c r="BB1" s="1883" t="str">
        <f aca="false">Personnel!BI2</f>
        <v>Month 58</v>
      </c>
      <c r="BC1" s="1883" t="str">
        <f aca="false">Personnel!BJ2</f>
        <v>Month 59</v>
      </c>
      <c r="BD1" s="1884" t="str">
        <f aca="false">Personnel!BK2</f>
        <v>Month 60</v>
      </c>
      <c r="BE1" s="1466"/>
      <c r="BF1" s="1885" t="s">
        <v>2503</v>
      </c>
      <c r="BG1" s="1886" t="str">
        <f aca="false">Revenue!A88</f>
        <v>Revenue DI Sell Price </v>
      </c>
      <c r="BH1" s="1887" t="str">
        <f aca="false">Revenue!N88</f>
        <v>Month 13</v>
      </c>
      <c r="BI1" s="1887" t="str">
        <f aca="false">Revenue!O88</f>
        <v>Month 14</v>
      </c>
      <c r="BJ1" s="1887" t="str">
        <f aca="false">Revenue!P88</f>
        <v>Month 15</v>
      </c>
      <c r="BK1" s="1887" t="str">
        <f aca="false">Revenue!Q88</f>
        <v>Month 16</v>
      </c>
      <c r="BL1" s="1887" t="str">
        <f aca="false">Revenue!R88</f>
        <v>Month 17</v>
      </c>
      <c r="BM1" s="1887" t="str">
        <f aca="false">Revenue!S88</f>
        <v>Month 18</v>
      </c>
      <c r="BN1" s="1887" t="str">
        <f aca="false">Revenue!T88</f>
        <v>Month 19</v>
      </c>
      <c r="BO1" s="1887" t="str">
        <f aca="false">Revenue!U88</f>
        <v>Month 20</v>
      </c>
      <c r="BP1" s="1887" t="str">
        <f aca="false">Revenue!V88</f>
        <v>Month 21</v>
      </c>
      <c r="BQ1" s="1887" t="str">
        <f aca="false">Revenue!W88</f>
        <v>Month 22</v>
      </c>
      <c r="BR1" s="1887" t="str">
        <f aca="false">Revenue!X88</f>
        <v>Month 23</v>
      </c>
      <c r="BS1" s="1886" t="str">
        <f aca="false">Revenue!Y88</f>
        <v>Month 24</v>
      </c>
      <c r="BT1" s="1888" t="s">
        <v>2504</v>
      </c>
      <c r="BU1" s="1889" t="str">
        <f aca="false">Revenue!A88</f>
        <v>Revenue DI Sell Price </v>
      </c>
      <c r="BV1" s="1889" t="str">
        <f aca="false">Revenue!Z56</f>
        <v>Month 25</v>
      </c>
      <c r="BW1" s="1889" t="str">
        <f aca="false">Revenue!AA56</f>
        <v>Month 26</v>
      </c>
      <c r="BX1" s="1890" t="str">
        <f aca="false">Revenue!AB56</f>
        <v>Month 27</v>
      </c>
      <c r="BY1" s="1889" t="str">
        <f aca="false">Revenue!AC56</f>
        <v>Month 28</v>
      </c>
      <c r="BZ1" s="1889" t="str">
        <f aca="false">Revenue!AD56</f>
        <v>Month 29</v>
      </c>
      <c r="CA1" s="1889" t="str">
        <f aca="false">Revenue!AE56</f>
        <v>Month 30</v>
      </c>
      <c r="CB1" s="1889" t="str">
        <f aca="false">Revenue!AF56</f>
        <v>Month 31</v>
      </c>
      <c r="CC1" s="1889" t="str">
        <f aca="false">Revenue!AG56</f>
        <v>Month 32</v>
      </c>
      <c r="CD1" s="1889" t="str">
        <f aca="false">Revenue!AH56</f>
        <v>Month 33</v>
      </c>
      <c r="CE1" s="1889" t="str">
        <f aca="false">Revenue!AI56</f>
        <v>Month 34</v>
      </c>
      <c r="CF1" s="1889" t="str">
        <f aca="false">Revenue!AJ56</f>
        <v>Month 35</v>
      </c>
      <c r="CG1" s="1889" t="str">
        <f aca="false">Revenue!AK56</f>
        <v>Month 36</v>
      </c>
      <c r="CH1" s="1891" t="s">
        <v>2505</v>
      </c>
      <c r="CI1" s="1890" t="str">
        <f aca="false">BU1</f>
        <v>Revenue DI Sell Price </v>
      </c>
      <c r="CJ1" s="1890" t="str">
        <f aca="false">Revenue!AL56</f>
        <v>Month 37</v>
      </c>
      <c r="CK1" s="1890" t="str">
        <f aca="false">Revenue!AM56</f>
        <v>Month 38</v>
      </c>
      <c r="CL1" s="1890" t="str">
        <f aca="false">Revenue!AN56</f>
        <v>Month 39</v>
      </c>
      <c r="CM1" s="1890" t="str">
        <f aca="false">Revenue!AO56</f>
        <v>Month 40</v>
      </c>
      <c r="CN1" s="1890" t="str">
        <f aca="false">Revenue!AP56</f>
        <v>Month 41</v>
      </c>
      <c r="CO1" s="1890" t="str">
        <f aca="false">Revenue!AQ56</f>
        <v>Month 42</v>
      </c>
      <c r="CP1" s="1890" t="str">
        <f aca="false">Revenue!AR56</f>
        <v>Month 43</v>
      </c>
      <c r="CQ1" s="1890" t="str">
        <f aca="false">Revenue!AS56</f>
        <v>Month 44</v>
      </c>
      <c r="CR1" s="1890" t="str">
        <f aca="false">Revenue!AT56</f>
        <v>Month 45</v>
      </c>
      <c r="CS1" s="1890" t="str">
        <f aca="false">Revenue!AU56</f>
        <v>Month 46</v>
      </c>
      <c r="CT1" s="1890" t="str">
        <f aca="false">Revenue!AV56</f>
        <v>Month 47</v>
      </c>
      <c r="CU1" s="1890" t="str">
        <f aca="false">Revenue!AW56</f>
        <v>Month 48</v>
      </c>
      <c r="CV1" s="1888" t="s">
        <v>2506</v>
      </c>
      <c r="CW1" s="1890" t="str">
        <f aca="false">CI1</f>
        <v>Revenue DI Sell Price </v>
      </c>
      <c r="CX1" s="1889" t="str">
        <f aca="false">Revenue!AX56</f>
        <v>Month 49</v>
      </c>
      <c r="CY1" s="1889" t="str">
        <f aca="false">Revenue!AY56</f>
        <v>Month 50</v>
      </c>
      <c r="CZ1" s="1889" t="str">
        <f aca="false">Revenue!AZ56</f>
        <v>Month 51</v>
      </c>
      <c r="DA1" s="1889" t="str">
        <f aca="false">Revenue!BA56</f>
        <v>Month 52</v>
      </c>
      <c r="DB1" s="1889" t="str">
        <f aca="false">Revenue!BB56</f>
        <v>Month 53</v>
      </c>
      <c r="DC1" s="1889" t="str">
        <f aca="false">Revenue!BC56</f>
        <v>Month 54</v>
      </c>
      <c r="DD1" s="1889" t="str">
        <f aca="false">Revenue!BD56</f>
        <v>Month 55</v>
      </c>
      <c r="DE1" s="1889" t="str">
        <f aca="false">Revenue!BE56</f>
        <v>Month 56</v>
      </c>
      <c r="DF1" s="1889" t="str">
        <f aca="false">Revenue!BF56</f>
        <v>Month 57</v>
      </c>
      <c r="DG1" s="1889" t="str">
        <f aca="false">Revenue!BG56</f>
        <v>Month 58</v>
      </c>
      <c r="DH1" s="1889" t="str">
        <f aca="false">Revenue!BH56</f>
        <v>Month 59</v>
      </c>
      <c r="DI1" s="1889" t="str">
        <f aca="false">Revenue!BI56</f>
        <v>Month 60</v>
      </c>
      <c r="DJ1" s="1466"/>
      <c r="DK1" s="1163" t="s">
        <v>2507</v>
      </c>
      <c r="DL1" s="1147"/>
      <c r="DM1" s="1892" t="str">
        <f aca="false">Revenue!N56</f>
        <v>Month 13</v>
      </c>
      <c r="DN1" s="1892" t="str">
        <f aca="false">Revenue!O56</f>
        <v>Month 14</v>
      </c>
      <c r="DO1" s="1892" t="str">
        <f aca="false">Revenue!P56</f>
        <v>Month 15</v>
      </c>
      <c r="DP1" s="1892" t="str">
        <f aca="false">Revenue!Q56</f>
        <v>Month 16</v>
      </c>
      <c r="DQ1" s="1892" t="str">
        <f aca="false">Revenue!R56</f>
        <v>Month 17</v>
      </c>
      <c r="DR1" s="1892" t="str">
        <f aca="false">Revenue!S56</f>
        <v>Month 18</v>
      </c>
      <c r="DS1" s="1892" t="str">
        <f aca="false">Revenue!T56</f>
        <v>Month 19</v>
      </c>
      <c r="DT1" s="1892" t="str">
        <f aca="false">Revenue!U56</f>
        <v>Month 20</v>
      </c>
      <c r="DU1" s="1892" t="str">
        <f aca="false">Revenue!V56</f>
        <v>Month 21</v>
      </c>
      <c r="DV1" s="1892" t="str">
        <f aca="false">Revenue!W56</f>
        <v>Month 22</v>
      </c>
      <c r="DW1" s="1892" t="str">
        <f aca="false">Revenue!X56</f>
        <v>Month 23</v>
      </c>
      <c r="DX1" s="1892" t="str">
        <f aca="false">Revenue!Y56</f>
        <v>Month 24</v>
      </c>
      <c r="DY1" s="1893" t="s">
        <v>2508</v>
      </c>
      <c r="DZ1" s="1883"/>
      <c r="EA1" s="1892" t="str">
        <f aca="false">Revenue!Z56</f>
        <v>Month 25</v>
      </c>
      <c r="EB1" s="1892" t="str">
        <f aca="false">Revenue!AA56</f>
        <v>Month 26</v>
      </c>
      <c r="EC1" s="1892" t="str">
        <f aca="false">Revenue!AB56</f>
        <v>Month 27</v>
      </c>
      <c r="ED1" s="1892" t="str">
        <f aca="false">Revenue!AC56</f>
        <v>Month 28</v>
      </c>
      <c r="EE1" s="1892" t="str">
        <f aca="false">Revenue!AD56</f>
        <v>Month 29</v>
      </c>
      <c r="EF1" s="1892" t="str">
        <f aca="false">Revenue!AE56</f>
        <v>Month 30</v>
      </c>
      <c r="EG1" s="1892" t="str">
        <f aca="false">Revenue!AF56</f>
        <v>Month 31</v>
      </c>
      <c r="EH1" s="1892" t="str">
        <f aca="false">Revenue!AG56</f>
        <v>Month 32</v>
      </c>
      <c r="EI1" s="1892" t="str">
        <f aca="false">Revenue!AH56</f>
        <v>Month 33</v>
      </c>
      <c r="EJ1" s="1892" t="str">
        <f aca="false">Revenue!AI56</f>
        <v>Month 34</v>
      </c>
      <c r="EK1" s="1892" t="str">
        <f aca="false">Revenue!AJ56</f>
        <v>Month 35</v>
      </c>
      <c r="EL1" s="1894" t="str">
        <f aca="false">Revenue!AK56</f>
        <v>Month 36</v>
      </c>
      <c r="EM1" s="1893" t="s">
        <v>2509</v>
      </c>
      <c r="EN1" s="1883"/>
      <c r="EO1" s="1147" t="str">
        <f aca="false">Revenue!AL56</f>
        <v>Month 37</v>
      </c>
      <c r="EP1" s="1147" t="str">
        <f aca="false">Revenue!AM56</f>
        <v>Month 38</v>
      </c>
      <c r="EQ1" s="1147" t="str">
        <f aca="false">Revenue!AN56</f>
        <v>Month 39</v>
      </c>
      <c r="ER1" s="1147" t="str">
        <f aca="false">Revenue!AO56</f>
        <v>Month 40</v>
      </c>
      <c r="ES1" s="1147" t="str">
        <f aca="false">Revenue!AP56</f>
        <v>Month 41</v>
      </c>
      <c r="ET1" s="1147" t="str">
        <f aca="false">Revenue!AQ56</f>
        <v>Month 42</v>
      </c>
      <c r="EU1" s="1147" t="str">
        <f aca="false">Revenue!AR56</f>
        <v>Month 43</v>
      </c>
      <c r="EV1" s="1147" t="str">
        <f aca="false">Revenue!AS56</f>
        <v>Month 44</v>
      </c>
      <c r="EW1" s="1147" t="str">
        <f aca="false">Revenue!AT56</f>
        <v>Month 45</v>
      </c>
      <c r="EX1" s="1147" t="str">
        <f aca="false">Revenue!AU56</f>
        <v>Month 46</v>
      </c>
      <c r="EY1" s="1147" t="str">
        <f aca="false">Revenue!AV56</f>
        <v>Month 47</v>
      </c>
      <c r="EZ1" s="1895" t="str">
        <f aca="false">Revenue!AW56</f>
        <v>Month 48</v>
      </c>
      <c r="FA1" s="1893" t="s">
        <v>2510</v>
      </c>
      <c r="FB1" s="1883"/>
      <c r="FC1" s="1892" t="str">
        <f aca="false">Revenue!AX56</f>
        <v>Month 49</v>
      </c>
      <c r="FD1" s="1892" t="str">
        <f aca="false">Revenue!AY56</f>
        <v>Month 50</v>
      </c>
      <c r="FE1" s="1892" t="str">
        <f aca="false">Revenue!AZ56</f>
        <v>Month 51</v>
      </c>
      <c r="FF1" s="1892" t="str">
        <f aca="false">Revenue!BA56</f>
        <v>Month 52</v>
      </c>
      <c r="FG1" s="1892" t="str">
        <f aca="false">Revenue!BB56</f>
        <v>Month 53</v>
      </c>
      <c r="FH1" s="1892" t="str">
        <f aca="false">Revenue!BC56</f>
        <v>Month 54</v>
      </c>
      <c r="FI1" s="1892" t="str">
        <f aca="false">Revenue!BD56</f>
        <v>Month 55</v>
      </c>
      <c r="FJ1" s="1892" t="str">
        <f aca="false">Revenue!BE56</f>
        <v>Month 56</v>
      </c>
      <c r="FK1" s="1892" t="str">
        <f aca="false">Revenue!BF56</f>
        <v>Month 57</v>
      </c>
      <c r="FL1" s="1892" t="str">
        <f aca="false">Revenue!BG56</f>
        <v>Month 58</v>
      </c>
      <c r="FM1" s="1892" t="str">
        <f aca="false">Revenue!BH56</f>
        <v>Month 59</v>
      </c>
      <c r="FN1" s="1894" t="str">
        <f aca="false">Revenue!BI56</f>
        <v>Month 60</v>
      </c>
      <c r="FO1" s="1466"/>
      <c r="FP1" s="1896" t="s">
        <v>2511</v>
      </c>
      <c r="FQ1" s="1156"/>
      <c r="FR1" s="1897" t="str">
        <f aca="false">'P&amp;L'!N27</f>
        <v>Month 13</v>
      </c>
      <c r="FS1" s="1897" t="str">
        <f aca="false">'P&amp;L'!O27</f>
        <v>Month 14</v>
      </c>
      <c r="FT1" s="1897" t="str">
        <f aca="false">'P&amp;L'!P27</f>
        <v>Month 15</v>
      </c>
      <c r="FU1" s="1897" t="str">
        <f aca="false">'P&amp;L'!Q27</f>
        <v>Month 16</v>
      </c>
      <c r="FV1" s="1897" t="str">
        <f aca="false">'P&amp;L'!R27</f>
        <v>Month 17</v>
      </c>
      <c r="FW1" s="1897" t="str">
        <f aca="false">'P&amp;L'!S27</f>
        <v>Month 18</v>
      </c>
      <c r="FX1" s="1897" t="str">
        <f aca="false">'P&amp;L'!T27</f>
        <v>Month 19</v>
      </c>
      <c r="FY1" s="1897" t="str">
        <f aca="false">'P&amp;L'!U27</f>
        <v>Month 20</v>
      </c>
      <c r="FZ1" s="1897" t="str">
        <f aca="false">'P&amp;L'!V27</f>
        <v>Month 21</v>
      </c>
      <c r="GA1" s="1897" t="str">
        <f aca="false">'P&amp;L'!W27</f>
        <v>Month 22</v>
      </c>
      <c r="GB1" s="1897" t="str">
        <f aca="false">'P&amp;L'!X27</f>
        <v>Month 23</v>
      </c>
      <c r="GC1" s="1898" t="str">
        <f aca="false">'P&amp;L'!Y27</f>
        <v>Month 24</v>
      </c>
      <c r="GD1" s="1893" t="s">
        <v>2512</v>
      </c>
      <c r="GE1" s="1156"/>
      <c r="GF1" s="1892" t="str">
        <f aca="false">'P&amp;L'!Z27</f>
        <v>Month 25</v>
      </c>
      <c r="GG1" s="1892" t="str">
        <f aca="false">'P&amp;L'!AA27</f>
        <v>Month 26</v>
      </c>
      <c r="GH1" s="1892" t="str">
        <f aca="false">'P&amp;L'!AB27</f>
        <v>Month 27</v>
      </c>
      <c r="GI1" s="1892" t="str">
        <f aca="false">'P&amp;L'!AC27</f>
        <v>Month 28</v>
      </c>
      <c r="GJ1" s="1892" t="str">
        <f aca="false">'P&amp;L'!AD27</f>
        <v>Month 29</v>
      </c>
      <c r="GK1" s="1892" t="str">
        <f aca="false">'P&amp;L'!AE27</f>
        <v>Month 30</v>
      </c>
      <c r="GL1" s="1892" t="str">
        <f aca="false">'P&amp;L'!AF27</f>
        <v>Month 31</v>
      </c>
      <c r="GM1" s="1892" t="str">
        <f aca="false">'P&amp;L'!AG27</f>
        <v>Month 32</v>
      </c>
      <c r="GN1" s="1892" t="str">
        <f aca="false">'P&amp;L'!AH27</f>
        <v>Month 33</v>
      </c>
      <c r="GO1" s="1892" t="str">
        <f aca="false">'P&amp;L'!AI27</f>
        <v>Month 34</v>
      </c>
      <c r="GP1" s="1892" t="str">
        <f aca="false">'P&amp;L'!AJ27</f>
        <v>Month 35</v>
      </c>
      <c r="GQ1" s="1894" t="str">
        <f aca="false">'P&amp;L'!AK27</f>
        <v>Month 36</v>
      </c>
      <c r="GR1" s="1893" t="s">
        <v>2513</v>
      </c>
      <c r="GS1" s="1156"/>
      <c r="GT1" s="1892" t="str">
        <f aca="false">'P&amp;L'!AL27</f>
        <v>Month 37</v>
      </c>
      <c r="GU1" s="1892" t="str">
        <f aca="false">'P&amp;L'!AM27</f>
        <v>Month 38</v>
      </c>
      <c r="GV1" s="1892" t="str">
        <f aca="false">'P&amp;L'!AN27</f>
        <v>Month 39</v>
      </c>
      <c r="GW1" s="1892" t="str">
        <f aca="false">'P&amp;L'!AO27</f>
        <v>Month 40</v>
      </c>
      <c r="GX1" s="1892" t="str">
        <f aca="false">'P&amp;L'!AP27</f>
        <v>Month 41</v>
      </c>
      <c r="GY1" s="1892" t="str">
        <f aca="false">'P&amp;L'!AQ27</f>
        <v>Month 42</v>
      </c>
      <c r="GZ1" s="1892" t="str">
        <f aca="false">'P&amp;L'!AR27</f>
        <v>Month 43</v>
      </c>
      <c r="HA1" s="1892" t="str">
        <f aca="false">'P&amp;L'!AS27</f>
        <v>Month 44</v>
      </c>
      <c r="HB1" s="1892" t="str">
        <f aca="false">'P&amp;L'!AT27</f>
        <v>Month 45</v>
      </c>
      <c r="HC1" s="1892" t="str">
        <f aca="false">'P&amp;L'!AU27</f>
        <v>Month 46</v>
      </c>
      <c r="HD1" s="1892" t="str">
        <f aca="false">'P&amp;L'!AV27</f>
        <v>Month 47</v>
      </c>
      <c r="HE1" s="1894" t="str">
        <f aca="false">'P&amp;L'!AW27</f>
        <v>Month 48</v>
      </c>
      <c r="HF1" s="1896" t="s">
        <v>2514</v>
      </c>
      <c r="HG1" s="1147"/>
      <c r="HH1" s="1892" t="str">
        <f aca="false">'P&amp;L'!AX27</f>
        <v>Month 49</v>
      </c>
      <c r="HI1" s="1892" t="str">
        <f aca="false">'P&amp;L'!AY27</f>
        <v>Month 50</v>
      </c>
      <c r="HJ1" s="1892" t="str">
        <f aca="false">'P&amp;L'!AZ27</f>
        <v>Month 51</v>
      </c>
      <c r="HK1" s="1892" t="str">
        <f aca="false">'P&amp;L'!BA27</f>
        <v>Month 52</v>
      </c>
      <c r="HL1" s="1892" t="str">
        <f aca="false">'P&amp;L'!BB27</f>
        <v>Month 53</v>
      </c>
      <c r="HM1" s="1892" t="str">
        <f aca="false">'P&amp;L'!BC27</f>
        <v>Month 54</v>
      </c>
      <c r="HN1" s="1892" t="str">
        <f aca="false">'P&amp;L'!BD27</f>
        <v>Month 55</v>
      </c>
      <c r="HO1" s="1892" t="str">
        <f aca="false">'P&amp;L'!BE27</f>
        <v>Month 56</v>
      </c>
      <c r="HP1" s="1892" t="str">
        <f aca="false">'P&amp;L'!BF27</f>
        <v>Month 57</v>
      </c>
      <c r="HQ1" s="1892" t="str">
        <f aca="false">'P&amp;L'!BG27</f>
        <v>Month 58</v>
      </c>
      <c r="HR1" s="1892" t="str">
        <f aca="false">'P&amp;L'!BH27</f>
        <v>Month 59</v>
      </c>
      <c r="HS1" s="1894" t="str">
        <f aca="false">'P&amp;L'!BI27</f>
        <v>Month 60</v>
      </c>
    </row>
    <row r="2" customFormat="false" ht="10.5" hidden="false" customHeight="true" outlineLevel="0" collapsed="false">
      <c r="A2" s="1641"/>
      <c r="B2" s="1899" t="str">
        <f aca="false">'Tables 5Y'!$R$2</f>
        <v>Personnel Count</v>
      </c>
      <c r="C2" s="1900"/>
      <c r="D2" s="1901"/>
      <c r="E2" s="1901"/>
      <c r="F2" s="1901"/>
      <c r="G2" s="1901"/>
      <c r="H2" s="1901"/>
      <c r="I2" s="1901"/>
      <c r="J2" s="1901"/>
      <c r="K2" s="1901"/>
      <c r="L2" s="1901"/>
      <c r="M2" s="1901"/>
      <c r="N2" s="1902"/>
      <c r="O2" s="1882"/>
      <c r="P2" s="1903" t="str">
        <f aca="false">'Tables 5Y'!$R$2</f>
        <v>Personnel Count</v>
      </c>
      <c r="Q2" s="1904"/>
      <c r="R2" s="1905"/>
      <c r="S2" s="1905"/>
      <c r="T2" s="1905"/>
      <c r="U2" s="1905"/>
      <c r="V2" s="1905"/>
      <c r="W2" s="1905"/>
      <c r="X2" s="1905"/>
      <c r="Y2" s="1905"/>
      <c r="Z2" s="1905"/>
      <c r="AA2" s="1905"/>
      <c r="AB2" s="1906"/>
      <c r="AC2" s="1882"/>
      <c r="AD2" s="1907" t="str">
        <f aca="false">'Tables 5Y'!$R$2</f>
        <v>Personnel Count</v>
      </c>
      <c r="AE2" s="1908"/>
      <c r="AF2" s="1909"/>
      <c r="AG2" s="1909"/>
      <c r="AH2" s="1909"/>
      <c r="AI2" s="1909"/>
      <c r="AJ2" s="1909"/>
      <c r="AK2" s="1909"/>
      <c r="AL2" s="1909"/>
      <c r="AM2" s="1909"/>
      <c r="AN2" s="1909"/>
      <c r="AO2" s="1909"/>
      <c r="AP2" s="1910"/>
      <c r="AQ2" s="1882"/>
      <c r="AR2" s="1911" t="str">
        <f aca="false">'Tables 5Y'!$R$2</f>
        <v>Personnel Count</v>
      </c>
      <c r="AS2" s="1912"/>
      <c r="AT2" s="1913"/>
      <c r="AU2" s="1913"/>
      <c r="AV2" s="1913"/>
      <c r="AW2" s="1913"/>
      <c r="AX2" s="1913"/>
      <c r="AY2" s="1913"/>
      <c r="AZ2" s="1913"/>
      <c r="BA2" s="1913"/>
      <c r="BB2" s="1913"/>
      <c r="BC2" s="1913"/>
      <c r="BD2" s="1914"/>
      <c r="BE2" s="1466"/>
      <c r="BF2" s="1885"/>
      <c r="BG2" s="1915" t="str">
        <f aca="false">Revenue!A89</f>
        <v>CS-2.5</v>
      </c>
      <c r="BH2" s="1916" t="n">
        <f aca="false">Revenue!N89</f>
        <v>28499.3303571429</v>
      </c>
      <c r="BI2" s="1916" t="n">
        <f aca="false">Revenue!O89</f>
        <v>31665.9226190476</v>
      </c>
      <c r="BJ2" s="1916" t="n">
        <f aca="false">Revenue!P89</f>
        <v>34832.5148809524</v>
      </c>
      <c r="BK2" s="1916" t="n">
        <f aca="false">Revenue!Q89</f>
        <v>37999.1071428572</v>
      </c>
      <c r="BL2" s="1916" t="n">
        <f aca="false">Revenue!R89</f>
        <v>41165.6994047619</v>
      </c>
      <c r="BM2" s="1916" t="n">
        <f aca="false">Revenue!S89</f>
        <v>44332.2916666668</v>
      </c>
      <c r="BN2" s="1916" t="n">
        <f aca="false">Revenue!T89</f>
        <v>47498.8839285715</v>
      </c>
      <c r="BO2" s="1916" t="n">
        <f aca="false">Revenue!U89</f>
        <v>50665.4761904762</v>
      </c>
      <c r="BP2" s="1916" t="n">
        <f aca="false">Revenue!V89</f>
        <v>53832.0684523809</v>
      </c>
      <c r="BQ2" s="1916" t="n">
        <f aca="false">Revenue!W89</f>
        <v>56998.6607142855</v>
      </c>
      <c r="BR2" s="1916" t="n">
        <f aca="false">Revenue!X89</f>
        <v>60165.2529761906</v>
      </c>
      <c r="BS2" s="1915" t="n">
        <f aca="false">Revenue!Y89</f>
        <v>63331.8452380953</v>
      </c>
      <c r="BT2" s="1888"/>
      <c r="BU2" s="1917" t="str">
        <f aca="false">BG2</f>
        <v>CS-2.5</v>
      </c>
      <c r="BV2" s="1917" t="n">
        <f aca="false">Revenue!Z57</f>
        <v>2604.16666666667</v>
      </c>
      <c r="BW2" s="1917" t="n">
        <f aca="false">Revenue!AA57</f>
        <v>2604.16666666667</v>
      </c>
      <c r="BX2" s="1918" t="n">
        <f aca="false">Revenue!AB57</f>
        <v>2604.16666666667</v>
      </c>
      <c r="BY2" s="1917" t="n">
        <f aca="false">Revenue!AC57</f>
        <v>2604.16666666667</v>
      </c>
      <c r="BZ2" s="1917" t="n">
        <f aca="false">Revenue!AD57</f>
        <v>2604.16666666667</v>
      </c>
      <c r="CA2" s="1917" t="n">
        <f aca="false">Revenue!AE57</f>
        <v>2604.16666666667</v>
      </c>
      <c r="CB2" s="1917" t="n">
        <f aca="false">Revenue!AF57</f>
        <v>2604.16666666667</v>
      </c>
      <c r="CC2" s="1917" t="n">
        <f aca="false">Revenue!AG57</f>
        <v>2604.16666666667</v>
      </c>
      <c r="CD2" s="1917" t="n">
        <f aca="false">Revenue!AH57</f>
        <v>2604.16666666667</v>
      </c>
      <c r="CE2" s="1917" t="n">
        <f aca="false">Revenue!AI57</f>
        <v>2604.16666666667</v>
      </c>
      <c r="CF2" s="1917" t="n">
        <f aca="false">Revenue!AJ57</f>
        <v>2604.16666666667</v>
      </c>
      <c r="CG2" s="1917" t="n">
        <f aca="false">Revenue!AK57</f>
        <v>2604.16666666667</v>
      </c>
      <c r="CH2" s="1891"/>
      <c r="CI2" s="1919" t="str">
        <f aca="false">BU2</f>
        <v>CS-2.5</v>
      </c>
      <c r="CJ2" s="1920" t="n">
        <f aca="false">Revenue!AL57</f>
        <v>2604.16666666667</v>
      </c>
      <c r="CK2" s="1920" t="n">
        <f aca="false">Revenue!AM57</f>
        <v>2604.16666666667</v>
      </c>
      <c r="CL2" s="1920" t="n">
        <f aca="false">Revenue!AN57</f>
        <v>2604.16666666667</v>
      </c>
      <c r="CM2" s="1920" t="n">
        <f aca="false">Revenue!AO57</f>
        <v>2604.16666666667</v>
      </c>
      <c r="CN2" s="1920" t="n">
        <f aca="false">Revenue!AP57</f>
        <v>2604.16666666667</v>
      </c>
      <c r="CO2" s="1920" t="n">
        <f aca="false">Revenue!AQ57</f>
        <v>2604.16666666667</v>
      </c>
      <c r="CP2" s="1920" t="n">
        <f aca="false">Revenue!AR57</f>
        <v>2604.16666666667</v>
      </c>
      <c r="CQ2" s="1920" t="n">
        <f aca="false">Revenue!AS57</f>
        <v>2604.16666666667</v>
      </c>
      <c r="CR2" s="1920" t="n">
        <f aca="false">Revenue!AT57</f>
        <v>2604.16666666667</v>
      </c>
      <c r="CS2" s="1920" t="n">
        <f aca="false">Revenue!AU57</f>
        <v>2604.16666666667</v>
      </c>
      <c r="CT2" s="1920" t="n">
        <f aca="false">Revenue!AV57</f>
        <v>2604.16666666667</v>
      </c>
      <c r="CU2" s="1920" t="n">
        <f aca="false">Revenue!AW57</f>
        <v>2604.16666666667</v>
      </c>
      <c r="CV2" s="1888"/>
      <c r="CW2" s="1921" t="str">
        <f aca="false">CI2</f>
        <v>CS-2.5</v>
      </c>
      <c r="CX2" s="1922" t="n">
        <f aca="false">Revenue!AX57</f>
        <v>2604.16666666667</v>
      </c>
      <c r="CY2" s="1922" t="n">
        <f aca="false">Revenue!AY57</f>
        <v>2604.16666666667</v>
      </c>
      <c r="CZ2" s="1922" t="n">
        <f aca="false">Revenue!AZ57</f>
        <v>2604.16666666667</v>
      </c>
      <c r="DA2" s="1922" t="n">
        <f aca="false">Revenue!BA57</f>
        <v>2604.16666666667</v>
      </c>
      <c r="DB2" s="1922" t="n">
        <f aca="false">Revenue!BB57</f>
        <v>2604.16666666667</v>
      </c>
      <c r="DC2" s="1922" t="n">
        <f aca="false">Revenue!BC57</f>
        <v>2604.16666666667</v>
      </c>
      <c r="DD2" s="1922" t="n">
        <f aca="false">Revenue!BD57</f>
        <v>2604.16666666667</v>
      </c>
      <c r="DE2" s="1922" t="n">
        <f aca="false">Revenue!BE57</f>
        <v>2604.16666666667</v>
      </c>
      <c r="DF2" s="1922" t="n">
        <f aca="false">Revenue!BF57</f>
        <v>2604.16666666667</v>
      </c>
      <c r="DG2" s="1922" t="n">
        <f aca="false">Revenue!BG57</f>
        <v>2604.16666666667</v>
      </c>
      <c r="DH2" s="1922" t="n">
        <f aca="false">Revenue!BH57</f>
        <v>2604.16666666667</v>
      </c>
      <c r="DI2" s="1922" t="n">
        <f aca="false">Revenue!BI57</f>
        <v>2604.16666666667</v>
      </c>
      <c r="DJ2" s="1466"/>
      <c r="DK2" s="1163"/>
      <c r="DL2" s="1923" t="str">
        <f aca="false">'Tables 5Y'!BM2</f>
        <v>Average DI Throughput</v>
      </c>
      <c r="DM2" s="1924"/>
      <c r="DN2" s="1925"/>
      <c r="DO2" s="1925"/>
      <c r="DP2" s="1925"/>
      <c r="DQ2" s="1925"/>
      <c r="DR2" s="1925"/>
      <c r="DS2" s="1925"/>
      <c r="DT2" s="1925"/>
      <c r="DU2" s="1925"/>
      <c r="DV2" s="1925"/>
      <c r="DW2" s="1925"/>
      <c r="DX2" s="1926"/>
      <c r="DY2" s="1893"/>
      <c r="DZ2" s="1927" t="str">
        <f aca="false">DL2</f>
        <v>Average DI Throughput</v>
      </c>
      <c r="EA2" s="1928"/>
      <c r="EB2" s="1929"/>
      <c r="EC2" s="1929"/>
      <c r="ED2" s="1929"/>
      <c r="EE2" s="1929"/>
      <c r="EF2" s="1929"/>
      <c r="EG2" s="1929"/>
      <c r="EH2" s="1929"/>
      <c r="EI2" s="1929"/>
      <c r="EJ2" s="1929"/>
      <c r="EK2" s="1929"/>
      <c r="EL2" s="1930"/>
      <c r="EM2" s="1893"/>
      <c r="EN2" s="1931" t="str">
        <f aca="false">DZ2</f>
        <v>Average DI Throughput</v>
      </c>
      <c r="EO2" s="1908"/>
      <c r="EP2" s="1909"/>
      <c r="EQ2" s="1909"/>
      <c r="ER2" s="1909"/>
      <c r="ES2" s="1909"/>
      <c r="ET2" s="1909"/>
      <c r="EU2" s="1909"/>
      <c r="EV2" s="1909"/>
      <c r="EW2" s="1909"/>
      <c r="EX2" s="1909"/>
      <c r="EY2" s="1909"/>
      <c r="EZ2" s="1910"/>
      <c r="FA2" s="1893"/>
      <c r="FB2" s="1932" t="str">
        <f aca="false">EN2</f>
        <v>Average DI Throughput</v>
      </c>
      <c r="FC2" s="1933"/>
      <c r="FD2" s="1934"/>
      <c r="FE2" s="1934"/>
      <c r="FF2" s="1934"/>
      <c r="FG2" s="1934"/>
      <c r="FH2" s="1934"/>
      <c r="FI2" s="1934"/>
      <c r="FJ2" s="1934"/>
      <c r="FK2" s="1934"/>
      <c r="FL2" s="1934"/>
      <c r="FM2" s="1934"/>
      <c r="FN2" s="1935"/>
      <c r="FO2" s="1466"/>
      <c r="FP2" s="1896"/>
      <c r="FQ2" s="1899" t="str">
        <f aca="false">'Tables 5Y'!CK2</f>
        <v>Total Revenue</v>
      </c>
      <c r="FR2" s="1900" t="n">
        <f aca="false">'P&amp;L'!N19</f>
        <v>3283123.76912143</v>
      </c>
      <c r="FS2" s="1901" t="n">
        <f aca="false">'P&amp;L'!O19</f>
        <v>3647915.29902381</v>
      </c>
      <c r="FT2" s="1901" t="n">
        <f aca="false">'P&amp;L'!P19</f>
        <v>4012706.82892619</v>
      </c>
      <c r="FU2" s="1901" t="n">
        <f aca="false">'P&amp;L'!Q19</f>
        <v>4377498.35882857</v>
      </c>
      <c r="FV2" s="1901" t="n">
        <f aca="false">'P&amp;L'!R19</f>
        <v>4742289.88873096</v>
      </c>
      <c r="FW2" s="1901" t="n">
        <f aca="false">'P&amp;L'!S19</f>
        <v>5107081.41863334</v>
      </c>
      <c r="FX2" s="1901" t="n">
        <f aca="false">'P&amp;L'!T19</f>
        <v>5471872.94853572</v>
      </c>
      <c r="FY2" s="1901" t="n">
        <f aca="false">'P&amp;L'!U19</f>
        <v>5836664.4784381</v>
      </c>
      <c r="FZ2" s="1901" t="n">
        <f aca="false">'P&amp;L'!V19</f>
        <v>6201456.00834048</v>
      </c>
      <c r="GA2" s="1901" t="n">
        <f aca="false">'P&amp;L'!W19</f>
        <v>6566247.53824285</v>
      </c>
      <c r="GB2" s="1901" t="n">
        <f aca="false">'P&amp;L'!X19</f>
        <v>6931039.06814524</v>
      </c>
      <c r="GC2" s="1902" t="n">
        <f aca="false">'P&amp;L'!Y19</f>
        <v>7295830.59804762</v>
      </c>
      <c r="GD2" s="1893"/>
      <c r="GE2" s="1903" t="str">
        <f aca="false">FQ2</f>
        <v>Total Revenue</v>
      </c>
      <c r="GF2" s="1904" t="n">
        <f aca="false">'P&amp;L'!Z19</f>
        <v>13928403.869</v>
      </c>
      <c r="GG2" s="1905" t="n">
        <f aca="false">'P&amp;L'!AA19</f>
        <v>13928403.869</v>
      </c>
      <c r="GH2" s="1905" t="n">
        <f aca="false">'P&amp;L'!AB19</f>
        <v>13928403.869</v>
      </c>
      <c r="GI2" s="1905" t="n">
        <f aca="false">'P&amp;L'!AC19</f>
        <v>13928403.869</v>
      </c>
      <c r="GJ2" s="1905" t="n">
        <f aca="false">'P&amp;L'!AD19</f>
        <v>13928403.869</v>
      </c>
      <c r="GK2" s="1905" t="n">
        <f aca="false">'P&amp;L'!AE19</f>
        <v>13928403.869</v>
      </c>
      <c r="GL2" s="1905" t="n">
        <f aca="false">'P&amp;L'!AF19</f>
        <v>13928403.869</v>
      </c>
      <c r="GM2" s="1905" t="n">
        <f aca="false">'P&amp;L'!AG19</f>
        <v>13928403.869</v>
      </c>
      <c r="GN2" s="1905" t="n">
        <f aca="false">'P&amp;L'!AH19</f>
        <v>13928403.869</v>
      </c>
      <c r="GO2" s="1905" t="n">
        <f aca="false">'P&amp;L'!AI19</f>
        <v>13928403.869</v>
      </c>
      <c r="GP2" s="1905" t="n">
        <f aca="false">'P&amp;L'!AJ19</f>
        <v>13928403.869</v>
      </c>
      <c r="GQ2" s="1906" t="n">
        <f aca="false">'P&amp;L'!AK19</f>
        <v>13928403.869</v>
      </c>
      <c r="GR2" s="1893"/>
      <c r="GS2" s="1907" t="str">
        <f aca="false">GE2</f>
        <v>Total Revenue</v>
      </c>
      <c r="GT2" s="1908" t="n">
        <f aca="false">'P&amp;L'!AL19</f>
        <v>15089104.1914167</v>
      </c>
      <c r="GU2" s="1909" t="n">
        <f aca="false">'P&amp;L'!AM19</f>
        <v>15089104.1914167</v>
      </c>
      <c r="GV2" s="1909" t="n">
        <f aca="false">'P&amp;L'!AN19</f>
        <v>15089104.1914167</v>
      </c>
      <c r="GW2" s="1909" t="n">
        <f aca="false">'P&amp;L'!AO19</f>
        <v>15089104.1914167</v>
      </c>
      <c r="GX2" s="1909" t="n">
        <f aca="false">'P&amp;L'!AP19</f>
        <v>15089104.1914167</v>
      </c>
      <c r="GY2" s="1909" t="n">
        <f aca="false">'P&amp;L'!AQ19</f>
        <v>15089104.1914167</v>
      </c>
      <c r="GZ2" s="1909" t="n">
        <f aca="false">'P&amp;L'!AR19</f>
        <v>15089104.1914167</v>
      </c>
      <c r="HA2" s="1909" t="n">
        <f aca="false">'P&amp;L'!AS19</f>
        <v>15089104.1914167</v>
      </c>
      <c r="HB2" s="1909" t="n">
        <f aca="false">'P&amp;L'!AT19</f>
        <v>15089104.1914167</v>
      </c>
      <c r="HC2" s="1909" t="n">
        <f aca="false">'P&amp;L'!AU19</f>
        <v>15089104.1914167</v>
      </c>
      <c r="HD2" s="1909" t="n">
        <f aca="false">'P&amp;L'!AV19</f>
        <v>15089104.1914167</v>
      </c>
      <c r="HE2" s="1910" t="n">
        <f aca="false">'P&amp;L'!AW19</f>
        <v>15089104.1914167</v>
      </c>
      <c r="HF2" s="1896"/>
      <c r="HG2" s="1911" t="str">
        <f aca="false">GS2</f>
        <v>Total Revenue</v>
      </c>
      <c r="HH2" s="1912" t="n">
        <f aca="false">'P&amp;L'!AX19</f>
        <v>16249804.5138333</v>
      </c>
      <c r="HI2" s="1913" t="n">
        <f aca="false">'P&amp;L'!AY19</f>
        <v>16249804.5138333</v>
      </c>
      <c r="HJ2" s="1913" t="n">
        <f aca="false">'P&amp;L'!AZ19</f>
        <v>16249804.5138333</v>
      </c>
      <c r="HK2" s="1913" t="n">
        <f aca="false">'P&amp;L'!BA19</f>
        <v>16249804.5138333</v>
      </c>
      <c r="HL2" s="1913" t="n">
        <f aca="false">'P&amp;L'!BB19</f>
        <v>16249804.5138333</v>
      </c>
      <c r="HM2" s="1913" t="n">
        <f aca="false">'P&amp;L'!BC19</f>
        <v>16249804.5138333</v>
      </c>
      <c r="HN2" s="1913" t="n">
        <f aca="false">'P&amp;L'!BD19</f>
        <v>16249804.5138333</v>
      </c>
      <c r="HO2" s="1913" t="n">
        <f aca="false">'P&amp;L'!BE19</f>
        <v>16249804.5138333</v>
      </c>
      <c r="HP2" s="1913" t="n">
        <f aca="false">'P&amp;L'!BF19</f>
        <v>16249804.5138333</v>
      </c>
      <c r="HQ2" s="1913" t="n">
        <f aca="false">'P&amp;L'!BG19</f>
        <v>16249804.5138333</v>
      </c>
      <c r="HR2" s="1913" t="n">
        <f aca="false">'P&amp;L'!BH19</f>
        <v>16249804.5138333</v>
      </c>
      <c r="HS2" s="1914" t="n">
        <f aca="false">'P&amp;L'!BI19</f>
        <v>16249804.5138333</v>
      </c>
    </row>
    <row r="3" customFormat="false" ht="10.5" hidden="false" customHeight="true" outlineLevel="0" collapsed="false">
      <c r="A3" s="1641"/>
      <c r="B3" s="1936" t="str">
        <f aca="false">Personnel!A3</f>
        <v>Trades</v>
      </c>
      <c r="C3" s="1937" t="n">
        <f aca="false">Personnel!P3</f>
        <v>30</v>
      </c>
      <c r="D3" s="1938" t="n">
        <f aca="false">Personnel!Q3</f>
        <v>30</v>
      </c>
      <c r="E3" s="1938" t="n">
        <f aca="false">Personnel!R3</f>
        <v>40</v>
      </c>
      <c r="F3" s="1938" t="n">
        <f aca="false">Personnel!S3</f>
        <v>50</v>
      </c>
      <c r="G3" s="1938" t="n">
        <f aca="false">Personnel!T3</f>
        <v>60</v>
      </c>
      <c r="H3" s="1938" t="n">
        <f aca="false">Personnel!U3</f>
        <v>70</v>
      </c>
      <c r="I3" s="1938" t="n">
        <f aca="false">Personnel!V3</f>
        <v>80</v>
      </c>
      <c r="J3" s="1938" t="n">
        <f aca="false">Personnel!W3</f>
        <v>80</v>
      </c>
      <c r="K3" s="1938" t="n">
        <f aca="false">Personnel!X3</f>
        <v>80</v>
      </c>
      <c r="L3" s="1938" t="n">
        <f aca="false">Personnel!Y3</f>
        <v>80</v>
      </c>
      <c r="M3" s="1938" t="n">
        <f aca="false">Personnel!Z3</f>
        <v>80</v>
      </c>
      <c r="N3" s="1939" t="n">
        <f aca="false">Personnel!AA3</f>
        <v>80</v>
      </c>
      <c r="O3" s="1882"/>
      <c r="P3" s="1940" t="str">
        <f aca="false">B3</f>
        <v>Trades</v>
      </c>
      <c r="Q3" s="1941" t="n">
        <f aca="false">Personnel!AB3</f>
        <v>80</v>
      </c>
      <c r="R3" s="1942" t="n">
        <f aca="false">Personnel!AC3</f>
        <v>80</v>
      </c>
      <c r="S3" s="1942" t="n">
        <f aca="false">Personnel!AD3</f>
        <v>80</v>
      </c>
      <c r="T3" s="1942" t="n">
        <f aca="false">Personnel!AE3</f>
        <v>80</v>
      </c>
      <c r="U3" s="1942" t="n">
        <f aca="false">Personnel!AF3</f>
        <v>80</v>
      </c>
      <c r="V3" s="1942" t="n">
        <f aca="false">Personnel!AG3</f>
        <v>80</v>
      </c>
      <c r="W3" s="1942" t="n">
        <f aca="false">Personnel!AH3</f>
        <v>80</v>
      </c>
      <c r="X3" s="1942" t="n">
        <f aca="false">Personnel!AI3</f>
        <v>80</v>
      </c>
      <c r="Y3" s="1942" t="n">
        <f aca="false">Personnel!AJ3</f>
        <v>80</v>
      </c>
      <c r="Z3" s="1942" t="n">
        <f aca="false">Personnel!AK3</f>
        <v>80</v>
      </c>
      <c r="AA3" s="1942" t="n">
        <f aca="false">Personnel!AL3</f>
        <v>80</v>
      </c>
      <c r="AB3" s="1943" t="n">
        <f aca="false">Personnel!AM3</f>
        <v>80</v>
      </c>
      <c r="AC3" s="1882"/>
      <c r="AD3" s="1944" t="str">
        <f aca="false">P3</f>
        <v>Trades</v>
      </c>
      <c r="AE3" s="1945" t="n">
        <f aca="false">Personnel!AN3</f>
        <v>80</v>
      </c>
      <c r="AF3" s="1946" t="n">
        <f aca="false">Personnel!AO3</f>
        <v>80</v>
      </c>
      <c r="AG3" s="1946" t="n">
        <f aca="false">Personnel!AP3</f>
        <v>80</v>
      </c>
      <c r="AH3" s="1946" t="n">
        <f aca="false">Personnel!AQ3</f>
        <v>80</v>
      </c>
      <c r="AI3" s="1946" t="n">
        <f aca="false">Personnel!AR3</f>
        <v>80</v>
      </c>
      <c r="AJ3" s="1946" t="n">
        <f aca="false">Personnel!AS3</f>
        <v>80</v>
      </c>
      <c r="AK3" s="1946" t="n">
        <f aca="false">Personnel!AT3</f>
        <v>80</v>
      </c>
      <c r="AL3" s="1946" t="n">
        <f aca="false">Personnel!AU3</f>
        <v>80</v>
      </c>
      <c r="AM3" s="1946" t="n">
        <f aca="false">Personnel!AV3</f>
        <v>80</v>
      </c>
      <c r="AN3" s="1946" t="n">
        <f aca="false">Personnel!AW3</f>
        <v>80</v>
      </c>
      <c r="AO3" s="1946" t="n">
        <f aca="false">Personnel!AX3</f>
        <v>80</v>
      </c>
      <c r="AP3" s="1947" t="n">
        <f aca="false">Personnel!AY3</f>
        <v>80</v>
      </c>
      <c r="AQ3" s="1882"/>
      <c r="AR3" s="1948" t="str">
        <f aca="false">AD3</f>
        <v>Trades</v>
      </c>
      <c r="AS3" s="1949" t="n">
        <f aca="false">Personnel!AZ3</f>
        <v>80</v>
      </c>
      <c r="AT3" s="1950" t="n">
        <f aca="false">Personnel!BA3</f>
        <v>80</v>
      </c>
      <c r="AU3" s="1950" t="n">
        <f aca="false">Personnel!BB3</f>
        <v>80</v>
      </c>
      <c r="AV3" s="1950" t="n">
        <f aca="false">Personnel!BC3</f>
        <v>80</v>
      </c>
      <c r="AW3" s="1950" t="n">
        <f aca="false">Personnel!BD3</f>
        <v>80</v>
      </c>
      <c r="AX3" s="1950" t="n">
        <f aca="false">Personnel!BE3</f>
        <v>80</v>
      </c>
      <c r="AY3" s="1950" t="n">
        <f aca="false">Personnel!BF3</f>
        <v>80</v>
      </c>
      <c r="AZ3" s="1950" t="n">
        <f aca="false">Personnel!BG3</f>
        <v>80</v>
      </c>
      <c r="BA3" s="1950" t="n">
        <f aca="false">Personnel!BH3</f>
        <v>80</v>
      </c>
      <c r="BB3" s="1950" t="n">
        <f aca="false">Personnel!BI3</f>
        <v>80</v>
      </c>
      <c r="BC3" s="1950" t="n">
        <f aca="false">Personnel!BJ3</f>
        <v>80</v>
      </c>
      <c r="BD3" s="1951" t="n">
        <f aca="false">Personnel!BK3</f>
        <v>80</v>
      </c>
      <c r="BE3" s="1466"/>
      <c r="BF3" s="1885"/>
      <c r="BG3" s="1915" t="str">
        <f aca="false">Revenue!A90</f>
        <v>CS-3</v>
      </c>
      <c r="BH3" s="1916" t="n">
        <f aca="false">Revenue!N90</f>
        <v>28499.3303571429</v>
      </c>
      <c r="BI3" s="1916" t="n">
        <f aca="false">Revenue!O90</f>
        <v>31665.9226190476</v>
      </c>
      <c r="BJ3" s="1916" t="n">
        <f aca="false">Revenue!P90</f>
        <v>34832.5148809524</v>
      </c>
      <c r="BK3" s="1916" t="n">
        <f aca="false">Revenue!Q90</f>
        <v>37999.1071428572</v>
      </c>
      <c r="BL3" s="1916" t="n">
        <f aca="false">Revenue!R90</f>
        <v>41165.6994047619</v>
      </c>
      <c r="BM3" s="1916" t="n">
        <f aca="false">Revenue!S90</f>
        <v>44332.2916666668</v>
      </c>
      <c r="BN3" s="1916" t="n">
        <f aca="false">Revenue!T90</f>
        <v>47498.8839285715</v>
      </c>
      <c r="BO3" s="1916" t="n">
        <f aca="false">Revenue!U90</f>
        <v>50665.4761904762</v>
      </c>
      <c r="BP3" s="1916" t="n">
        <f aca="false">Revenue!V90</f>
        <v>53832.0684523809</v>
      </c>
      <c r="BQ3" s="1916" t="n">
        <f aca="false">Revenue!W90</f>
        <v>56998.6607142855</v>
      </c>
      <c r="BR3" s="1916" t="n">
        <f aca="false">Revenue!X90</f>
        <v>60165.2529761906</v>
      </c>
      <c r="BS3" s="1915" t="n">
        <f aca="false">Revenue!Y90</f>
        <v>63331.8452380953</v>
      </c>
      <c r="BT3" s="1888"/>
      <c r="BU3" s="1952" t="str">
        <f aca="false">BG3</f>
        <v>CS-3</v>
      </c>
      <c r="BV3" s="1952" t="n">
        <f aca="false">Revenue!Z58</f>
        <v>2604.16666666667</v>
      </c>
      <c r="BW3" s="1952" t="n">
        <f aca="false">Revenue!AA58</f>
        <v>2604.16666666667</v>
      </c>
      <c r="BX3" s="1953" t="n">
        <f aca="false">Revenue!AB58</f>
        <v>2604.16666666667</v>
      </c>
      <c r="BY3" s="1952" t="n">
        <f aca="false">Revenue!AC58</f>
        <v>2604.16666666667</v>
      </c>
      <c r="BZ3" s="1952" t="n">
        <f aca="false">Revenue!AD58</f>
        <v>2604.16666666667</v>
      </c>
      <c r="CA3" s="1952" t="n">
        <f aca="false">Revenue!AE58</f>
        <v>2604.16666666667</v>
      </c>
      <c r="CB3" s="1952" t="n">
        <f aca="false">Revenue!AF58</f>
        <v>2604.16666666667</v>
      </c>
      <c r="CC3" s="1952" t="n">
        <f aca="false">Revenue!AG58</f>
        <v>2604.16666666667</v>
      </c>
      <c r="CD3" s="1952" t="n">
        <f aca="false">Revenue!AH58</f>
        <v>2604.16666666667</v>
      </c>
      <c r="CE3" s="1952" t="n">
        <f aca="false">Revenue!AI58</f>
        <v>2604.16666666667</v>
      </c>
      <c r="CF3" s="1952" t="n">
        <f aca="false">Revenue!AJ58</f>
        <v>2604.16666666667</v>
      </c>
      <c r="CG3" s="1952" t="n">
        <f aca="false">Revenue!AK58</f>
        <v>2604.16666666667</v>
      </c>
      <c r="CH3" s="1891"/>
      <c r="CI3" s="1954" t="str">
        <f aca="false">BU3</f>
        <v>CS-3</v>
      </c>
      <c r="CJ3" s="1955" t="n">
        <f aca="false">Revenue!AL58</f>
        <v>2604.16666666667</v>
      </c>
      <c r="CK3" s="1955" t="n">
        <f aca="false">Revenue!AM58</f>
        <v>2604.16666666667</v>
      </c>
      <c r="CL3" s="1955" t="n">
        <f aca="false">Revenue!AN58</f>
        <v>2604.16666666667</v>
      </c>
      <c r="CM3" s="1955" t="n">
        <f aca="false">Revenue!AO58</f>
        <v>2604.16666666667</v>
      </c>
      <c r="CN3" s="1955" t="n">
        <f aca="false">Revenue!AP58</f>
        <v>2604.16666666667</v>
      </c>
      <c r="CO3" s="1955" t="n">
        <f aca="false">Revenue!AQ58</f>
        <v>2604.16666666667</v>
      </c>
      <c r="CP3" s="1955" t="n">
        <f aca="false">Revenue!AR58</f>
        <v>2604.16666666667</v>
      </c>
      <c r="CQ3" s="1955" t="n">
        <f aca="false">Revenue!AS58</f>
        <v>2604.16666666667</v>
      </c>
      <c r="CR3" s="1955" t="n">
        <f aca="false">Revenue!AT58</f>
        <v>2604.16666666667</v>
      </c>
      <c r="CS3" s="1955" t="n">
        <f aca="false">Revenue!AU58</f>
        <v>2604.16666666667</v>
      </c>
      <c r="CT3" s="1955" t="n">
        <f aca="false">Revenue!AV58</f>
        <v>2604.16666666667</v>
      </c>
      <c r="CU3" s="1955" t="n">
        <f aca="false">Revenue!AW58</f>
        <v>2604.16666666667</v>
      </c>
      <c r="CV3" s="1888"/>
      <c r="CW3" s="1956" t="str">
        <f aca="false">CI3</f>
        <v>CS-3</v>
      </c>
      <c r="CX3" s="1957" t="n">
        <f aca="false">Revenue!AX58</f>
        <v>2604.16666666667</v>
      </c>
      <c r="CY3" s="1957" t="n">
        <f aca="false">Revenue!AY58</f>
        <v>2604.16666666667</v>
      </c>
      <c r="CZ3" s="1957" t="n">
        <f aca="false">Revenue!AZ58</f>
        <v>2604.16666666667</v>
      </c>
      <c r="DA3" s="1957" t="n">
        <f aca="false">Revenue!BA58</f>
        <v>2604.16666666667</v>
      </c>
      <c r="DB3" s="1957" t="n">
        <f aca="false">Revenue!BB58</f>
        <v>2604.16666666667</v>
      </c>
      <c r="DC3" s="1957" t="n">
        <f aca="false">Revenue!BC58</f>
        <v>2604.16666666667</v>
      </c>
      <c r="DD3" s="1957" t="n">
        <f aca="false">Revenue!BD58</f>
        <v>2604.16666666667</v>
      </c>
      <c r="DE3" s="1957" t="n">
        <f aca="false">Revenue!BE58</f>
        <v>2604.16666666667</v>
      </c>
      <c r="DF3" s="1957" t="n">
        <f aca="false">Revenue!BF58</f>
        <v>2604.16666666667</v>
      </c>
      <c r="DG3" s="1957" t="n">
        <f aca="false">Revenue!BG58</f>
        <v>2604.16666666667</v>
      </c>
      <c r="DH3" s="1957" t="n">
        <f aca="false">Revenue!BH58</f>
        <v>2604.16666666667</v>
      </c>
      <c r="DI3" s="1957" t="n">
        <f aca="false">Revenue!BI58</f>
        <v>2604.16666666667</v>
      </c>
      <c r="DJ3" s="1466"/>
      <c r="DK3" s="1163"/>
      <c r="DL3" s="1958"/>
      <c r="DM3" s="1959" t="n">
        <v>0</v>
      </c>
      <c r="DN3" s="1960" t="n">
        <v>0</v>
      </c>
      <c r="DO3" s="1960" t="n">
        <f aca="false">Revenue!P70</f>
        <v>4910.71428571429</v>
      </c>
      <c r="DP3" s="1960" t="n">
        <f aca="false">Revenue!Q70</f>
        <v>5357.14285714286</v>
      </c>
      <c r="DQ3" s="1960" t="n">
        <f aca="false">Revenue!R70</f>
        <v>5803.57142857143</v>
      </c>
      <c r="DR3" s="1960" t="n">
        <f aca="false">Revenue!S70</f>
        <v>6250</v>
      </c>
      <c r="DS3" s="1960" t="n">
        <f aca="false">Revenue!T70</f>
        <v>6696.42857142857</v>
      </c>
      <c r="DT3" s="1960" t="n">
        <f aca="false">Revenue!U70</f>
        <v>7142.85714285714</v>
      </c>
      <c r="DU3" s="1960" t="n">
        <f aca="false">Revenue!V70</f>
        <v>7589.28571428572</v>
      </c>
      <c r="DV3" s="1960" t="n">
        <f aca="false">Revenue!W70</f>
        <v>8035.71428571429</v>
      </c>
      <c r="DW3" s="1960" t="n">
        <f aca="false">Revenue!X70</f>
        <v>8482.14285714286</v>
      </c>
      <c r="DX3" s="1961" t="n">
        <f aca="false">Revenue!Y70</f>
        <v>8928.57142857143</v>
      </c>
      <c r="DY3" s="1893"/>
      <c r="DZ3" s="1962"/>
      <c r="EA3" s="1963" t="n">
        <f aca="false">Revenue!Z70</f>
        <v>15625</v>
      </c>
      <c r="EB3" s="1964" t="n">
        <f aca="false">Revenue!AA70</f>
        <v>15625</v>
      </c>
      <c r="EC3" s="1964" t="n">
        <f aca="false">Revenue!AB70</f>
        <v>15625</v>
      </c>
      <c r="ED3" s="1964" t="n">
        <f aca="false">Revenue!AC70</f>
        <v>15625</v>
      </c>
      <c r="EE3" s="1964" t="n">
        <f aca="false">Revenue!AD70</f>
        <v>15625</v>
      </c>
      <c r="EF3" s="1964" t="n">
        <f aca="false">Revenue!AE70</f>
        <v>15625</v>
      </c>
      <c r="EG3" s="1964" t="n">
        <f aca="false">Revenue!AF70</f>
        <v>15625</v>
      </c>
      <c r="EH3" s="1964" t="n">
        <f aca="false">Revenue!AG70</f>
        <v>15625</v>
      </c>
      <c r="EI3" s="1964" t="n">
        <f aca="false">Revenue!AH70</f>
        <v>15625</v>
      </c>
      <c r="EJ3" s="1964" t="n">
        <f aca="false">Revenue!AI70</f>
        <v>15625</v>
      </c>
      <c r="EK3" s="1964" t="n">
        <f aca="false">Revenue!AJ70</f>
        <v>15625</v>
      </c>
      <c r="EL3" s="1965" t="n">
        <f aca="false">Revenue!AK70</f>
        <v>15625</v>
      </c>
      <c r="EM3" s="1893"/>
      <c r="EN3" s="1966"/>
      <c r="EO3" s="1945" t="n">
        <f aca="false">Revenue!AL70</f>
        <v>15625</v>
      </c>
      <c r="EP3" s="1946" t="n">
        <f aca="false">Revenue!AM70</f>
        <v>15625</v>
      </c>
      <c r="EQ3" s="1946" t="n">
        <f aca="false">Revenue!AN70</f>
        <v>15625</v>
      </c>
      <c r="ER3" s="1946" t="n">
        <f aca="false">Revenue!AO70</f>
        <v>15625</v>
      </c>
      <c r="ES3" s="1946" t="n">
        <f aca="false">Revenue!AP70</f>
        <v>15625</v>
      </c>
      <c r="ET3" s="1946" t="n">
        <f aca="false">Revenue!AQ70</f>
        <v>15625</v>
      </c>
      <c r="EU3" s="1946" t="n">
        <f aca="false">Revenue!AR70</f>
        <v>15625</v>
      </c>
      <c r="EV3" s="1946" t="n">
        <f aca="false">Revenue!AS70</f>
        <v>15625</v>
      </c>
      <c r="EW3" s="1946" t="n">
        <f aca="false">Revenue!AT70</f>
        <v>15625</v>
      </c>
      <c r="EX3" s="1946" t="n">
        <f aca="false">Revenue!AU70</f>
        <v>15625</v>
      </c>
      <c r="EY3" s="1946" t="n">
        <f aca="false">Revenue!AV70</f>
        <v>15625</v>
      </c>
      <c r="EZ3" s="1947" t="n">
        <f aca="false">Revenue!AW70</f>
        <v>15625</v>
      </c>
      <c r="FA3" s="1893"/>
      <c r="FB3" s="1967"/>
      <c r="FC3" s="1968" t="n">
        <f aca="false">Revenue!AX70</f>
        <v>15625</v>
      </c>
      <c r="FD3" s="1969" t="n">
        <f aca="false">Revenue!AY70</f>
        <v>15625</v>
      </c>
      <c r="FE3" s="1969" t="n">
        <f aca="false">Revenue!AZ70</f>
        <v>15625</v>
      </c>
      <c r="FF3" s="1969" t="n">
        <f aca="false">Revenue!BA70</f>
        <v>15625</v>
      </c>
      <c r="FG3" s="1969" t="n">
        <f aca="false">Revenue!BB70</f>
        <v>15625</v>
      </c>
      <c r="FH3" s="1969" t="n">
        <f aca="false">Revenue!BC70</f>
        <v>15625</v>
      </c>
      <c r="FI3" s="1969" t="n">
        <f aca="false">Revenue!BD70</f>
        <v>15625</v>
      </c>
      <c r="FJ3" s="1969" t="n">
        <f aca="false">Revenue!BE70</f>
        <v>15625</v>
      </c>
      <c r="FK3" s="1969" t="n">
        <f aca="false">Revenue!BF70</f>
        <v>15625</v>
      </c>
      <c r="FL3" s="1969" t="n">
        <f aca="false">Revenue!BG70</f>
        <v>15625</v>
      </c>
      <c r="FM3" s="1969" t="n">
        <f aca="false">Revenue!BH70</f>
        <v>15625</v>
      </c>
      <c r="FN3" s="1970" t="n">
        <f aca="false">Revenue!BI70</f>
        <v>15625</v>
      </c>
      <c r="FO3" s="1466"/>
      <c r="FP3" s="1896"/>
      <c r="FQ3" s="1958" t="str">
        <f aca="false">'Tables 5Y'!CK3</f>
        <v>Total Direct Cost of Revenue</v>
      </c>
      <c r="FR3" s="1971" t="n">
        <f aca="false">Revenue!N150+'P&amp;L'!N23</f>
        <v>2973282.52547743</v>
      </c>
      <c r="FS3" s="1972" t="n">
        <f aca="false">Revenue!O150+'P&amp;L'!O23</f>
        <v>3303647.25053048</v>
      </c>
      <c r="FT3" s="1972" t="n">
        <f aca="false">Revenue!P150+'P&amp;L'!P23</f>
        <v>3634011.97558353</v>
      </c>
      <c r="FU3" s="1972" t="n">
        <f aca="false">Revenue!Q150+'P&amp;L'!Q23</f>
        <v>3964376.70063658</v>
      </c>
      <c r="FV3" s="1972" t="n">
        <f aca="false">Revenue!R150+'P&amp;L'!R23</f>
        <v>4294741.42568962</v>
      </c>
      <c r="FW3" s="1972" t="n">
        <f aca="false">Revenue!S150+'P&amp;L'!S23</f>
        <v>4625106.15074267</v>
      </c>
      <c r="FX3" s="1972" t="n">
        <f aca="false">Revenue!T150+'P&amp;L'!T23</f>
        <v>4955470.87579572</v>
      </c>
      <c r="FY3" s="1972" t="n">
        <f aca="false">Revenue!U150+'P&amp;L'!U23</f>
        <v>5285835.60084877</v>
      </c>
      <c r="FZ3" s="1972" t="n">
        <f aca="false">Revenue!V150+'P&amp;L'!V23</f>
        <v>5616200.32590181</v>
      </c>
      <c r="GA3" s="1972" t="n">
        <f aca="false">Revenue!W150+'P&amp;L'!W23</f>
        <v>5946565.05095486</v>
      </c>
      <c r="GB3" s="1972" t="n">
        <f aca="false">Revenue!X150+'P&amp;L'!X23</f>
        <v>6276929.77600791</v>
      </c>
      <c r="GC3" s="1973" t="n">
        <f aca="false">Revenue!Y150+'P&amp;L'!Y23</f>
        <v>6607294.50106096</v>
      </c>
      <c r="GD3" s="1893"/>
      <c r="GE3" s="1974" t="str">
        <f aca="false">FQ3</f>
        <v>Total Direct Cost of Revenue</v>
      </c>
      <c r="GF3" s="1975" t="n">
        <f aca="false">Revenue!Z150+'P&amp;L'!Z23</f>
        <v>12168644.6958697</v>
      </c>
      <c r="GG3" s="1976" t="n">
        <f aca="false">Revenue!AA150+'P&amp;L'!AA23</f>
        <v>12168644.6958697</v>
      </c>
      <c r="GH3" s="1976" t="n">
        <f aca="false">Revenue!AB150+'P&amp;L'!AB23</f>
        <v>12168644.6958697</v>
      </c>
      <c r="GI3" s="1976" t="n">
        <f aca="false">Revenue!AC150+'P&amp;L'!AC23</f>
        <v>12168644.6958697</v>
      </c>
      <c r="GJ3" s="1976" t="n">
        <f aca="false">Revenue!AD150+'P&amp;L'!AD23</f>
        <v>12168644.6958697</v>
      </c>
      <c r="GK3" s="1976" t="n">
        <f aca="false">Revenue!AE150+'P&amp;L'!AE23</f>
        <v>12168644.6958697</v>
      </c>
      <c r="GL3" s="1976" t="n">
        <f aca="false">Revenue!AF150+'P&amp;L'!AF23</f>
        <v>12168644.6958697</v>
      </c>
      <c r="GM3" s="1976" t="n">
        <f aca="false">Revenue!AG150+'P&amp;L'!AG23</f>
        <v>12168644.6958697</v>
      </c>
      <c r="GN3" s="1976" t="n">
        <f aca="false">Revenue!AH150+'P&amp;L'!AH23</f>
        <v>12168644.6958697</v>
      </c>
      <c r="GO3" s="1976" t="n">
        <f aca="false">Revenue!AI150+'P&amp;L'!AI23</f>
        <v>12168644.6958697</v>
      </c>
      <c r="GP3" s="1976" t="n">
        <f aca="false">Revenue!AJ150+'P&amp;L'!AJ23</f>
        <v>12168644.6958697</v>
      </c>
      <c r="GQ3" s="1977" t="n">
        <f aca="false">Revenue!AK150+'P&amp;L'!AK23</f>
        <v>12168644.6958697</v>
      </c>
      <c r="GR3" s="1893"/>
      <c r="GS3" s="1978" t="str">
        <f aca="false">GE3</f>
        <v>Total Direct Cost of Revenue</v>
      </c>
      <c r="GT3" s="1979" t="n">
        <f aca="false">Revenue!AL150+'P&amp;L'!AL23</f>
        <v>12774524.0148827</v>
      </c>
      <c r="GU3" s="1980" t="n">
        <f aca="false">Revenue!AM150+'P&amp;L'!AM23</f>
        <v>12774524.0148827</v>
      </c>
      <c r="GV3" s="1980" t="n">
        <f aca="false">Revenue!AN150+'P&amp;L'!AN23</f>
        <v>12774524.0148827</v>
      </c>
      <c r="GW3" s="1980" t="n">
        <f aca="false">Revenue!AO150+'P&amp;L'!AO23</f>
        <v>12774524.0148827</v>
      </c>
      <c r="GX3" s="1980" t="n">
        <f aca="false">Revenue!AP150+'P&amp;L'!AP23</f>
        <v>12774524.0148827</v>
      </c>
      <c r="GY3" s="1980" t="n">
        <f aca="false">Revenue!AQ150+'P&amp;L'!AQ23</f>
        <v>12774524.0148827</v>
      </c>
      <c r="GZ3" s="1980" t="n">
        <f aca="false">Revenue!AR150+'P&amp;L'!AR23</f>
        <v>12774524.0148827</v>
      </c>
      <c r="HA3" s="1980" t="n">
        <f aca="false">Revenue!AS150+'P&amp;L'!AS23</f>
        <v>12774524.0148827</v>
      </c>
      <c r="HB3" s="1980" t="n">
        <f aca="false">Revenue!AT150+'P&amp;L'!AT23</f>
        <v>12774524.0148827</v>
      </c>
      <c r="HC3" s="1980" t="n">
        <f aca="false">Revenue!AU150+'P&amp;L'!AU23</f>
        <v>12774524.0148827</v>
      </c>
      <c r="HD3" s="1980" t="n">
        <f aca="false">Revenue!AV150+'P&amp;L'!AV23</f>
        <v>12774524.0148827</v>
      </c>
      <c r="HE3" s="1981" t="n">
        <f aca="false">Revenue!AW150+'P&amp;L'!AW23</f>
        <v>12774524.0148827</v>
      </c>
      <c r="HF3" s="1896"/>
      <c r="HG3" s="1982" t="str">
        <f aca="false">GS3</f>
        <v>Total Direct Cost of Revenue</v>
      </c>
      <c r="HH3" s="1983" t="n">
        <f aca="false">Revenue!AX150+'P&amp;L'!AX23</f>
        <v>13380403.3338957</v>
      </c>
      <c r="HI3" s="1984" t="n">
        <f aca="false">Revenue!AY150+'P&amp;L'!AY23</f>
        <v>13380403.3338957</v>
      </c>
      <c r="HJ3" s="1984" t="n">
        <f aca="false">Revenue!AZ150+'P&amp;L'!AZ23</f>
        <v>13380403.3338957</v>
      </c>
      <c r="HK3" s="1984" t="n">
        <f aca="false">Revenue!BA150+'P&amp;L'!BA23</f>
        <v>13380403.3338957</v>
      </c>
      <c r="HL3" s="1984" t="n">
        <f aca="false">Revenue!BB150+'P&amp;L'!BB23</f>
        <v>13380403.3338957</v>
      </c>
      <c r="HM3" s="1984" t="n">
        <f aca="false">Revenue!BC150+'P&amp;L'!BC23</f>
        <v>13380403.3338957</v>
      </c>
      <c r="HN3" s="1984" t="n">
        <f aca="false">Revenue!BD150+'P&amp;L'!BD23</f>
        <v>13380403.3338957</v>
      </c>
      <c r="HO3" s="1984" t="n">
        <f aca="false">Revenue!BE150+'P&amp;L'!BE23</f>
        <v>13380403.3338957</v>
      </c>
      <c r="HP3" s="1984" t="n">
        <f aca="false">Revenue!BF150+'P&amp;L'!BF23</f>
        <v>13380403.3338957</v>
      </c>
      <c r="HQ3" s="1984" t="n">
        <f aca="false">Revenue!BG150+'P&amp;L'!BG23</f>
        <v>13380403.3338957</v>
      </c>
      <c r="HR3" s="1984" t="n">
        <f aca="false">Revenue!BH150+'P&amp;L'!BH23</f>
        <v>13380403.3338957</v>
      </c>
      <c r="HS3" s="1985" t="n">
        <f aca="false">Revenue!BI150+'P&amp;L'!BI23</f>
        <v>13380403.3338957</v>
      </c>
    </row>
    <row r="4" customFormat="false" ht="10.5" hidden="false" customHeight="true" outlineLevel="0" collapsed="false">
      <c r="A4" s="1641"/>
      <c r="B4" s="1936" t="str">
        <f aca="false">Personnel!A4</f>
        <v>Admin</v>
      </c>
      <c r="C4" s="1937" t="n">
        <f aca="false">Personnel!P4</f>
        <v>2</v>
      </c>
      <c r="D4" s="1938" t="n">
        <f aca="false">Personnel!Q4</f>
        <v>2</v>
      </c>
      <c r="E4" s="1938" t="n">
        <f aca="false">Personnel!R4</f>
        <v>2</v>
      </c>
      <c r="F4" s="1938" t="n">
        <f aca="false">Personnel!S4</f>
        <v>2</v>
      </c>
      <c r="G4" s="1938" t="n">
        <f aca="false">Personnel!T4</f>
        <v>2</v>
      </c>
      <c r="H4" s="1938" t="n">
        <f aca="false">Personnel!U4</f>
        <v>2</v>
      </c>
      <c r="I4" s="1938" t="n">
        <f aca="false">Personnel!V4</f>
        <v>2</v>
      </c>
      <c r="J4" s="1938" t="n">
        <f aca="false">Personnel!W4</f>
        <v>2</v>
      </c>
      <c r="K4" s="1938" t="n">
        <f aca="false">Personnel!X4</f>
        <v>2</v>
      </c>
      <c r="L4" s="1938" t="n">
        <f aca="false">Personnel!Y4</f>
        <v>2</v>
      </c>
      <c r="M4" s="1938" t="n">
        <f aca="false">Personnel!Z4</f>
        <v>2</v>
      </c>
      <c r="N4" s="1939" t="n">
        <f aca="false">Personnel!AA4</f>
        <v>2</v>
      </c>
      <c r="O4" s="1882"/>
      <c r="P4" s="1940" t="str">
        <f aca="false">B4</f>
        <v>Admin</v>
      </c>
      <c r="Q4" s="1941" t="n">
        <f aca="false">Personnel!AB4</f>
        <v>3</v>
      </c>
      <c r="R4" s="1942" t="n">
        <f aca="false">Personnel!AC4</f>
        <v>3</v>
      </c>
      <c r="S4" s="1942" t="n">
        <f aca="false">Personnel!AD4</f>
        <v>3</v>
      </c>
      <c r="T4" s="1942" t="n">
        <f aca="false">Personnel!AE4</f>
        <v>3</v>
      </c>
      <c r="U4" s="1942" t="n">
        <f aca="false">Personnel!AF4</f>
        <v>3</v>
      </c>
      <c r="V4" s="1942" t="n">
        <f aca="false">Personnel!AG4</f>
        <v>3</v>
      </c>
      <c r="W4" s="1942" t="n">
        <f aca="false">Personnel!AH4</f>
        <v>3</v>
      </c>
      <c r="X4" s="1942" t="n">
        <f aca="false">Personnel!AI4</f>
        <v>3</v>
      </c>
      <c r="Y4" s="1942" t="n">
        <f aca="false">Personnel!AJ4</f>
        <v>3</v>
      </c>
      <c r="Z4" s="1942" t="n">
        <f aca="false">Personnel!AK4</f>
        <v>3</v>
      </c>
      <c r="AA4" s="1942" t="n">
        <f aca="false">Personnel!AL4</f>
        <v>3</v>
      </c>
      <c r="AB4" s="1943" t="n">
        <f aca="false">Personnel!AM4</f>
        <v>3</v>
      </c>
      <c r="AC4" s="1882"/>
      <c r="AD4" s="1944" t="str">
        <f aca="false">P4</f>
        <v>Admin</v>
      </c>
      <c r="AE4" s="1945" t="n">
        <f aca="false">Personnel!AN4</f>
        <v>3</v>
      </c>
      <c r="AF4" s="1946" t="n">
        <f aca="false">Personnel!AO4</f>
        <v>3</v>
      </c>
      <c r="AG4" s="1946" t="n">
        <f aca="false">Personnel!AP4</f>
        <v>3</v>
      </c>
      <c r="AH4" s="1946" t="n">
        <f aca="false">Personnel!AQ4</f>
        <v>3</v>
      </c>
      <c r="AI4" s="1946" t="n">
        <f aca="false">Personnel!AR4</f>
        <v>3</v>
      </c>
      <c r="AJ4" s="1946" t="n">
        <f aca="false">Personnel!AS4</f>
        <v>3</v>
      </c>
      <c r="AK4" s="1946" t="n">
        <f aca="false">Personnel!AT4</f>
        <v>3</v>
      </c>
      <c r="AL4" s="1946" t="n">
        <f aca="false">Personnel!AU4</f>
        <v>3</v>
      </c>
      <c r="AM4" s="1946" t="n">
        <f aca="false">Personnel!AV4</f>
        <v>3</v>
      </c>
      <c r="AN4" s="1946" t="n">
        <f aca="false">Personnel!AW4</f>
        <v>3</v>
      </c>
      <c r="AO4" s="1946" t="n">
        <f aca="false">Personnel!AX4</f>
        <v>3</v>
      </c>
      <c r="AP4" s="1947" t="n">
        <f aca="false">Personnel!AY4</f>
        <v>3</v>
      </c>
      <c r="AQ4" s="1882"/>
      <c r="AR4" s="1948" t="str">
        <f aca="false">AD4</f>
        <v>Admin</v>
      </c>
      <c r="AS4" s="1949" t="n">
        <f aca="false">Personnel!AZ4</f>
        <v>3</v>
      </c>
      <c r="AT4" s="1950" t="n">
        <f aca="false">Personnel!BA4</f>
        <v>3</v>
      </c>
      <c r="AU4" s="1950" t="n">
        <f aca="false">Personnel!BB4</f>
        <v>3</v>
      </c>
      <c r="AV4" s="1950" t="n">
        <f aca="false">Personnel!BC4</f>
        <v>3</v>
      </c>
      <c r="AW4" s="1950" t="n">
        <f aca="false">Personnel!BD4</f>
        <v>3</v>
      </c>
      <c r="AX4" s="1950" t="n">
        <f aca="false">Personnel!BE4</f>
        <v>3</v>
      </c>
      <c r="AY4" s="1950" t="n">
        <f aca="false">Personnel!BF4</f>
        <v>3</v>
      </c>
      <c r="AZ4" s="1950" t="n">
        <f aca="false">Personnel!BG4</f>
        <v>3</v>
      </c>
      <c r="BA4" s="1950" t="n">
        <f aca="false">Personnel!BH4</f>
        <v>3</v>
      </c>
      <c r="BB4" s="1950" t="n">
        <f aca="false">Personnel!BI4</f>
        <v>3</v>
      </c>
      <c r="BC4" s="1950" t="n">
        <f aca="false">Personnel!BJ4</f>
        <v>3</v>
      </c>
      <c r="BD4" s="1951" t="n">
        <f aca="false">Personnel!BK4</f>
        <v>3</v>
      </c>
      <c r="BE4" s="1466"/>
      <c r="BF4" s="1885"/>
      <c r="BG4" s="1915" t="str">
        <f aca="false">Revenue!A91</f>
        <v>CS-4</v>
      </c>
      <c r="BH4" s="1916" t="n">
        <f aca="false">Revenue!N91</f>
        <v>85497.9910714285</v>
      </c>
      <c r="BI4" s="1916" t="n">
        <f aca="false">Revenue!O91</f>
        <v>94997.767857143</v>
      </c>
      <c r="BJ4" s="1916" t="n">
        <f aca="false">Revenue!P91</f>
        <v>104497.544642857</v>
      </c>
      <c r="BK4" s="1916" t="n">
        <f aca="false">Revenue!Q91</f>
        <v>113997.321428571</v>
      </c>
      <c r="BL4" s="1916" t="n">
        <f aca="false">Revenue!R91</f>
        <v>123497.098214286</v>
      </c>
      <c r="BM4" s="1916" t="n">
        <f aca="false">Revenue!S91</f>
        <v>132996.875</v>
      </c>
      <c r="BN4" s="1916" t="n">
        <f aca="false">Revenue!T91</f>
        <v>142496.651785714</v>
      </c>
      <c r="BO4" s="1916" t="n">
        <f aca="false">Revenue!U91</f>
        <v>151996.428571429</v>
      </c>
      <c r="BP4" s="1916" t="n">
        <f aca="false">Revenue!V91</f>
        <v>161496.205357143</v>
      </c>
      <c r="BQ4" s="1916" t="n">
        <f aca="false">Revenue!W91</f>
        <v>170995.982142857</v>
      </c>
      <c r="BR4" s="1916" t="n">
        <f aca="false">Revenue!X91</f>
        <v>180495.758928572</v>
      </c>
      <c r="BS4" s="1915" t="n">
        <f aca="false">Revenue!Y91</f>
        <v>189995.535714286</v>
      </c>
      <c r="BT4" s="1888"/>
      <c r="BU4" s="1952" t="str">
        <f aca="false">BG4</f>
        <v>CS-4</v>
      </c>
      <c r="BV4" s="1952" t="n">
        <f aca="false">Revenue!Z59</f>
        <v>7812.5</v>
      </c>
      <c r="BW4" s="1952" t="n">
        <f aca="false">Revenue!AA59</f>
        <v>7812.5</v>
      </c>
      <c r="BX4" s="1953" t="n">
        <f aca="false">Revenue!AB59</f>
        <v>7812.5</v>
      </c>
      <c r="BY4" s="1952" t="n">
        <f aca="false">Revenue!AC59</f>
        <v>7812.5</v>
      </c>
      <c r="BZ4" s="1952" t="n">
        <f aca="false">Revenue!AD59</f>
        <v>7812.5</v>
      </c>
      <c r="CA4" s="1952" t="n">
        <f aca="false">Revenue!AE59</f>
        <v>7812.5</v>
      </c>
      <c r="CB4" s="1952" t="n">
        <f aca="false">Revenue!AF59</f>
        <v>7812.5</v>
      </c>
      <c r="CC4" s="1952" t="n">
        <f aca="false">Revenue!AG59</f>
        <v>7812.5</v>
      </c>
      <c r="CD4" s="1952" t="n">
        <f aca="false">Revenue!AH59</f>
        <v>7812.5</v>
      </c>
      <c r="CE4" s="1952" t="n">
        <f aca="false">Revenue!AI59</f>
        <v>7812.5</v>
      </c>
      <c r="CF4" s="1952" t="n">
        <f aca="false">Revenue!AJ59</f>
        <v>7812.5</v>
      </c>
      <c r="CG4" s="1952" t="n">
        <f aca="false">Revenue!AK59</f>
        <v>7812.5</v>
      </c>
      <c r="CH4" s="1891"/>
      <c r="CI4" s="1954" t="str">
        <f aca="false">BU4</f>
        <v>CS-4</v>
      </c>
      <c r="CJ4" s="1955" t="n">
        <f aca="false">Revenue!AL59</f>
        <v>7812.5</v>
      </c>
      <c r="CK4" s="1955" t="n">
        <f aca="false">Revenue!AM59</f>
        <v>7812.5</v>
      </c>
      <c r="CL4" s="1955" t="n">
        <f aca="false">Revenue!AN59</f>
        <v>7812.5</v>
      </c>
      <c r="CM4" s="1955" t="n">
        <f aca="false">Revenue!AO59</f>
        <v>7812.5</v>
      </c>
      <c r="CN4" s="1955" t="n">
        <f aca="false">Revenue!AP59</f>
        <v>7812.5</v>
      </c>
      <c r="CO4" s="1955" t="n">
        <f aca="false">Revenue!AQ59</f>
        <v>7812.5</v>
      </c>
      <c r="CP4" s="1955" t="n">
        <f aca="false">Revenue!AR59</f>
        <v>7812.5</v>
      </c>
      <c r="CQ4" s="1955" t="n">
        <f aca="false">Revenue!AS59</f>
        <v>7812.5</v>
      </c>
      <c r="CR4" s="1955" t="n">
        <f aca="false">Revenue!AT59</f>
        <v>7812.5</v>
      </c>
      <c r="CS4" s="1955" t="n">
        <f aca="false">Revenue!AU59</f>
        <v>7812.5</v>
      </c>
      <c r="CT4" s="1955" t="n">
        <f aca="false">Revenue!AV59</f>
        <v>7812.5</v>
      </c>
      <c r="CU4" s="1955" t="n">
        <f aca="false">Revenue!AW59</f>
        <v>7812.5</v>
      </c>
      <c r="CV4" s="1888"/>
      <c r="CW4" s="1956" t="str">
        <f aca="false">CI4</f>
        <v>CS-4</v>
      </c>
      <c r="CX4" s="1957" t="n">
        <f aca="false">Revenue!AX59</f>
        <v>7812.5</v>
      </c>
      <c r="CY4" s="1957" t="n">
        <f aca="false">Revenue!AY59</f>
        <v>7812.5</v>
      </c>
      <c r="CZ4" s="1957" t="n">
        <f aca="false">Revenue!AZ59</f>
        <v>7812.5</v>
      </c>
      <c r="DA4" s="1957" t="n">
        <f aca="false">Revenue!BA59</f>
        <v>7812.5</v>
      </c>
      <c r="DB4" s="1957" t="n">
        <f aca="false">Revenue!BB59</f>
        <v>7812.5</v>
      </c>
      <c r="DC4" s="1957" t="n">
        <f aca="false">Revenue!BC59</f>
        <v>7812.5</v>
      </c>
      <c r="DD4" s="1957" t="n">
        <f aca="false">Revenue!BD59</f>
        <v>7812.5</v>
      </c>
      <c r="DE4" s="1957" t="n">
        <f aca="false">Revenue!BE59</f>
        <v>7812.5</v>
      </c>
      <c r="DF4" s="1957" t="n">
        <f aca="false">Revenue!BF59</f>
        <v>7812.5</v>
      </c>
      <c r="DG4" s="1957" t="n">
        <f aca="false">Revenue!BG59</f>
        <v>7812.5</v>
      </c>
      <c r="DH4" s="1957" t="n">
        <f aca="false">Revenue!BH59</f>
        <v>7812.5</v>
      </c>
      <c r="DI4" s="1957" t="n">
        <f aca="false">Revenue!BI59</f>
        <v>7812.5</v>
      </c>
      <c r="DJ4" s="1466"/>
      <c r="DK4" s="1163"/>
      <c r="DL4" s="1958"/>
      <c r="DM4" s="1959" t="n">
        <v>0</v>
      </c>
      <c r="DN4" s="1960" t="n">
        <v>0</v>
      </c>
      <c r="DO4" s="1960" t="n">
        <f aca="false">Revenue!P71</f>
        <v>1636.90476190476</v>
      </c>
      <c r="DP4" s="1960" t="n">
        <f aca="false">Revenue!Q71</f>
        <v>1785.71428571429</v>
      </c>
      <c r="DQ4" s="1960" t="n">
        <f aca="false">Revenue!R71</f>
        <v>1934.52380952381</v>
      </c>
      <c r="DR4" s="1960" t="n">
        <f aca="false">Revenue!S71</f>
        <v>2083.33333333333</v>
      </c>
      <c r="DS4" s="1960" t="n">
        <f aca="false">Revenue!T71</f>
        <v>2232.14285714286</v>
      </c>
      <c r="DT4" s="1960" t="n">
        <f aca="false">Revenue!U71</f>
        <v>2380.95238095238</v>
      </c>
      <c r="DU4" s="1960" t="n">
        <f aca="false">Revenue!V71</f>
        <v>2529.76190476191</v>
      </c>
      <c r="DV4" s="1960" t="n">
        <f aca="false">Revenue!W71</f>
        <v>2678.57142857143</v>
      </c>
      <c r="DW4" s="1960" t="n">
        <f aca="false">Revenue!X71</f>
        <v>2827.38095238095</v>
      </c>
      <c r="DX4" s="1961" t="n">
        <f aca="false">Revenue!Y71</f>
        <v>2976.19047619048</v>
      </c>
      <c r="DY4" s="1893"/>
      <c r="DZ4" s="1962"/>
      <c r="EA4" s="1963" t="n">
        <f aca="false">Revenue!Z71</f>
        <v>5208.33333333333</v>
      </c>
      <c r="EB4" s="1964" t="n">
        <f aca="false">Revenue!AA71</f>
        <v>5208.33333333333</v>
      </c>
      <c r="EC4" s="1964" t="n">
        <f aca="false">Revenue!AB71</f>
        <v>5208.33333333333</v>
      </c>
      <c r="ED4" s="1964" t="n">
        <f aca="false">Revenue!AC71</f>
        <v>5208.33333333333</v>
      </c>
      <c r="EE4" s="1964" t="n">
        <f aca="false">Revenue!AD71</f>
        <v>5208.33333333333</v>
      </c>
      <c r="EF4" s="1964" t="n">
        <f aca="false">Revenue!AE71</f>
        <v>5208.33333333333</v>
      </c>
      <c r="EG4" s="1964" t="n">
        <f aca="false">Revenue!AF71</f>
        <v>5208.33333333333</v>
      </c>
      <c r="EH4" s="1964" t="n">
        <f aca="false">Revenue!AG71</f>
        <v>5208.33333333333</v>
      </c>
      <c r="EI4" s="1964" t="n">
        <f aca="false">Revenue!AH71</f>
        <v>5208.33333333333</v>
      </c>
      <c r="EJ4" s="1964" t="n">
        <f aca="false">Revenue!AI71</f>
        <v>5208.33333333333</v>
      </c>
      <c r="EK4" s="1964" t="n">
        <f aca="false">Revenue!AJ71</f>
        <v>5208.33333333333</v>
      </c>
      <c r="EL4" s="1965" t="n">
        <f aca="false">Revenue!AK71</f>
        <v>5208.33333333333</v>
      </c>
      <c r="EM4" s="1893"/>
      <c r="EN4" s="1966"/>
      <c r="EO4" s="1945" t="n">
        <f aca="false">Revenue!AL71</f>
        <v>5208.33333333333</v>
      </c>
      <c r="EP4" s="1946" t="n">
        <f aca="false">Revenue!AM71</f>
        <v>5208.33333333333</v>
      </c>
      <c r="EQ4" s="1946" t="n">
        <f aca="false">Revenue!AN71</f>
        <v>5208.33333333333</v>
      </c>
      <c r="ER4" s="1946" t="n">
        <f aca="false">Revenue!AO71</f>
        <v>5208.33333333333</v>
      </c>
      <c r="ES4" s="1946" t="n">
        <f aca="false">Revenue!AP71</f>
        <v>5208.33333333333</v>
      </c>
      <c r="ET4" s="1946" t="n">
        <f aca="false">Revenue!AQ71</f>
        <v>5208.33333333333</v>
      </c>
      <c r="EU4" s="1946" t="n">
        <f aca="false">Revenue!AR71</f>
        <v>5208.33333333333</v>
      </c>
      <c r="EV4" s="1946" t="n">
        <f aca="false">Revenue!AS71</f>
        <v>5208.33333333333</v>
      </c>
      <c r="EW4" s="1946" t="n">
        <f aca="false">Revenue!AT71</f>
        <v>5208.33333333333</v>
      </c>
      <c r="EX4" s="1946" t="n">
        <f aca="false">Revenue!AU71</f>
        <v>5208.33333333333</v>
      </c>
      <c r="EY4" s="1946" t="n">
        <f aca="false">Revenue!AV71</f>
        <v>5208.33333333333</v>
      </c>
      <c r="EZ4" s="1947" t="n">
        <f aca="false">Revenue!AW71</f>
        <v>5208.33333333333</v>
      </c>
      <c r="FA4" s="1893"/>
      <c r="FB4" s="1967"/>
      <c r="FC4" s="1968" t="n">
        <f aca="false">Revenue!AX71</f>
        <v>5208.33333333333</v>
      </c>
      <c r="FD4" s="1969" t="n">
        <f aca="false">Revenue!AY71</f>
        <v>5208.33333333333</v>
      </c>
      <c r="FE4" s="1969" t="n">
        <f aca="false">Revenue!AZ71</f>
        <v>5208.33333333333</v>
      </c>
      <c r="FF4" s="1969" t="n">
        <f aca="false">Revenue!BA71</f>
        <v>5208.33333333333</v>
      </c>
      <c r="FG4" s="1969" t="n">
        <f aca="false">Revenue!BB71</f>
        <v>5208.33333333333</v>
      </c>
      <c r="FH4" s="1969" t="n">
        <f aca="false">Revenue!BC71</f>
        <v>5208.33333333333</v>
      </c>
      <c r="FI4" s="1969" t="n">
        <f aca="false">Revenue!BD71</f>
        <v>5208.33333333333</v>
      </c>
      <c r="FJ4" s="1969" t="n">
        <f aca="false">Revenue!BE71</f>
        <v>5208.33333333333</v>
      </c>
      <c r="FK4" s="1969" t="n">
        <f aca="false">Revenue!BF71</f>
        <v>5208.33333333333</v>
      </c>
      <c r="FL4" s="1969" t="n">
        <f aca="false">Revenue!BG71</f>
        <v>5208.33333333333</v>
      </c>
      <c r="FM4" s="1969" t="n">
        <f aca="false">Revenue!BH71</f>
        <v>5208.33333333333</v>
      </c>
      <c r="FN4" s="1970" t="n">
        <f aca="false">Revenue!BI71</f>
        <v>5208.33333333333</v>
      </c>
      <c r="FO4" s="1466"/>
      <c r="FP4" s="1896"/>
      <c r="FQ4" s="1958" t="str">
        <f aca="false">'Tables 5Y'!CK4</f>
        <v>Gross Margin</v>
      </c>
      <c r="FR4" s="1971" t="n">
        <f aca="false">'P&amp;L'!N25</f>
        <v>1632326.31792664</v>
      </c>
      <c r="FS4" s="1972" t="n">
        <f aca="false">'P&amp;L'!O25</f>
        <v>1813695.90880738</v>
      </c>
      <c r="FT4" s="1972" t="n">
        <f aca="false">'P&amp;L'!P25</f>
        <v>1995065.49968812</v>
      </c>
      <c r="FU4" s="1972" t="n">
        <f aca="false">'P&amp;L'!Q25</f>
        <v>2176435.09056886</v>
      </c>
      <c r="FV4" s="1972" t="n">
        <f aca="false">'P&amp;L'!R25</f>
        <v>2357804.6814496</v>
      </c>
      <c r="FW4" s="1972" t="n">
        <f aca="false">'P&amp;L'!S25</f>
        <v>2539174.27233033</v>
      </c>
      <c r="FX4" s="1972" t="n">
        <f aca="false">'P&amp;L'!T25</f>
        <v>2720543.86321107</v>
      </c>
      <c r="FY4" s="1972" t="n">
        <f aca="false">'P&amp;L'!U25</f>
        <v>2901913.45409181</v>
      </c>
      <c r="FZ4" s="1972" t="n">
        <f aca="false">'P&amp;L'!V25</f>
        <v>3083283.04497255</v>
      </c>
      <c r="GA4" s="1972" t="n">
        <f aca="false">'P&amp;L'!W25</f>
        <v>3264652.63585328</v>
      </c>
      <c r="GB4" s="1972" t="n">
        <f aca="false">'P&amp;L'!X25</f>
        <v>3446022.22673402</v>
      </c>
      <c r="GC4" s="1973" t="n">
        <f aca="false">'P&amp;L'!Y25</f>
        <v>3627391.81761476</v>
      </c>
      <c r="GD4" s="1893"/>
      <c r="GE4" s="1974" t="str">
        <f aca="false">FQ4</f>
        <v>Gross Margin</v>
      </c>
      <c r="GF4" s="1975" t="n">
        <f aca="false">'P&amp;L'!Z25</f>
        <v>7147661.32761515</v>
      </c>
      <c r="GG4" s="1976" t="n">
        <f aca="false">'P&amp;L'!AA25</f>
        <v>7147661.32761515</v>
      </c>
      <c r="GH4" s="1976" t="n">
        <f aca="false">'P&amp;L'!AB25</f>
        <v>7147661.32761515</v>
      </c>
      <c r="GI4" s="1976" t="n">
        <f aca="false">'P&amp;L'!AC25</f>
        <v>7147661.32761515</v>
      </c>
      <c r="GJ4" s="1976" t="n">
        <f aca="false">'P&amp;L'!AD25</f>
        <v>7147661.32761515</v>
      </c>
      <c r="GK4" s="1976" t="n">
        <f aca="false">'P&amp;L'!AE25</f>
        <v>7147661.32761515</v>
      </c>
      <c r="GL4" s="1976" t="n">
        <f aca="false">'P&amp;L'!AF25</f>
        <v>7147661.32761515</v>
      </c>
      <c r="GM4" s="1976" t="n">
        <f aca="false">'P&amp;L'!AG25</f>
        <v>7147661.32761515</v>
      </c>
      <c r="GN4" s="1976" t="n">
        <f aca="false">'P&amp;L'!AH25</f>
        <v>7147661.32761515</v>
      </c>
      <c r="GO4" s="1976" t="n">
        <f aca="false">'P&amp;L'!AI25</f>
        <v>7147661.32761515</v>
      </c>
      <c r="GP4" s="1976" t="n">
        <f aca="false">'P&amp;L'!AJ25</f>
        <v>7147661.32761515</v>
      </c>
      <c r="GQ4" s="1977" t="n">
        <f aca="false">'P&amp;L'!AK25</f>
        <v>7147661.32761515</v>
      </c>
      <c r="GR4" s="1893"/>
      <c r="GS4" s="1978" t="str">
        <f aca="false">GE4</f>
        <v>Gross Margin</v>
      </c>
      <c r="GT4" s="1979" t="n">
        <f aca="false">'P&amp;L'!AL25</f>
        <v>7947386.97440448</v>
      </c>
      <c r="GU4" s="1980" t="n">
        <f aca="false">'P&amp;L'!AM25</f>
        <v>7947386.97440448</v>
      </c>
      <c r="GV4" s="1980" t="n">
        <f aca="false">'P&amp;L'!AN25</f>
        <v>7947386.97440448</v>
      </c>
      <c r="GW4" s="1980" t="n">
        <f aca="false">'P&amp;L'!AO25</f>
        <v>7947386.97440448</v>
      </c>
      <c r="GX4" s="1980" t="n">
        <f aca="false">'P&amp;L'!AP25</f>
        <v>7947386.97440448</v>
      </c>
      <c r="GY4" s="1980" t="n">
        <f aca="false">'P&amp;L'!AQ25</f>
        <v>7947386.97440448</v>
      </c>
      <c r="GZ4" s="1980" t="n">
        <f aca="false">'P&amp;L'!AR25</f>
        <v>7947386.97440448</v>
      </c>
      <c r="HA4" s="1980" t="n">
        <f aca="false">'P&amp;L'!AS25</f>
        <v>7947386.97440448</v>
      </c>
      <c r="HB4" s="1980" t="n">
        <f aca="false">'P&amp;L'!AT25</f>
        <v>7947386.97440448</v>
      </c>
      <c r="HC4" s="1980" t="n">
        <f aca="false">'P&amp;L'!AU25</f>
        <v>7947386.97440448</v>
      </c>
      <c r="HD4" s="1980" t="n">
        <f aca="false">'P&amp;L'!AV25</f>
        <v>7947386.97440448</v>
      </c>
      <c r="HE4" s="1981" t="n">
        <f aca="false">'P&amp;L'!AW25</f>
        <v>7947386.97440448</v>
      </c>
      <c r="HF4" s="1896"/>
      <c r="HG4" s="1982" t="str">
        <f aca="false">GS4</f>
        <v>Gross Margin</v>
      </c>
      <c r="HH4" s="1983" t="n">
        <f aca="false">'P&amp;L'!AX25</f>
        <v>8747112.6211938</v>
      </c>
      <c r="HI4" s="1984" t="n">
        <f aca="false">'P&amp;L'!AY25</f>
        <v>8747112.6211938</v>
      </c>
      <c r="HJ4" s="1984" t="n">
        <f aca="false">'P&amp;L'!AZ25</f>
        <v>8747112.6211938</v>
      </c>
      <c r="HK4" s="1984" t="n">
        <f aca="false">'P&amp;L'!BA25</f>
        <v>8747112.6211938</v>
      </c>
      <c r="HL4" s="1984" t="n">
        <f aca="false">'P&amp;L'!BB25</f>
        <v>8747112.6211938</v>
      </c>
      <c r="HM4" s="1984" t="n">
        <f aca="false">'P&amp;L'!BC25</f>
        <v>8747112.6211938</v>
      </c>
      <c r="HN4" s="1984" t="n">
        <f aca="false">'P&amp;L'!BD25</f>
        <v>8747112.6211938</v>
      </c>
      <c r="HO4" s="1984" t="n">
        <f aca="false">'P&amp;L'!BE25</f>
        <v>8747112.6211938</v>
      </c>
      <c r="HP4" s="1984" t="n">
        <f aca="false">'P&amp;L'!BF25</f>
        <v>8747112.6211938</v>
      </c>
      <c r="HQ4" s="1984" t="n">
        <f aca="false">'P&amp;L'!BG25</f>
        <v>8747112.6211938</v>
      </c>
      <c r="HR4" s="1984" t="n">
        <f aca="false">'P&amp;L'!BH25</f>
        <v>8747112.6211938</v>
      </c>
      <c r="HS4" s="1985" t="n">
        <f aca="false">'P&amp;L'!BI25</f>
        <v>8747112.6211938</v>
      </c>
    </row>
    <row r="5" customFormat="false" ht="10.5" hidden="false" customHeight="true" outlineLevel="0" collapsed="false">
      <c r="A5" s="1641"/>
      <c r="B5" s="1936" t="str">
        <f aca="false">Personnel!A5</f>
        <v>Trades -2</v>
      </c>
      <c r="C5" s="1937" t="n">
        <f aca="false">Personnel!P5</f>
        <v>10</v>
      </c>
      <c r="D5" s="1938" t="n">
        <f aca="false">Personnel!Q5</f>
        <v>20</v>
      </c>
      <c r="E5" s="1938" t="n">
        <f aca="false">Personnel!R5</f>
        <v>30</v>
      </c>
      <c r="F5" s="1938" t="n">
        <f aca="false">Personnel!S5</f>
        <v>40</v>
      </c>
      <c r="G5" s="1938" t="n">
        <f aca="false">Personnel!T5</f>
        <v>50</v>
      </c>
      <c r="H5" s="1938" t="n">
        <f aca="false">Personnel!U5</f>
        <v>60</v>
      </c>
      <c r="I5" s="1938" t="n">
        <f aca="false">Personnel!V5</f>
        <v>70</v>
      </c>
      <c r="J5" s="1938" t="n">
        <f aca="false">Personnel!W5</f>
        <v>80</v>
      </c>
      <c r="K5" s="1938" t="n">
        <f aca="false">Personnel!X5</f>
        <v>80</v>
      </c>
      <c r="L5" s="1938" t="n">
        <f aca="false">Personnel!Y5</f>
        <v>80</v>
      </c>
      <c r="M5" s="1938" t="n">
        <f aca="false">Personnel!Z5</f>
        <v>80</v>
      </c>
      <c r="N5" s="1939" t="n">
        <f aca="false">Personnel!AA5</f>
        <v>80</v>
      </c>
      <c r="O5" s="1882"/>
      <c r="P5" s="1940" t="str">
        <f aca="false">B5</f>
        <v>Trades -2</v>
      </c>
      <c r="Q5" s="1941" t="n">
        <f aca="false">Personnel!AB5</f>
        <v>80</v>
      </c>
      <c r="R5" s="1942" t="n">
        <f aca="false">Personnel!AC5</f>
        <v>80</v>
      </c>
      <c r="S5" s="1942" t="n">
        <f aca="false">Personnel!AD5</f>
        <v>80</v>
      </c>
      <c r="T5" s="1942" t="n">
        <f aca="false">Personnel!AE5</f>
        <v>80</v>
      </c>
      <c r="U5" s="1942" t="n">
        <f aca="false">Personnel!AF5</f>
        <v>80</v>
      </c>
      <c r="V5" s="1942" t="n">
        <f aca="false">Personnel!AG5</f>
        <v>80</v>
      </c>
      <c r="W5" s="1942" t="n">
        <f aca="false">Personnel!AH5</f>
        <v>80</v>
      </c>
      <c r="X5" s="1942" t="n">
        <f aca="false">Personnel!AI5</f>
        <v>80</v>
      </c>
      <c r="Y5" s="1942" t="n">
        <f aca="false">Personnel!AJ5</f>
        <v>80</v>
      </c>
      <c r="Z5" s="1942" t="n">
        <f aca="false">Personnel!AK5</f>
        <v>80</v>
      </c>
      <c r="AA5" s="1942" t="n">
        <f aca="false">Personnel!AL5</f>
        <v>80</v>
      </c>
      <c r="AB5" s="1943" t="n">
        <f aca="false">Personnel!AM5</f>
        <v>80</v>
      </c>
      <c r="AC5" s="1882"/>
      <c r="AD5" s="1944" t="str">
        <f aca="false">P5</f>
        <v>Trades -2</v>
      </c>
      <c r="AE5" s="1945" t="n">
        <f aca="false">Personnel!AN5</f>
        <v>80</v>
      </c>
      <c r="AF5" s="1946" t="n">
        <f aca="false">Personnel!AO5</f>
        <v>80</v>
      </c>
      <c r="AG5" s="1946" t="n">
        <f aca="false">Personnel!AP5</f>
        <v>80</v>
      </c>
      <c r="AH5" s="1946" t="n">
        <f aca="false">Personnel!AQ5</f>
        <v>80</v>
      </c>
      <c r="AI5" s="1946" t="n">
        <f aca="false">Personnel!AR5</f>
        <v>80</v>
      </c>
      <c r="AJ5" s="1946" t="n">
        <f aca="false">Personnel!AS5</f>
        <v>80</v>
      </c>
      <c r="AK5" s="1946" t="n">
        <f aca="false">Personnel!AT5</f>
        <v>80</v>
      </c>
      <c r="AL5" s="1946" t="n">
        <f aca="false">Personnel!AU5</f>
        <v>80</v>
      </c>
      <c r="AM5" s="1946" t="n">
        <f aca="false">Personnel!AV5</f>
        <v>80</v>
      </c>
      <c r="AN5" s="1946" t="n">
        <f aca="false">Personnel!AW5</f>
        <v>80</v>
      </c>
      <c r="AO5" s="1946" t="n">
        <f aca="false">Personnel!AX5</f>
        <v>80</v>
      </c>
      <c r="AP5" s="1947" t="n">
        <f aca="false">Personnel!AY5</f>
        <v>80</v>
      </c>
      <c r="AQ5" s="1882"/>
      <c r="AR5" s="1948" t="str">
        <f aca="false">AD5</f>
        <v>Trades -2</v>
      </c>
      <c r="AS5" s="1949" t="n">
        <f aca="false">Personnel!AZ5</f>
        <v>80</v>
      </c>
      <c r="AT5" s="1950" t="n">
        <f aca="false">Personnel!BA5</f>
        <v>80</v>
      </c>
      <c r="AU5" s="1950" t="n">
        <f aca="false">Personnel!BB5</f>
        <v>80</v>
      </c>
      <c r="AV5" s="1950" t="n">
        <f aca="false">Personnel!BC5</f>
        <v>80</v>
      </c>
      <c r="AW5" s="1950" t="n">
        <f aca="false">Personnel!BD5</f>
        <v>80</v>
      </c>
      <c r="AX5" s="1950" t="n">
        <f aca="false">Personnel!BE5</f>
        <v>80</v>
      </c>
      <c r="AY5" s="1950" t="n">
        <f aca="false">Personnel!BF5</f>
        <v>80</v>
      </c>
      <c r="AZ5" s="1950" t="n">
        <f aca="false">Personnel!BG5</f>
        <v>80</v>
      </c>
      <c r="BA5" s="1950" t="n">
        <f aca="false">Personnel!BH5</f>
        <v>80</v>
      </c>
      <c r="BB5" s="1950" t="n">
        <f aca="false">Personnel!BI5</f>
        <v>80</v>
      </c>
      <c r="BC5" s="1950" t="n">
        <f aca="false">Personnel!BJ5</f>
        <v>80</v>
      </c>
      <c r="BD5" s="1951" t="n">
        <f aca="false">Personnel!BK5</f>
        <v>80</v>
      </c>
      <c r="BE5" s="1466"/>
      <c r="BF5" s="1885"/>
      <c r="BG5" s="1915" t="str">
        <f aca="false">Revenue!A92</f>
        <v>CS-6</v>
      </c>
      <c r="BH5" s="1916" t="n">
        <f aca="false">Revenue!N92</f>
        <v>170995.982142857</v>
      </c>
      <c r="BI5" s="1916" t="n">
        <f aca="false">Revenue!O92</f>
        <v>189995.535714286</v>
      </c>
      <c r="BJ5" s="1916" t="n">
        <f aca="false">Revenue!P92</f>
        <v>208995.089285714</v>
      </c>
      <c r="BK5" s="1916" t="n">
        <f aca="false">Revenue!Q92</f>
        <v>227994.642857143</v>
      </c>
      <c r="BL5" s="1916" t="n">
        <f aca="false">Revenue!R92</f>
        <v>246994.196428572</v>
      </c>
      <c r="BM5" s="1916" t="n">
        <f aca="false">Revenue!S92</f>
        <v>265993.75</v>
      </c>
      <c r="BN5" s="1916" t="n">
        <f aca="false">Revenue!T92</f>
        <v>284993.303571429</v>
      </c>
      <c r="BO5" s="1916" t="n">
        <f aca="false">Revenue!U92</f>
        <v>303992.857142857</v>
      </c>
      <c r="BP5" s="1916" t="n">
        <f aca="false">Revenue!V92</f>
        <v>322992.410714286</v>
      </c>
      <c r="BQ5" s="1916" t="n">
        <f aca="false">Revenue!W92</f>
        <v>341991.964285715</v>
      </c>
      <c r="BR5" s="1916" t="n">
        <f aca="false">Revenue!X92</f>
        <v>360991.517857143</v>
      </c>
      <c r="BS5" s="1915" t="n">
        <f aca="false">Revenue!Y92</f>
        <v>379991.071428572</v>
      </c>
      <c r="BT5" s="1888"/>
      <c r="BU5" s="1952" t="str">
        <f aca="false">BG5</f>
        <v>CS-6</v>
      </c>
      <c r="BV5" s="1952" t="n">
        <f aca="false">Revenue!Z60</f>
        <v>15625</v>
      </c>
      <c r="BW5" s="1952" t="n">
        <f aca="false">Revenue!AA60</f>
        <v>15625</v>
      </c>
      <c r="BX5" s="1953" t="n">
        <f aca="false">Revenue!AB60</f>
        <v>15625</v>
      </c>
      <c r="BY5" s="1952" t="n">
        <f aca="false">Revenue!AC60</f>
        <v>15625</v>
      </c>
      <c r="BZ5" s="1952" t="n">
        <f aca="false">Revenue!AD60</f>
        <v>15625</v>
      </c>
      <c r="CA5" s="1952" t="n">
        <f aca="false">Revenue!AE60</f>
        <v>15625</v>
      </c>
      <c r="CB5" s="1952" t="n">
        <f aca="false">Revenue!AF60</f>
        <v>15625</v>
      </c>
      <c r="CC5" s="1952" t="n">
        <f aca="false">Revenue!AG60</f>
        <v>15625</v>
      </c>
      <c r="CD5" s="1952" t="n">
        <f aca="false">Revenue!AH60</f>
        <v>15625</v>
      </c>
      <c r="CE5" s="1952" t="n">
        <f aca="false">Revenue!AI60</f>
        <v>15625</v>
      </c>
      <c r="CF5" s="1952" t="n">
        <f aca="false">Revenue!AJ60</f>
        <v>15625</v>
      </c>
      <c r="CG5" s="1952" t="n">
        <f aca="false">Revenue!AK60</f>
        <v>15625</v>
      </c>
      <c r="CH5" s="1891"/>
      <c r="CI5" s="1954" t="str">
        <f aca="false">BU5</f>
        <v>CS-6</v>
      </c>
      <c r="CJ5" s="1955" t="n">
        <f aca="false">Revenue!AL60</f>
        <v>15625</v>
      </c>
      <c r="CK5" s="1955" t="n">
        <f aca="false">Revenue!AM60</f>
        <v>15625</v>
      </c>
      <c r="CL5" s="1955" t="n">
        <f aca="false">Revenue!AN60</f>
        <v>15625</v>
      </c>
      <c r="CM5" s="1955" t="n">
        <f aca="false">Revenue!AO60</f>
        <v>15625</v>
      </c>
      <c r="CN5" s="1955" t="n">
        <f aca="false">Revenue!AP60</f>
        <v>15625</v>
      </c>
      <c r="CO5" s="1955" t="n">
        <f aca="false">Revenue!AQ60</f>
        <v>15625</v>
      </c>
      <c r="CP5" s="1955" t="n">
        <f aca="false">Revenue!AR60</f>
        <v>15625</v>
      </c>
      <c r="CQ5" s="1955" t="n">
        <f aca="false">Revenue!AS60</f>
        <v>15625</v>
      </c>
      <c r="CR5" s="1955" t="n">
        <f aca="false">Revenue!AT60</f>
        <v>15625</v>
      </c>
      <c r="CS5" s="1955" t="n">
        <f aca="false">Revenue!AU60</f>
        <v>15625</v>
      </c>
      <c r="CT5" s="1955" t="n">
        <f aca="false">Revenue!AV60</f>
        <v>15625</v>
      </c>
      <c r="CU5" s="1955" t="n">
        <f aca="false">Revenue!AW60</f>
        <v>15625</v>
      </c>
      <c r="CV5" s="1888"/>
      <c r="CW5" s="1956" t="str">
        <f aca="false">CI5</f>
        <v>CS-6</v>
      </c>
      <c r="CX5" s="1957" t="n">
        <f aca="false">Revenue!AX60</f>
        <v>15625</v>
      </c>
      <c r="CY5" s="1957" t="n">
        <f aca="false">Revenue!AY60</f>
        <v>15625</v>
      </c>
      <c r="CZ5" s="1957" t="n">
        <f aca="false">Revenue!AZ60</f>
        <v>15625</v>
      </c>
      <c r="DA5" s="1957" t="n">
        <f aca="false">Revenue!BA60</f>
        <v>15625</v>
      </c>
      <c r="DB5" s="1957" t="n">
        <f aca="false">Revenue!BB60</f>
        <v>15625</v>
      </c>
      <c r="DC5" s="1957" t="n">
        <f aca="false">Revenue!BC60</f>
        <v>15625</v>
      </c>
      <c r="DD5" s="1957" t="n">
        <f aca="false">Revenue!BD60</f>
        <v>15625</v>
      </c>
      <c r="DE5" s="1957" t="n">
        <f aca="false">Revenue!BE60</f>
        <v>15625</v>
      </c>
      <c r="DF5" s="1957" t="n">
        <f aca="false">Revenue!BF60</f>
        <v>15625</v>
      </c>
      <c r="DG5" s="1957" t="n">
        <f aca="false">Revenue!BG60</f>
        <v>15625</v>
      </c>
      <c r="DH5" s="1957" t="n">
        <f aca="false">Revenue!BH60</f>
        <v>15625</v>
      </c>
      <c r="DI5" s="1957" t="n">
        <f aca="false">Revenue!BI60</f>
        <v>15625</v>
      </c>
      <c r="DJ5" s="1466"/>
      <c r="DK5" s="1163"/>
      <c r="DL5" s="1958"/>
      <c r="DM5" s="1959" t="n">
        <v>0</v>
      </c>
      <c r="DN5" s="1960" t="n">
        <v>0</v>
      </c>
      <c r="DO5" s="1960" t="n">
        <f aca="false">Revenue!P72</f>
        <v>1636.90476190476</v>
      </c>
      <c r="DP5" s="1960" t="n">
        <f aca="false">Revenue!Q72</f>
        <v>1785.71428571429</v>
      </c>
      <c r="DQ5" s="1960" t="n">
        <f aca="false">Revenue!R72</f>
        <v>1934.52380952381</v>
      </c>
      <c r="DR5" s="1960" t="n">
        <f aca="false">Revenue!S72</f>
        <v>2083.33333333333</v>
      </c>
      <c r="DS5" s="1960" t="n">
        <f aca="false">Revenue!T72</f>
        <v>2232.14285714286</v>
      </c>
      <c r="DT5" s="1960" t="n">
        <f aca="false">Revenue!U72</f>
        <v>2380.95238095238</v>
      </c>
      <c r="DU5" s="1960" t="n">
        <f aca="false">Revenue!V72</f>
        <v>2529.76190476191</v>
      </c>
      <c r="DV5" s="1960" t="n">
        <f aca="false">Revenue!W72</f>
        <v>2678.57142857143</v>
      </c>
      <c r="DW5" s="1960" t="n">
        <f aca="false">Revenue!X72</f>
        <v>2827.38095238095</v>
      </c>
      <c r="DX5" s="1961" t="n">
        <f aca="false">Revenue!Y72</f>
        <v>2976.19047619048</v>
      </c>
      <c r="DY5" s="1893"/>
      <c r="DZ5" s="1962"/>
      <c r="EA5" s="1963" t="n">
        <f aca="false">Revenue!Z72</f>
        <v>5208.33333333333</v>
      </c>
      <c r="EB5" s="1964" t="n">
        <f aca="false">Revenue!AA72</f>
        <v>5208.33333333333</v>
      </c>
      <c r="EC5" s="1964" t="n">
        <f aca="false">Revenue!AB72</f>
        <v>5208.33333333333</v>
      </c>
      <c r="ED5" s="1964" t="n">
        <f aca="false">Revenue!AC72</f>
        <v>5208.33333333333</v>
      </c>
      <c r="EE5" s="1964" t="n">
        <f aca="false">Revenue!AD72</f>
        <v>5208.33333333333</v>
      </c>
      <c r="EF5" s="1964" t="n">
        <f aca="false">Revenue!AE72</f>
        <v>5208.33333333333</v>
      </c>
      <c r="EG5" s="1964" t="n">
        <f aca="false">Revenue!AF72</f>
        <v>5208.33333333333</v>
      </c>
      <c r="EH5" s="1964" t="n">
        <f aca="false">Revenue!AG72</f>
        <v>5208.33333333333</v>
      </c>
      <c r="EI5" s="1964" t="n">
        <f aca="false">Revenue!AH72</f>
        <v>5208.33333333333</v>
      </c>
      <c r="EJ5" s="1964" t="n">
        <f aca="false">Revenue!AI72</f>
        <v>5208.33333333333</v>
      </c>
      <c r="EK5" s="1964" t="n">
        <f aca="false">Revenue!AJ72</f>
        <v>5208.33333333333</v>
      </c>
      <c r="EL5" s="1965" t="n">
        <f aca="false">Revenue!AK72</f>
        <v>5208.33333333333</v>
      </c>
      <c r="EM5" s="1893"/>
      <c r="EN5" s="1966"/>
      <c r="EO5" s="1945" t="n">
        <f aca="false">Revenue!AL72</f>
        <v>5208.33333333333</v>
      </c>
      <c r="EP5" s="1946" t="n">
        <f aca="false">Revenue!AM72</f>
        <v>5208.33333333333</v>
      </c>
      <c r="EQ5" s="1946" t="n">
        <f aca="false">Revenue!AN72</f>
        <v>5208.33333333333</v>
      </c>
      <c r="ER5" s="1946" t="n">
        <f aca="false">Revenue!AO72</f>
        <v>5208.33333333333</v>
      </c>
      <c r="ES5" s="1946" t="n">
        <f aca="false">Revenue!AP72</f>
        <v>5208.33333333333</v>
      </c>
      <c r="ET5" s="1946" t="n">
        <f aca="false">Revenue!AQ72</f>
        <v>5208.33333333333</v>
      </c>
      <c r="EU5" s="1946" t="n">
        <f aca="false">Revenue!AR72</f>
        <v>5208.33333333333</v>
      </c>
      <c r="EV5" s="1946" t="n">
        <f aca="false">Revenue!AS72</f>
        <v>5208.33333333333</v>
      </c>
      <c r="EW5" s="1946" t="n">
        <f aca="false">Revenue!AT72</f>
        <v>5208.33333333333</v>
      </c>
      <c r="EX5" s="1946" t="n">
        <f aca="false">Revenue!AU72</f>
        <v>5208.33333333333</v>
      </c>
      <c r="EY5" s="1946" t="n">
        <f aca="false">Revenue!AV72</f>
        <v>5208.33333333333</v>
      </c>
      <c r="EZ5" s="1947" t="n">
        <f aca="false">Revenue!AW72</f>
        <v>5208.33333333333</v>
      </c>
      <c r="FA5" s="1893"/>
      <c r="FB5" s="1967"/>
      <c r="FC5" s="1968" t="n">
        <f aca="false">Revenue!AX72</f>
        <v>5208.33333333333</v>
      </c>
      <c r="FD5" s="1969" t="n">
        <f aca="false">Revenue!AY72</f>
        <v>5208.33333333333</v>
      </c>
      <c r="FE5" s="1969" t="n">
        <f aca="false">Revenue!AZ72</f>
        <v>5208.33333333333</v>
      </c>
      <c r="FF5" s="1969" t="n">
        <f aca="false">Revenue!BA72</f>
        <v>5208.33333333333</v>
      </c>
      <c r="FG5" s="1969" t="n">
        <f aca="false">Revenue!BB72</f>
        <v>5208.33333333333</v>
      </c>
      <c r="FH5" s="1969" t="n">
        <f aca="false">Revenue!BC72</f>
        <v>5208.33333333333</v>
      </c>
      <c r="FI5" s="1969" t="n">
        <f aca="false">Revenue!BD72</f>
        <v>5208.33333333333</v>
      </c>
      <c r="FJ5" s="1969" t="n">
        <f aca="false">Revenue!BE72</f>
        <v>5208.33333333333</v>
      </c>
      <c r="FK5" s="1969" t="n">
        <f aca="false">Revenue!BF72</f>
        <v>5208.33333333333</v>
      </c>
      <c r="FL5" s="1969" t="n">
        <f aca="false">Revenue!BG72</f>
        <v>5208.33333333333</v>
      </c>
      <c r="FM5" s="1969" t="n">
        <f aca="false">Revenue!BH72</f>
        <v>5208.33333333333</v>
      </c>
      <c r="FN5" s="1970" t="n">
        <f aca="false">Revenue!BI72</f>
        <v>5208.33333333333</v>
      </c>
      <c r="FO5" s="1466"/>
      <c r="FP5" s="1896"/>
      <c r="FQ5" s="1986" t="str">
        <f aca="false">'Tables 5Y'!CK5</f>
        <v>Gross Margin/Revenue</v>
      </c>
      <c r="FR5" s="1987" t="n">
        <f aca="false">IF(FR2=0,"NA",'P&amp;L'!N26)</f>
        <v>0.497186957518649</v>
      </c>
      <c r="FS5" s="1988" t="n">
        <f aca="false">IF(FS2=0,"NA",'P&amp;L'!O26)</f>
        <v>0.497186957518649</v>
      </c>
      <c r="FT5" s="1988" t="n">
        <f aca="false">IF(FT2=0,"NA",'P&amp;L'!P26)</f>
        <v>0.497186957518649</v>
      </c>
      <c r="FU5" s="1988" t="n">
        <f aca="false">IF(FU2=0,"NA",'P&amp;L'!Q26)</f>
        <v>0.497186957518649</v>
      </c>
      <c r="FV5" s="1988" t="n">
        <f aca="false">IF(FV2=0,"NA",'P&amp;L'!R26)</f>
        <v>0.497186957518649</v>
      </c>
      <c r="FW5" s="1988" t="n">
        <f aca="false">IF(FW2=0,"NA",'P&amp;L'!S26)</f>
        <v>0.497186957518649</v>
      </c>
      <c r="FX5" s="1988" t="n">
        <f aca="false">IF(FX2=0,"NA",'P&amp;L'!T26)</f>
        <v>0.497186957518649</v>
      </c>
      <c r="FY5" s="1988" t="n">
        <f aca="false">IF(FY2=0,"NA",'P&amp;L'!U26)</f>
        <v>0.497186957518649</v>
      </c>
      <c r="FZ5" s="1988" t="n">
        <f aca="false">IF(FZ2=0,"NA",'P&amp;L'!V26)</f>
        <v>0.497186957518649</v>
      </c>
      <c r="GA5" s="1988" t="n">
        <f aca="false">IF(GA2=0,"NA",'P&amp;L'!W26)</f>
        <v>0.497186957518649</v>
      </c>
      <c r="GB5" s="1988" t="n">
        <f aca="false">IF(GB2=0,"NA",'P&amp;L'!X26)</f>
        <v>0.497186957518649</v>
      </c>
      <c r="GC5" s="1989" t="n">
        <f aca="false">IF(GC2=0,"NA",'P&amp;L'!Y26)</f>
        <v>0.497186957518649</v>
      </c>
      <c r="GD5" s="1893"/>
      <c r="GE5" s="1990" t="str">
        <f aca="false">FQ5</f>
        <v>Gross Margin/Revenue</v>
      </c>
      <c r="GF5" s="1991" t="n">
        <f aca="false">IF(GF2=0,"NA",'P&amp;L'!Z26)</f>
        <v>0.51317160206156</v>
      </c>
      <c r="GG5" s="1992" t="n">
        <f aca="false">IF(GG2=0,"NA",'P&amp;L'!AA26)</f>
        <v>0.51317160206156</v>
      </c>
      <c r="GH5" s="1992" t="n">
        <f aca="false">IF(GH2=0,"NA",'P&amp;L'!AB26)</f>
        <v>0.51317160206156</v>
      </c>
      <c r="GI5" s="1992" t="n">
        <f aca="false">IF(GI2=0,"NA",'P&amp;L'!AC26)</f>
        <v>0.51317160206156</v>
      </c>
      <c r="GJ5" s="1992" t="n">
        <f aca="false">IF(GJ2=0,"NA",'P&amp;L'!AD26)</f>
        <v>0.51317160206156</v>
      </c>
      <c r="GK5" s="1992" t="n">
        <f aca="false">IF(GK2=0,"NA",'P&amp;L'!AE26)</f>
        <v>0.51317160206156</v>
      </c>
      <c r="GL5" s="1992" t="n">
        <f aca="false">IF(GL2=0,"NA",'P&amp;L'!AF26)</f>
        <v>0.51317160206156</v>
      </c>
      <c r="GM5" s="1992" t="n">
        <f aca="false">IF(GM2=0,"NA",'P&amp;L'!AG26)</f>
        <v>0.51317160206156</v>
      </c>
      <c r="GN5" s="1992" t="n">
        <f aca="false">IF(GN2=0,"NA",'P&amp;L'!AH26)</f>
        <v>0.51317160206156</v>
      </c>
      <c r="GO5" s="1992" t="n">
        <f aca="false">IF(GO2=0,"NA",'P&amp;L'!AI26)</f>
        <v>0.51317160206156</v>
      </c>
      <c r="GP5" s="1992" t="n">
        <f aca="false">IF(GP2=0,"NA",'P&amp;L'!AJ26)</f>
        <v>0.51317160206156</v>
      </c>
      <c r="GQ5" s="1993" t="n">
        <f aca="false">IF(GQ2=0,"NA",'P&amp;L'!AK26)</f>
        <v>0.51317160206156</v>
      </c>
      <c r="GR5" s="1893"/>
      <c r="GS5" s="1994" t="str">
        <f aca="false">GE5</f>
        <v>Gross Margin/Revenue</v>
      </c>
      <c r="GT5" s="1995" t="n">
        <f aca="false">IF(GT2=0,"N/A",'P&amp;L'!AL26)</f>
        <v>0.526697070520946</v>
      </c>
      <c r="GU5" s="1996" t="n">
        <f aca="false">IF(GU2=0,"N/A",'P&amp;L'!AM26)</f>
        <v>0.526697070520946</v>
      </c>
      <c r="GV5" s="1996" t="n">
        <f aca="false">IF(GV2=0,"N/A",'P&amp;L'!AN26)</f>
        <v>0.526697070520946</v>
      </c>
      <c r="GW5" s="1996" t="n">
        <f aca="false">IF(GW2=0,"N/A",'P&amp;L'!AO26)</f>
        <v>0.526697070520946</v>
      </c>
      <c r="GX5" s="1996" t="n">
        <f aca="false">IF(GX2=0,"N/A",'P&amp;L'!AP26)</f>
        <v>0.526697070520946</v>
      </c>
      <c r="GY5" s="1996" t="n">
        <f aca="false">IF(GY2=0,"N/A",'P&amp;L'!AQ26)</f>
        <v>0.526697070520946</v>
      </c>
      <c r="GZ5" s="1996" t="n">
        <f aca="false">IF(GZ2=0,"N/A",'P&amp;L'!AR26)</f>
        <v>0.526697070520946</v>
      </c>
      <c r="HA5" s="1996" t="n">
        <f aca="false">IF(HA2=0,"N/A",'P&amp;L'!AS26)</f>
        <v>0.526697070520946</v>
      </c>
      <c r="HB5" s="1996" t="n">
        <f aca="false">IF(HB2=0,"N/A",'P&amp;L'!AT26)</f>
        <v>0.526697070520946</v>
      </c>
      <c r="HC5" s="1996" t="n">
        <f aca="false">IF(HC2=0,"N/A",'P&amp;L'!AU26)</f>
        <v>0.526697070520946</v>
      </c>
      <c r="HD5" s="1996" t="n">
        <f aca="false">IF(HD2=0,"N/A",'P&amp;L'!AV26)</f>
        <v>0.526697070520946</v>
      </c>
      <c r="HE5" s="1997" t="n">
        <f aca="false">IF(HE2=0,"N/A",'P&amp;L'!AW26)</f>
        <v>0.526697070520946</v>
      </c>
      <c r="HF5" s="1896"/>
      <c r="HG5" s="1998" t="str">
        <f aca="false">GS5</f>
        <v>Gross Margin/Revenue</v>
      </c>
      <c r="HH5" s="1999" t="n">
        <f aca="false">IF(HH2=0,"N/A",'P&amp;L'!AX26)</f>
        <v>0.538290329200419</v>
      </c>
      <c r="HI5" s="2000" t="n">
        <f aca="false">IF(HI2=0,"N/A",'P&amp;L'!AY26)</f>
        <v>0.538290329200419</v>
      </c>
      <c r="HJ5" s="2000" t="n">
        <f aca="false">IF(HJ2=0,"N/A",'P&amp;L'!AZ26)</f>
        <v>0.538290329200419</v>
      </c>
      <c r="HK5" s="2000" t="n">
        <f aca="false">IF(HK2=0,"N/A",'P&amp;L'!BA26)</f>
        <v>0.538290329200419</v>
      </c>
      <c r="HL5" s="2000" t="n">
        <f aca="false">IF(HL2=0,"N/A",'P&amp;L'!BB26)</f>
        <v>0.538290329200419</v>
      </c>
      <c r="HM5" s="2000" t="n">
        <f aca="false">IF(HM2=0,"N/A",'P&amp;L'!BC26)</f>
        <v>0.538290329200419</v>
      </c>
      <c r="HN5" s="2000" t="n">
        <f aca="false">IF(HN2=0,"N/A",'P&amp;L'!BD26)</f>
        <v>0.538290329200419</v>
      </c>
      <c r="HO5" s="2000" t="n">
        <f aca="false">IF(HO2=0,"N/A",'P&amp;L'!BE26)</f>
        <v>0.538290329200419</v>
      </c>
      <c r="HP5" s="2000" t="n">
        <f aca="false">IF(HP2=0,"N/A",'P&amp;L'!BF26)</f>
        <v>0.538290329200419</v>
      </c>
      <c r="HQ5" s="2000" t="n">
        <f aca="false">IF(HQ2=0,"N/A",'P&amp;L'!BG26)</f>
        <v>0.538290329200419</v>
      </c>
      <c r="HR5" s="2000" t="n">
        <f aca="false">IF(HR2=0,"N/A",'P&amp;L'!BH26)</f>
        <v>0.538290329200419</v>
      </c>
      <c r="HS5" s="2001" t="n">
        <f aca="false">IF(HS2=0,"N/A",'P&amp;L'!BI26)</f>
        <v>0.538290329200419</v>
      </c>
    </row>
    <row r="6" customFormat="false" ht="10.5" hidden="false" customHeight="true" outlineLevel="0" collapsed="false">
      <c r="A6" s="1641"/>
      <c r="B6" s="1936" t="str">
        <f aca="false">Personnel!A6</f>
        <v>Admin-2</v>
      </c>
      <c r="C6" s="1937" t="n">
        <f aca="false">Personnel!P6</f>
        <v>0</v>
      </c>
      <c r="D6" s="1938" t="n">
        <f aca="false">Personnel!Q6</f>
        <v>0</v>
      </c>
      <c r="E6" s="1938" t="n">
        <f aca="false">Personnel!R6</f>
        <v>0</v>
      </c>
      <c r="F6" s="1938" t="n">
        <f aca="false">Personnel!S6</f>
        <v>0</v>
      </c>
      <c r="G6" s="1938" t="n">
        <f aca="false">Personnel!T6</f>
        <v>0</v>
      </c>
      <c r="H6" s="1938" t="n">
        <f aca="false">Personnel!U6</f>
        <v>0</v>
      </c>
      <c r="I6" s="1938" t="n">
        <f aca="false">Personnel!V6</f>
        <v>0</v>
      </c>
      <c r="J6" s="1938" t="n">
        <f aca="false">Personnel!W6</f>
        <v>0</v>
      </c>
      <c r="K6" s="1938" t="n">
        <f aca="false">Personnel!X6</f>
        <v>0</v>
      </c>
      <c r="L6" s="1938" t="n">
        <f aca="false">Personnel!Y6</f>
        <v>0</v>
      </c>
      <c r="M6" s="1938" t="n">
        <f aca="false">Personnel!Z6</f>
        <v>0</v>
      </c>
      <c r="N6" s="1939" t="n">
        <f aca="false">Personnel!AA6</f>
        <v>0</v>
      </c>
      <c r="O6" s="1882"/>
      <c r="P6" s="1940" t="str">
        <f aca="false">B6</f>
        <v>Admin-2</v>
      </c>
      <c r="Q6" s="1941" t="n">
        <f aca="false">Personnel!AB6</f>
        <v>0</v>
      </c>
      <c r="R6" s="1942" t="n">
        <f aca="false">Personnel!AC6</f>
        <v>0</v>
      </c>
      <c r="S6" s="1942" t="n">
        <f aca="false">Personnel!AD6</f>
        <v>0</v>
      </c>
      <c r="T6" s="1942" t="n">
        <f aca="false">Personnel!AE6</f>
        <v>0</v>
      </c>
      <c r="U6" s="1942" t="n">
        <f aca="false">Personnel!AF6</f>
        <v>0</v>
      </c>
      <c r="V6" s="1942" t="n">
        <f aca="false">Personnel!AG6</f>
        <v>0</v>
      </c>
      <c r="W6" s="1942" t="n">
        <f aca="false">Personnel!AH6</f>
        <v>0</v>
      </c>
      <c r="X6" s="1942" t="n">
        <f aca="false">Personnel!AI6</f>
        <v>0</v>
      </c>
      <c r="Y6" s="1942" t="n">
        <f aca="false">Personnel!AJ6</f>
        <v>0</v>
      </c>
      <c r="Z6" s="1942" t="n">
        <f aca="false">Personnel!AK6</f>
        <v>0</v>
      </c>
      <c r="AA6" s="1942" t="n">
        <f aca="false">Personnel!AL6</f>
        <v>0</v>
      </c>
      <c r="AB6" s="1943" t="n">
        <f aca="false">Personnel!AM6</f>
        <v>0</v>
      </c>
      <c r="AC6" s="1882"/>
      <c r="AD6" s="1944" t="str">
        <f aca="false">P6</f>
        <v>Admin-2</v>
      </c>
      <c r="AE6" s="1945" t="n">
        <f aca="false">Personnel!AN6</f>
        <v>0</v>
      </c>
      <c r="AF6" s="1946" t="n">
        <f aca="false">Personnel!AO6</f>
        <v>0</v>
      </c>
      <c r="AG6" s="1946" t="n">
        <f aca="false">Personnel!AP6</f>
        <v>0</v>
      </c>
      <c r="AH6" s="1946" t="n">
        <f aca="false">Personnel!AQ6</f>
        <v>0</v>
      </c>
      <c r="AI6" s="1946" t="n">
        <f aca="false">Personnel!AR6</f>
        <v>0</v>
      </c>
      <c r="AJ6" s="1946" t="n">
        <f aca="false">Personnel!AS6</f>
        <v>0</v>
      </c>
      <c r="AK6" s="1946" t="n">
        <f aca="false">Personnel!AT6</f>
        <v>0</v>
      </c>
      <c r="AL6" s="1946" t="n">
        <f aca="false">Personnel!AU6</f>
        <v>0</v>
      </c>
      <c r="AM6" s="1946" t="n">
        <f aca="false">Personnel!AV6</f>
        <v>0</v>
      </c>
      <c r="AN6" s="1946" t="n">
        <f aca="false">Personnel!AW6</f>
        <v>0</v>
      </c>
      <c r="AO6" s="1946" t="n">
        <f aca="false">Personnel!AX6</f>
        <v>0</v>
      </c>
      <c r="AP6" s="1947" t="n">
        <f aca="false">Personnel!AY6</f>
        <v>0</v>
      </c>
      <c r="AQ6" s="1882"/>
      <c r="AR6" s="1948" t="str">
        <f aca="false">AD6</f>
        <v>Admin-2</v>
      </c>
      <c r="AS6" s="1949" t="n">
        <f aca="false">Personnel!AZ6</f>
        <v>0</v>
      </c>
      <c r="AT6" s="1950" t="n">
        <f aca="false">Personnel!BA6</f>
        <v>0</v>
      </c>
      <c r="AU6" s="1950" t="n">
        <f aca="false">Personnel!BB6</f>
        <v>0</v>
      </c>
      <c r="AV6" s="1950" t="n">
        <f aca="false">Personnel!BC6</f>
        <v>0</v>
      </c>
      <c r="AW6" s="1950" t="n">
        <f aca="false">Personnel!BD6</f>
        <v>0</v>
      </c>
      <c r="AX6" s="1950" t="n">
        <f aca="false">Personnel!BE6</f>
        <v>0</v>
      </c>
      <c r="AY6" s="1950" t="n">
        <f aca="false">Personnel!BF6</f>
        <v>0</v>
      </c>
      <c r="AZ6" s="1950" t="n">
        <f aca="false">Personnel!BG6</f>
        <v>0</v>
      </c>
      <c r="BA6" s="1950" t="n">
        <f aca="false">Personnel!BH6</f>
        <v>0</v>
      </c>
      <c r="BB6" s="1950" t="n">
        <f aca="false">Personnel!BI6</f>
        <v>0</v>
      </c>
      <c r="BC6" s="1950" t="n">
        <f aca="false">Personnel!BJ6</f>
        <v>0</v>
      </c>
      <c r="BD6" s="1951" t="n">
        <f aca="false">Personnel!BK6</f>
        <v>0</v>
      </c>
      <c r="BE6" s="1466"/>
      <c r="BF6" s="1885"/>
      <c r="BG6" s="1915" t="str">
        <f aca="false">Revenue!A93</f>
        <v>CS-8</v>
      </c>
      <c r="BH6" s="1916" t="n">
        <f aca="false">Revenue!N93</f>
        <v>227994.642857143</v>
      </c>
      <c r="BI6" s="1916" t="n">
        <f aca="false">Revenue!O93</f>
        <v>253327.380952381</v>
      </c>
      <c r="BJ6" s="1916" t="n">
        <f aca="false">Revenue!P93</f>
        <v>278660.119047619</v>
      </c>
      <c r="BK6" s="1916" t="n">
        <f aca="false">Revenue!Q93</f>
        <v>303992.857142857</v>
      </c>
      <c r="BL6" s="1916" t="n">
        <f aca="false">Revenue!R93</f>
        <v>329325.595238095</v>
      </c>
      <c r="BM6" s="1916" t="n">
        <f aca="false">Revenue!S93</f>
        <v>354658.333333333</v>
      </c>
      <c r="BN6" s="1916" t="n">
        <f aca="false">Revenue!T93</f>
        <v>379991.071428572</v>
      </c>
      <c r="BO6" s="1916" t="n">
        <f aca="false">Revenue!U93</f>
        <v>405323.80952381</v>
      </c>
      <c r="BP6" s="1916" t="n">
        <f aca="false">Revenue!V93</f>
        <v>430656.547619047</v>
      </c>
      <c r="BQ6" s="1916" t="n">
        <f aca="false">Revenue!W93</f>
        <v>455989.285714285</v>
      </c>
      <c r="BR6" s="1916" t="n">
        <f aca="false">Revenue!X93</f>
        <v>481322.023809523</v>
      </c>
      <c r="BS6" s="1915" t="n">
        <f aca="false">Revenue!Y93</f>
        <v>506654.761904762</v>
      </c>
      <c r="BT6" s="1888"/>
      <c r="BU6" s="1952" t="str">
        <f aca="false">BG6</f>
        <v>CS-8</v>
      </c>
      <c r="BV6" s="1952" t="n">
        <f aca="false">Revenue!Z61</f>
        <v>20833.3333333333</v>
      </c>
      <c r="BW6" s="1952" t="n">
        <f aca="false">Revenue!AA61</f>
        <v>20833.3333333333</v>
      </c>
      <c r="BX6" s="1953" t="n">
        <f aca="false">Revenue!AB61</f>
        <v>20833.3333333333</v>
      </c>
      <c r="BY6" s="1952" t="n">
        <f aca="false">Revenue!AC61</f>
        <v>20833.3333333333</v>
      </c>
      <c r="BZ6" s="1952" t="n">
        <f aca="false">Revenue!AD61</f>
        <v>20833.3333333333</v>
      </c>
      <c r="CA6" s="1952" t="n">
        <f aca="false">Revenue!AE61</f>
        <v>20833.3333333333</v>
      </c>
      <c r="CB6" s="1952" t="n">
        <f aca="false">Revenue!AF61</f>
        <v>20833.3333333333</v>
      </c>
      <c r="CC6" s="1952" t="n">
        <f aca="false">Revenue!AG61</f>
        <v>20833.3333333333</v>
      </c>
      <c r="CD6" s="1952" t="n">
        <f aca="false">Revenue!AH61</f>
        <v>20833.3333333333</v>
      </c>
      <c r="CE6" s="1952" t="n">
        <f aca="false">Revenue!AI61</f>
        <v>20833.3333333333</v>
      </c>
      <c r="CF6" s="1952" t="n">
        <f aca="false">Revenue!AJ61</f>
        <v>20833.3333333333</v>
      </c>
      <c r="CG6" s="1952" t="n">
        <f aca="false">Revenue!AK61</f>
        <v>20833.3333333333</v>
      </c>
      <c r="CH6" s="1891"/>
      <c r="CI6" s="1954" t="str">
        <f aca="false">BU6</f>
        <v>CS-8</v>
      </c>
      <c r="CJ6" s="1955" t="n">
        <f aca="false">Revenue!AL61</f>
        <v>20833.3333333333</v>
      </c>
      <c r="CK6" s="1955" t="n">
        <f aca="false">Revenue!AM61</f>
        <v>20833.3333333333</v>
      </c>
      <c r="CL6" s="1955" t="n">
        <f aca="false">Revenue!AN61</f>
        <v>20833.3333333333</v>
      </c>
      <c r="CM6" s="1955" t="n">
        <f aca="false">Revenue!AO61</f>
        <v>20833.3333333333</v>
      </c>
      <c r="CN6" s="1955" t="n">
        <f aca="false">Revenue!AP61</f>
        <v>20833.3333333333</v>
      </c>
      <c r="CO6" s="1955" t="n">
        <f aca="false">Revenue!AQ61</f>
        <v>20833.3333333333</v>
      </c>
      <c r="CP6" s="1955" t="n">
        <f aca="false">Revenue!AR61</f>
        <v>20833.3333333333</v>
      </c>
      <c r="CQ6" s="1955" t="n">
        <f aca="false">Revenue!AS61</f>
        <v>20833.3333333333</v>
      </c>
      <c r="CR6" s="1955" t="n">
        <f aca="false">Revenue!AT61</f>
        <v>20833.3333333333</v>
      </c>
      <c r="CS6" s="1955" t="n">
        <f aca="false">Revenue!AU61</f>
        <v>20833.3333333333</v>
      </c>
      <c r="CT6" s="1955" t="n">
        <f aca="false">Revenue!AV61</f>
        <v>20833.3333333333</v>
      </c>
      <c r="CU6" s="1955" t="n">
        <f aca="false">Revenue!AW61</f>
        <v>20833.3333333333</v>
      </c>
      <c r="CV6" s="1888"/>
      <c r="CW6" s="1956" t="str">
        <f aca="false">CI6</f>
        <v>CS-8</v>
      </c>
      <c r="CX6" s="1957" t="n">
        <f aca="false">Revenue!AX61</f>
        <v>20833.3333333333</v>
      </c>
      <c r="CY6" s="1957" t="n">
        <f aca="false">Revenue!AY61</f>
        <v>20833.3333333333</v>
      </c>
      <c r="CZ6" s="1957" t="n">
        <f aca="false">Revenue!AZ61</f>
        <v>20833.3333333333</v>
      </c>
      <c r="DA6" s="1957" t="n">
        <f aca="false">Revenue!BA61</f>
        <v>20833.3333333333</v>
      </c>
      <c r="DB6" s="1957" t="n">
        <f aca="false">Revenue!BB61</f>
        <v>20833.3333333333</v>
      </c>
      <c r="DC6" s="1957" t="n">
        <f aca="false">Revenue!BC61</f>
        <v>20833.3333333333</v>
      </c>
      <c r="DD6" s="1957" t="n">
        <f aca="false">Revenue!BD61</f>
        <v>20833.3333333333</v>
      </c>
      <c r="DE6" s="1957" t="n">
        <f aca="false">Revenue!BE61</f>
        <v>20833.3333333333</v>
      </c>
      <c r="DF6" s="1957" t="n">
        <f aca="false">Revenue!BF61</f>
        <v>20833.3333333333</v>
      </c>
      <c r="DG6" s="1957" t="n">
        <f aca="false">Revenue!BG61</f>
        <v>20833.3333333333</v>
      </c>
      <c r="DH6" s="1957" t="n">
        <f aca="false">Revenue!BH61</f>
        <v>20833.3333333333</v>
      </c>
      <c r="DI6" s="1957" t="n">
        <f aca="false">Revenue!BI61</f>
        <v>20833.3333333333</v>
      </c>
      <c r="DJ6" s="1466"/>
      <c r="DK6" s="1163"/>
      <c r="DL6" s="1958"/>
      <c r="DM6" s="1959" t="n">
        <v>0</v>
      </c>
      <c r="DN6" s="1960" t="n">
        <v>0</v>
      </c>
      <c r="DO6" s="1960" t="n">
        <f aca="false">Revenue!P76</f>
        <v>1741.66666666667</v>
      </c>
      <c r="DP6" s="1960" t="n">
        <f aca="false">Revenue!Q76</f>
        <v>1900</v>
      </c>
      <c r="DQ6" s="1960" t="n">
        <f aca="false">Revenue!R76</f>
        <v>2058.33333333333</v>
      </c>
      <c r="DR6" s="1960" t="n">
        <f aca="false">Revenue!S76</f>
        <v>2216.66666666667</v>
      </c>
      <c r="DS6" s="1960" t="n">
        <f aca="false">Revenue!T76</f>
        <v>2375</v>
      </c>
      <c r="DT6" s="1960" t="n">
        <f aca="false">Revenue!U76</f>
        <v>2533.33333333333</v>
      </c>
      <c r="DU6" s="1960" t="n">
        <f aca="false">Revenue!V76</f>
        <v>2691.66666666667</v>
      </c>
      <c r="DV6" s="1960" t="n">
        <f aca="false">Revenue!W76</f>
        <v>2850</v>
      </c>
      <c r="DW6" s="1960" t="n">
        <f aca="false">Revenue!X76</f>
        <v>3008.33333333333</v>
      </c>
      <c r="DX6" s="1961" t="n">
        <f aca="false">Revenue!Y76</f>
        <v>3166.66666666667</v>
      </c>
      <c r="DY6" s="1893"/>
      <c r="DZ6" s="1962"/>
      <c r="EA6" s="1963" t="n">
        <f aca="false">Revenue!Z76</f>
        <v>5541.66666666667</v>
      </c>
      <c r="EB6" s="1964" t="n">
        <f aca="false">Revenue!AA76</f>
        <v>5541.66666666667</v>
      </c>
      <c r="EC6" s="1964" t="n">
        <f aca="false">Revenue!AB76</f>
        <v>5541.66666666667</v>
      </c>
      <c r="ED6" s="1964" t="n">
        <f aca="false">Revenue!AC76</f>
        <v>5541.66666666667</v>
      </c>
      <c r="EE6" s="1964" t="n">
        <f aca="false">Revenue!AD76</f>
        <v>5541.66666666667</v>
      </c>
      <c r="EF6" s="1964" t="n">
        <f aca="false">Revenue!AE76</f>
        <v>5541.66666666667</v>
      </c>
      <c r="EG6" s="1964" t="n">
        <f aca="false">Revenue!AF76</f>
        <v>5541.66666666667</v>
      </c>
      <c r="EH6" s="1964" t="n">
        <f aca="false">Revenue!AG76</f>
        <v>5541.66666666667</v>
      </c>
      <c r="EI6" s="1964" t="n">
        <f aca="false">Revenue!AH76</f>
        <v>5541.66666666667</v>
      </c>
      <c r="EJ6" s="1964" t="n">
        <f aca="false">Revenue!AI76</f>
        <v>5541.66666666667</v>
      </c>
      <c r="EK6" s="1964" t="n">
        <f aca="false">Revenue!AJ76</f>
        <v>5541.66666666667</v>
      </c>
      <c r="EL6" s="1965" t="n">
        <f aca="false">Revenue!AK76</f>
        <v>5541.66666666667</v>
      </c>
      <c r="EM6" s="1893"/>
      <c r="EN6" s="1966"/>
      <c r="EO6" s="1945" t="n">
        <f aca="false">Revenue!AL76</f>
        <v>5541.66666666667</v>
      </c>
      <c r="EP6" s="1946" t="n">
        <f aca="false">Revenue!AM76</f>
        <v>5541.66666666667</v>
      </c>
      <c r="EQ6" s="1946" t="n">
        <f aca="false">Revenue!AN76</f>
        <v>5541.66666666667</v>
      </c>
      <c r="ER6" s="1946" t="n">
        <f aca="false">Revenue!AO76</f>
        <v>5541.66666666667</v>
      </c>
      <c r="ES6" s="1946" t="n">
        <f aca="false">Revenue!AP76</f>
        <v>5541.66666666667</v>
      </c>
      <c r="ET6" s="1946" t="n">
        <f aca="false">Revenue!AQ76</f>
        <v>5541.66666666667</v>
      </c>
      <c r="EU6" s="1946" t="n">
        <f aca="false">Revenue!AR76</f>
        <v>5541.66666666667</v>
      </c>
      <c r="EV6" s="1946" t="n">
        <f aca="false">Revenue!AS76</f>
        <v>5541.66666666667</v>
      </c>
      <c r="EW6" s="1946" t="n">
        <f aca="false">Revenue!AT76</f>
        <v>5541.66666666667</v>
      </c>
      <c r="EX6" s="1946" t="n">
        <f aca="false">Revenue!AU76</f>
        <v>5541.66666666667</v>
      </c>
      <c r="EY6" s="1946" t="n">
        <f aca="false">Revenue!AV76</f>
        <v>5541.66666666667</v>
      </c>
      <c r="EZ6" s="1947" t="n">
        <f aca="false">Revenue!AW76</f>
        <v>5541.66666666667</v>
      </c>
      <c r="FA6" s="1893"/>
      <c r="FB6" s="1967"/>
      <c r="FC6" s="1968" t="n">
        <f aca="false">Revenue!AX76</f>
        <v>5541.66666666667</v>
      </c>
      <c r="FD6" s="1969" t="n">
        <f aca="false">Revenue!AY76</f>
        <v>5541.66666666667</v>
      </c>
      <c r="FE6" s="1969" t="n">
        <f aca="false">Revenue!AZ76</f>
        <v>5541.66666666667</v>
      </c>
      <c r="FF6" s="1969" t="n">
        <f aca="false">Revenue!BA76</f>
        <v>5541.66666666667</v>
      </c>
      <c r="FG6" s="1969" t="n">
        <f aca="false">Revenue!BB76</f>
        <v>5541.66666666667</v>
      </c>
      <c r="FH6" s="1969" t="n">
        <f aca="false">Revenue!BC76</f>
        <v>5541.66666666667</v>
      </c>
      <c r="FI6" s="1969" t="n">
        <f aca="false">Revenue!BD76</f>
        <v>5541.66666666667</v>
      </c>
      <c r="FJ6" s="1969" t="n">
        <f aca="false">Revenue!BE76</f>
        <v>5541.66666666667</v>
      </c>
      <c r="FK6" s="1969" t="n">
        <f aca="false">Revenue!BF76</f>
        <v>5541.66666666667</v>
      </c>
      <c r="FL6" s="1969" t="n">
        <f aca="false">Revenue!BG76</f>
        <v>5541.66666666667</v>
      </c>
      <c r="FM6" s="1969" t="n">
        <f aca="false">Revenue!BH76</f>
        <v>5541.66666666667</v>
      </c>
      <c r="FN6" s="1970" t="n">
        <f aca="false">Revenue!BI76</f>
        <v>5541.66666666667</v>
      </c>
      <c r="FO6" s="1466"/>
      <c r="FP6" s="1896"/>
      <c r="FQ6" s="2002"/>
      <c r="FR6" s="2003"/>
      <c r="FS6" s="2003"/>
      <c r="FT6" s="2003"/>
      <c r="FU6" s="2003"/>
      <c r="FV6" s="2003"/>
      <c r="FW6" s="2003"/>
      <c r="FX6" s="2003"/>
      <c r="FY6" s="2003"/>
      <c r="FZ6" s="2003"/>
      <c r="GA6" s="2003"/>
      <c r="GB6" s="2003"/>
      <c r="GC6" s="2004"/>
      <c r="GD6" s="1893"/>
      <c r="GE6" s="2002"/>
      <c r="GF6" s="2003"/>
      <c r="GG6" s="2003"/>
      <c r="GH6" s="2003"/>
      <c r="GI6" s="2003"/>
      <c r="GJ6" s="2003"/>
      <c r="GK6" s="2003"/>
      <c r="GL6" s="2003"/>
      <c r="GM6" s="2003"/>
      <c r="GN6" s="2003"/>
      <c r="GO6" s="2003"/>
      <c r="GP6" s="2003"/>
      <c r="GQ6" s="2004"/>
      <c r="GR6" s="1893"/>
      <c r="GS6" s="2002"/>
      <c r="GT6" s="2003"/>
      <c r="GU6" s="2003"/>
      <c r="GV6" s="2003"/>
      <c r="GW6" s="2003"/>
      <c r="GX6" s="2003"/>
      <c r="GY6" s="2003"/>
      <c r="GZ6" s="2003"/>
      <c r="HA6" s="2003"/>
      <c r="HB6" s="2003"/>
      <c r="HC6" s="2003"/>
      <c r="HD6" s="2003"/>
      <c r="HE6" s="2004"/>
      <c r="HF6" s="1896"/>
      <c r="HG6" s="2002"/>
      <c r="HH6" s="2003"/>
      <c r="HI6" s="2003"/>
      <c r="HJ6" s="2003"/>
      <c r="HK6" s="2003"/>
      <c r="HL6" s="2003"/>
      <c r="HM6" s="2003"/>
      <c r="HN6" s="2003"/>
      <c r="HO6" s="2003"/>
      <c r="HP6" s="2003"/>
      <c r="HQ6" s="2003"/>
      <c r="HR6" s="2003"/>
      <c r="HS6" s="2004"/>
    </row>
    <row r="7" customFormat="false" ht="10.5" hidden="false" customHeight="true" outlineLevel="0" collapsed="false">
      <c r="A7" s="1641"/>
      <c r="B7" s="1936" t="str">
        <f aca="false">Personnel!A7</f>
        <v>Trades-3</v>
      </c>
      <c r="C7" s="1937" t="n">
        <f aca="false">Personnel!P7</f>
        <v>0</v>
      </c>
      <c r="D7" s="1938" t="n">
        <f aca="false">Personnel!Q7</f>
        <v>0</v>
      </c>
      <c r="E7" s="1938" t="n">
        <f aca="false">Personnel!R7</f>
        <v>0</v>
      </c>
      <c r="F7" s="1938" t="n">
        <f aca="false">Personnel!S7</f>
        <v>0</v>
      </c>
      <c r="G7" s="1938" t="n">
        <f aca="false">Personnel!T7</f>
        <v>0</v>
      </c>
      <c r="H7" s="1938" t="n">
        <f aca="false">Personnel!U7</f>
        <v>0</v>
      </c>
      <c r="I7" s="1938" t="n">
        <f aca="false">Personnel!V7</f>
        <v>0</v>
      </c>
      <c r="J7" s="1938" t="n">
        <f aca="false">Personnel!W7</f>
        <v>0</v>
      </c>
      <c r="K7" s="1938" t="n">
        <f aca="false">Personnel!X7</f>
        <v>0</v>
      </c>
      <c r="L7" s="1938" t="n">
        <f aca="false">Personnel!Y7</f>
        <v>0</v>
      </c>
      <c r="M7" s="1938" t="n">
        <f aca="false">Personnel!Z7</f>
        <v>0</v>
      </c>
      <c r="N7" s="1939" t="n">
        <f aca="false">Personnel!AA7</f>
        <v>0</v>
      </c>
      <c r="O7" s="1882"/>
      <c r="P7" s="1940" t="str">
        <f aca="false">B7</f>
        <v>Trades-3</v>
      </c>
      <c r="Q7" s="1941" t="n">
        <f aca="false">Personnel!AB7</f>
        <v>0</v>
      </c>
      <c r="R7" s="1942" t="n">
        <f aca="false">Personnel!AC7</f>
        <v>0</v>
      </c>
      <c r="S7" s="1942" t="n">
        <f aca="false">Personnel!AD7</f>
        <v>0</v>
      </c>
      <c r="T7" s="1942" t="n">
        <f aca="false">Personnel!AE7</f>
        <v>0</v>
      </c>
      <c r="U7" s="1942" t="n">
        <f aca="false">Personnel!AF7</f>
        <v>0</v>
      </c>
      <c r="V7" s="1942" t="n">
        <f aca="false">Personnel!AG7</f>
        <v>0</v>
      </c>
      <c r="W7" s="1942" t="n">
        <f aca="false">Personnel!AH7</f>
        <v>0</v>
      </c>
      <c r="X7" s="1942" t="n">
        <f aca="false">Personnel!AI7</f>
        <v>0</v>
      </c>
      <c r="Y7" s="1942" t="n">
        <f aca="false">Personnel!AJ7</f>
        <v>0</v>
      </c>
      <c r="Z7" s="1942" t="n">
        <f aca="false">Personnel!AK7</f>
        <v>0</v>
      </c>
      <c r="AA7" s="1942" t="n">
        <f aca="false">Personnel!AL7</f>
        <v>0</v>
      </c>
      <c r="AB7" s="1943" t="n">
        <f aca="false">Personnel!AM7</f>
        <v>0</v>
      </c>
      <c r="AC7" s="1882"/>
      <c r="AD7" s="1944" t="str">
        <f aca="false">P7</f>
        <v>Trades-3</v>
      </c>
      <c r="AE7" s="1945" t="n">
        <f aca="false">Personnel!AN7</f>
        <v>0</v>
      </c>
      <c r="AF7" s="1946" t="n">
        <f aca="false">Personnel!AO7</f>
        <v>0</v>
      </c>
      <c r="AG7" s="1946" t="n">
        <f aca="false">Personnel!AP7</f>
        <v>0</v>
      </c>
      <c r="AH7" s="1946" t="n">
        <f aca="false">Personnel!AQ7</f>
        <v>0</v>
      </c>
      <c r="AI7" s="1946" t="n">
        <f aca="false">Personnel!AR7</f>
        <v>0</v>
      </c>
      <c r="AJ7" s="1946" t="n">
        <f aca="false">Personnel!AS7</f>
        <v>0</v>
      </c>
      <c r="AK7" s="1946" t="n">
        <f aca="false">Personnel!AT7</f>
        <v>0</v>
      </c>
      <c r="AL7" s="1946" t="n">
        <f aca="false">Personnel!AU7</f>
        <v>0</v>
      </c>
      <c r="AM7" s="1946" t="n">
        <f aca="false">Personnel!AV7</f>
        <v>0</v>
      </c>
      <c r="AN7" s="1946" t="n">
        <f aca="false">Personnel!AW7</f>
        <v>0</v>
      </c>
      <c r="AO7" s="1946" t="n">
        <f aca="false">Personnel!AX7</f>
        <v>0</v>
      </c>
      <c r="AP7" s="1947" t="n">
        <f aca="false">Personnel!AY7</f>
        <v>0</v>
      </c>
      <c r="AQ7" s="1882"/>
      <c r="AR7" s="1948" t="str">
        <f aca="false">AD7</f>
        <v>Trades-3</v>
      </c>
      <c r="AS7" s="1949" t="n">
        <f aca="false">Personnel!AZ7</f>
        <v>0</v>
      </c>
      <c r="AT7" s="1950" t="n">
        <f aca="false">Personnel!BA7</f>
        <v>0</v>
      </c>
      <c r="AU7" s="1950" t="n">
        <f aca="false">Personnel!BB7</f>
        <v>0</v>
      </c>
      <c r="AV7" s="1950" t="n">
        <f aca="false">Personnel!BC7</f>
        <v>0</v>
      </c>
      <c r="AW7" s="1950" t="n">
        <f aca="false">Personnel!BD7</f>
        <v>0</v>
      </c>
      <c r="AX7" s="1950" t="n">
        <f aca="false">Personnel!BE7</f>
        <v>0</v>
      </c>
      <c r="AY7" s="1950" t="n">
        <f aca="false">Personnel!BF7</f>
        <v>0</v>
      </c>
      <c r="AZ7" s="1950" t="n">
        <f aca="false">Personnel!BG7</f>
        <v>0</v>
      </c>
      <c r="BA7" s="1950" t="n">
        <f aca="false">Personnel!BH7</f>
        <v>0</v>
      </c>
      <c r="BB7" s="1950" t="n">
        <f aca="false">Personnel!BI7</f>
        <v>0</v>
      </c>
      <c r="BC7" s="1950" t="n">
        <f aca="false">Personnel!BJ7</f>
        <v>0</v>
      </c>
      <c r="BD7" s="1951" t="n">
        <f aca="false">Personnel!BK7</f>
        <v>0</v>
      </c>
      <c r="BE7" s="1466"/>
      <c r="BF7" s="1885"/>
      <c r="BG7" s="1915" t="str">
        <f aca="false">Revenue!A94</f>
        <v>CS-10</v>
      </c>
      <c r="BH7" s="1916" t="n">
        <f aca="false">Revenue!N94</f>
        <v>227994.642857143</v>
      </c>
      <c r="BI7" s="1916" t="n">
        <f aca="false">Revenue!O94</f>
        <v>253327.380952381</v>
      </c>
      <c r="BJ7" s="1916" t="n">
        <f aca="false">Revenue!P94</f>
        <v>278660.119047619</v>
      </c>
      <c r="BK7" s="1916" t="n">
        <f aca="false">Revenue!Q94</f>
        <v>303992.857142857</v>
      </c>
      <c r="BL7" s="1916" t="n">
        <f aca="false">Revenue!R94</f>
        <v>329325.595238095</v>
      </c>
      <c r="BM7" s="1916" t="n">
        <f aca="false">Revenue!S94</f>
        <v>354658.333333333</v>
      </c>
      <c r="BN7" s="1916" t="n">
        <f aca="false">Revenue!T94</f>
        <v>379991.071428572</v>
      </c>
      <c r="BO7" s="1916" t="n">
        <f aca="false">Revenue!U94</f>
        <v>405323.80952381</v>
      </c>
      <c r="BP7" s="1916" t="n">
        <f aca="false">Revenue!V94</f>
        <v>430656.547619047</v>
      </c>
      <c r="BQ7" s="1916" t="n">
        <f aca="false">Revenue!W94</f>
        <v>455989.285714285</v>
      </c>
      <c r="BR7" s="1916" t="n">
        <f aca="false">Revenue!X94</f>
        <v>481322.023809523</v>
      </c>
      <c r="BS7" s="1915" t="n">
        <f aca="false">Revenue!Y94</f>
        <v>506654.761904762</v>
      </c>
      <c r="BT7" s="1888"/>
      <c r="BU7" s="1952" t="str">
        <f aca="false">BG7</f>
        <v>CS-10</v>
      </c>
      <c r="BV7" s="1952" t="n">
        <f aca="false">Revenue!Z62</f>
        <v>20833.3333333333</v>
      </c>
      <c r="BW7" s="1952" t="n">
        <f aca="false">Revenue!AA62</f>
        <v>20833.3333333333</v>
      </c>
      <c r="BX7" s="1953" t="n">
        <f aca="false">Revenue!AB62</f>
        <v>20833.3333333333</v>
      </c>
      <c r="BY7" s="1952" t="n">
        <f aca="false">Revenue!AC62</f>
        <v>20833.3333333333</v>
      </c>
      <c r="BZ7" s="1952" t="n">
        <f aca="false">Revenue!AD62</f>
        <v>20833.3333333333</v>
      </c>
      <c r="CA7" s="1952" t="n">
        <f aca="false">Revenue!AE62</f>
        <v>20833.3333333333</v>
      </c>
      <c r="CB7" s="1952" t="n">
        <f aca="false">Revenue!AF62</f>
        <v>20833.3333333333</v>
      </c>
      <c r="CC7" s="1952" t="n">
        <f aca="false">Revenue!AG62</f>
        <v>20833.3333333333</v>
      </c>
      <c r="CD7" s="1952" t="n">
        <f aca="false">Revenue!AH62</f>
        <v>20833.3333333333</v>
      </c>
      <c r="CE7" s="1952" t="n">
        <f aca="false">Revenue!AI62</f>
        <v>20833.3333333333</v>
      </c>
      <c r="CF7" s="1952" t="n">
        <f aca="false">Revenue!AJ62</f>
        <v>20833.3333333333</v>
      </c>
      <c r="CG7" s="1952" t="n">
        <f aca="false">Revenue!AK62</f>
        <v>20833.3333333333</v>
      </c>
      <c r="CH7" s="1891"/>
      <c r="CI7" s="1954" t="str">
        <f aca="false">BU7</f>
        <v>CS-10</v>
      </c>
      <c r="CJ7" s="1955" t="n">
        <f aca="false">Revenue!AL62</f>
        <v>20833.3333333333</v>
      </c>
      <c r="CK7" s="1955" t="n">
        <f aca="false">Revenue!AM62</f>
        <v>20833.3333333333</v>
      </c>
      <c r="CL7" s="1955" t="n">
        <f aca="false">Revenue!AN62</f>
        <v>20833.3333333333</v>
      </c>
      <c r="CM7" s="1955" t="n">
        <f aca="false">Revenue!AO62</f>
        <v>20833.3333333333</v>
      </c>
      <c r="CN7" s="1955" t="n">
        <f aca="false">Revenue!AP62</f>
        <v>20833.3333333333</v>
      </c>
      <c r="CO7" s="1955" t="n">
        <f aca="false">Revenue!AQ62</f>
        <v>20833.3333333333</v>
      </c>
      <c r="CP7" s="1955" t="n">
        <f aca="false">Revenue!AR62</f>
        <v>20833.3333333333</v>
      </c>
      <c r="CQ7" s="1955" t="n">
        <f aca="false">Revenue!AS62</f>
        <v>20833.3333333333</v>
      </c>
      <c r="CR7" s="1955" t="n">
        <f aca="false">Revenue!AT62</f>
        <v>20833.3333333333</v>
      </c>
      <c r="CS7" s="1955" t="n">
        <f aca="false">Revenue!AU62</f>
        <v>20833.3333333333</v>
      </c>
      <c r="CT7" s="1955" t="n">
        <f aca="false">Revenue!AV62</f>
        <v>20833.3333333333</v>
      </c>
      <c r="CU7" s="1955" t="n">
        <f aca="false">Revenue!AW62</f>
        <v>20833.3333333333</v>
      </c>
      <c r="CV7" s="1888"/>
      <c r="CW7" s="1956" t="str">
        <f aca="false">CI7</f>
        <v>CS-10</v>
      </c>
      <c r="CX7" s="1957" t="n">
        <f aca="false">Revenue!AX62</f>
        <v>20833.3333333333</v>
      </c>
      <c r="CY7" s="1957" t="n">
        <f aca="false">Revenue!AY62</f>
        <v>20833.3333333333</v>
      </c>
      <c r="CZ7" s="1957" t="n">
        <f aca="false">Revenue!AZ62</f>
        <v>20833.3333333333</v>
      </c>
      <c r="DA7" s="1957" t="n">
        <f aca="false">Revenue!BA62</f>
        <v>20833.3333333333</v>
      </c>
      <c r="DB7" s="1957" t="n">
        <f aca="false">Revenue!BB62</f>
        <v>20833.3333333333</v>
      </c>
      <c r="DC7" s="1957" t="n">
        <f aca="false">Revenue!BC62</f>
        <v>20833.3333333333</v>
      </c>
      <c r="DD7" s="1957" t="n">
        <f aca="false">Revenue!BD62</f>
        <v>20833.3333333333</v>
      </c>
      <c r="DE7" s="1957" t="n">
        <f aca="false">Revenue!BE62</f>
        <v>20833.3333333333</v>
      </c>
      <c r="DF7" s="1957" t="n">
        <f aca="false">Revenue!BF62</f>
        <v>20833.3333333333</v>
      </c>
      <c r="DG7" s="1957" t="n">
        <f aca="false">Revenue!BG62</f>
        <v>20833.3333333333</v>
      </c>
      <c r="DH7" s="1957" t="n">
        <f aca="false">Revenue!BH62</f>
        <v>20833.3333333333</v>
      </c>
      <c r="DI7" s="1957" t="n">
        <f aca="false">Revenue!BI62</f>
        <v>20833.3333333333</v>
      </c>
      <c r="DJ7" s="1466"/>
      <c r="DK7" s="1163"/>
      <c r="DL7" s="1958"/>
      <c r="DM7" s="1959" t="n">
        <v>0</v>
      </c>
      <c r="DN7" s="1960" t="n">
        <v>0</v>
      </c>
      <c r="DO7" s="1960" t="n">
        <f aca="false">Revenue!P77</f>
        <v>2239.28571428572</v>
      </c>
      <c r="DP7" s="1960" t="n">
        <f aca="false">Revenue!Q77</f>
        <v>2442.85714285714</v>
      </c>
      <c r="DQ7" s="1960" t="n">
        <f aca="false">Revenue!R77</f>
        <v>2646.42857142857</v>
      </c>
      <c r="DR7" s="1960" t="n">
        <f aca="false">Revenue!S77</f>
        <v>2850</v>
      </c>
      <c r="DS7" s="1960" t="n">
        <f aca="false">Revenue!T77</f>
        <v>3053.57142857143</v>
      </c>
      <c r="DT7" s="1960" t="n">
        <f aca="false">Revenue!U77</f>
        <v>3257.14285714286</v>
      </c>
      <c r="DU7" s="1960" t="n">
        <f aca="false">Revenue!V77</f>
        <v>3460.71428571429</v>
      </c>
      <c r="DV7" s="1960" t="n">
        <f aca="false">Revenue!W77</f>
        <v>3664.28571428572</v>
      </c>
      <c r="DW7" s="1960" t="n">
        <f aca="false">Revenue!X77</f>
        <v>3867.85714285714</v>
      </c>
      <c r="DX7" s="1961" t="n">
        <f aca="false">Revenue!Y77</f>
        <v>4071.42857142857</v>
      </c>
      <c r="DY7" s="1893"/>
      <c r="DZ7" s="1962"/>
      <c r="EA7" s="1963" t="n">
        <f aca="false">Revenue!Z77</f>
        <v>7125</v>
      </c>
      <c r="EB7" s="1964" t="n">
        <f aca="false">Revenue!AA77</f>
        <v>7125</v>
      </c>
      <c r="EC7" s="1964" t="n">
        <f aca="false">Revenue!AB77</f>
        <v>7125</v>
      </c>
      <c r="ED7" s="1964" t="n">
        <f aca="false">Revenue!AC77</f>
        <v>7125</v>
      </c>
      <c r="EE7" s="1964" t="n">
        <f aca="false">Revenue!AD77</f>
        <v>7125</v>
      </c>
      <c r="EF7" s="1964" t="n">
        <f aca="false">Revenue!AE77</f>
        <v>7125</v>
      </c>
      <c r="EG7" s="1964" t="n">
        <f aca="false">Revenue!AF77</f>
        <v>7125</v>
      </c>
      <c r="EH7" s="1964" t="n">
        <f aca="false">Revenue!AG77</f>
        <v>7125</v>
      </c>
      <c r="EI7" s="1964" t="n">
        <f aca="false">Revenue!AH77</f>
        <v>7125</v>
      </c>
      <c r="EJ7" s="1964" t="n">
        <f aca="false">Revenue!AI77</f>
        <v>7125</v>
      </c>
      <c r="EK7" s="1964" t="n">
        <f aca="false">Revenue!AJ77</f>
        <v>7125</v>
      </c>
      <c r="EL7" s="1965" t="n">
        <f aca="false">Revenue!AK77</f>
        <v>7125</v>
      </c>
      <c r="EM7" s="1893"/>
      <c r="EN7" s="1966"/>
      <c r="EO7" s="1945" t="n">
        <f aca="false">Revenue!AL77</f>
        <v>7125</v>
      </c>
      <c r="EP7" s="1946" t="n">
        <f aca="false">Revenue!AM77</f>
        <v>7125</v>
      </c>
      <c r="EQ7" s="1946" t="n">
        <f aca="false">Revenue!AN77</f>
        <v>7125</v>
      </c>
      <c r="ER7" s="1946" t="n">
        <f aca="false">Revenue!AO77</f>
        <v>7125</v>
      </c>
      <c r="ES7" s="1946" t="n">
        <f aca="false">Revenue!AP77</f>
        <v>7125</v>
      </c>
      <c r="ET7" s="1946" t="n">
        <f aca="false">Revenue!AQ77</f>
        <v>7125</v>
      </c>
      <c r="EU7" s="1946" t="n">
        <f aca="false">Revenue!AR77</f>
        <v>7125</v>
      </c>
      <c r="EV7" s="1946" t="n">
        <f aca="false">Revenue!AS77</f>
        <v>7125</v>
      </c>
      <c r="EW7" s="1946" t="n">
        <f aca="false">Revenue!AT77</f>
        <v>7125</v>
      </c>
      <c r="EX7" s="1946" t="n">
        <f aca="false">Revenue!AU77</f>
        <v>7125</v>
      </c>
      <c r="EY7" s="1946" t="n">
        <f aca="false">Revenue!AV77</f>
        <v>7125</v>
      </c>
      <c r="EZ7" s="1947" t="n">
        <f aca="false">Revenue!AW77</f>
        <v>7125</v>
      </c>
      <c r="FA7" s="1893"/>
      <c r="FB7" s="1967"/>
      <c r="FC7" s="1968" t="n">
        <f aca="false">Revenue!AX77</f>
        <v>7125</v>
      </c>
      <c r="FD7" s="1969" t="n">
        <f aca="false">Revenue!AY77</f>
        <v>7125</v>
      </c>
      <c r="FE7" s="1969" t="n">
        <f aca="false">Revenue!AZ77</f>
        <v>7125</v>
      </c>
      <c r="FF7" s="1969" t="n">
        <f aca="false">Revenue!BA77</f>
        <v>7125</v>
      </c>
      <c r="FG7" s="1969" t="n">
        <f aca="false">Revenue!BB77</f>
        <v>7125</v>
      </c>
      <c r="FH7" s="1969" t="n">
        <f aca="false">Revenue!BC77</f>
        <v>7125</v>
      </c>
      <c r="FI7" s="1969" t="n">
        <f aca="false">Revenue!BD77</f>
        <v>7125</v>
      </c>
      <c r="FJ7" s="1969" t="n">
        <f aca="false">Revenue!BE77</f>
        <v>7125</v>
      </c>
      <c r="FK7" s="1969" t="n">
        <f aca="false">Revenue!BF77</f>
        <v>7125</v>
      </c>
      <c r="FL7" s="1969" t="n">
        <f aca="false">Revenue!BG77</f>
        <v>7125</v>
      </c>
      <c r="FM7" s="1969" t="n">
        <f aca="false">Revenue!BH77</f>
        <v>7125</v>
      </c>
      <c r="FN7" s="1970" t="n">
        <f aca="false">Revenue!BI77</f>
        <v>7125</v>
      </c>
      <c r="FO7" s="1466"/>
      <c r="FP7" s="1896"/>
      <c r="FQ7" s="1923" t="str">
        <f aca="false">'Tables 5Y'!CK7</f>
        <v>Expenses</v>
      </c>
      <c r="FR7" s="1900"/>
      <c r="FS7" s="1901"/>
      <c r="FT7" s="1901"/>
      <c r="FU7" s="1901"/>
      <c r="FV7" s="1901"/>
      <c r="FW7" s="1901"/>
      <c r="FX7" s="1901"/>
      <c r="FY7" s="1901"/>
      <c r="FZ7" s="1901"/>
      <c r="GA7" s="1901"/>
      <c r="GB7" s="1901"/>
      <c r="GC7" s="1902"/>
      <c r="GD7" s="1893"/>
      <c r="GE7" s="2005" t="str">
        <f aca="false">FQ7</f>
        <v>Expenses</v>
      </c>
      <c r="GF7" s="1904"/>
      <c r="GG7" s="1905"/>
      <c r="GH7" s="1905"/>
      <c r="GI7" s="1905"/>
      <c r="GJ7" s="1905"/>
      <c r="GK7" s="1905"/>
      <c r="GL7" s="1905"/>
      <c r="GM7" s="1905"/>
      <c r="GN7" s="1905"/>
      <c r="GO7" s="1905"/>
      <c r="GP7" s="1905"/>
      <c r="GQ7" s="1906"/>
      <c r="GR7" s="1893"/>
      <c r="GS7" s="2006" t="str">
        <f aca="false">GE7</f>
        <v>Expenses</v>
      </c>
      <c r="GT7" s="1908"/>
      <c r="GU7" s="1909"/>
      <c r="GV7" s="1909"/>
      <c r="GW7" s="1909"/>
      <c r="GX7" s="1909"/>
      <c r="GY7" s="1909"/>
      <c r="GZ7" s="1909"/>
      <c r="HA7" s="1909"/>
      <c r="HB7" s="1909"/>
      <c r="HC7" s="1909"/>
      <c r="HD7" s="1909"/>
      <c r="HE7" s="1910"/>
      <c r="HF7" s="1896"/>
      <c r="HG7" s="2007" t="str">
        <f aca="false">GS7</f>
        <v>Expenses</v>
      </c>
      <c r="HH7" s="1912"/>
      <c r="HI7" s="1913"/>
      <c r="HJ7" s="1913"/>
      <c r="HK7" s="1913"/>
      <c r="HL7" s="1913"/>
      <c r="HM7" s="1913"/>
      <c r="HN7" s="1913"/>
      <c r="HO7" s="1913"/>
      <c r="HP7" s="1913"/>
      <c r="HQ7" s="1913"/>
      <c r="HR7" s="1913"/>
      <c r="HS7" s="1914"/>
    </row>
    <row r="8" customFormat="false" ht="10.5" hidden="false" customHeight="true" outlineLevel="0" collapsed="false">
      <c r="A8" s="1641"/>
      <c r="B8" s="1936" t="str">
        <f aca="false">Personnel!A8</f>
        <v>Admin-3</v>
      </c>
      <c r="C8" s="1937" t="n">
        <f aca="false">Personnel!P8</f>
        <v>0</v>
      </c>
      <c r="D8" s="1938" t="n">
        <f aca="false">Personnel!Q8</f>
        <v>0</v>
      </c>
      <c r="E8" s="1938" t="n">
        <f aca="false">Personnel!R8</f>
        <v>0</v>
      </c>
      <c r="F8" s="1938" t="n">
        <f aca="false">Personnel!S8</f>
        <v>0</v>
      </c>
      <c r="G8" s="1938" t="n">
        <f aca="false">Personnel!T8</f>
        <v>0</v>
      </c>
      <c r="H8" s="1938" t="n">
        <f aca="false">Personnel!U8</f>
        <v>0</v>
      </c>
      <c r="I8" s="1938" t="n">
        <f aca="false">Personnel!V8</f>
        <v>0</v>
      </c>
      <c r="J8" s="1938" t="n">
        <f aca="false">Personnel!W8</f>
        <v>0</v>
      </c>
      <c r="K8" s="1938" t="n">
        <f aca="false">Personnel!X8</f>
        <v>0</v>
      </c>
      <c r="L8" s="1938" t="n">
        <f aca="false">Personnel!Y8</f>
        <v>0</v>
      </c>
      <c r="M8" s="1938" t="n">
        <f aca="false">Personnel!Z8</f>
        <v>0</v>
      </c>
      <c r="N8" s="1939" t="n">
        <f aca="false">Personnel!AA8</f>
        <v>0</v>
      </c>
      <c r="O8" s="1882"/>
      <c r="P8" s="1940" t="str">
        <f aca="false">B8</f>
        <v>Admin-3</v>
      </c>
      <c r="Q8" s="1941" t="n">
        <f aca="false">Personnel!AB8</f>
        <v>0</v>
      </c>
      <c r="R8" s="1942" t="n">
        <f aca="false">Personnel!AC8</f>
        <v>0</v>
      </c>
      <c r="S8" s="1942" t="n">
        <f aca="false">Personnel!AD8</f>
        <v>0</v>
      </c>
      <c r="T8" s="1942" t="n">
        <f aca="false">Personnel!AE8</f>
        <v>0</v>
      </c>
      <c r="U8" s="1942" t="n">
        <f aca="false">Personnel!AF8</f>
        <v>0</v>
      </c>
      <c r="V8" s="1942" t="n">
        <f aca="false">Personnel!AG8</f>
        <v>0</v>
      </c>
      <c r="W8" s="1942" t="n">
        <f aca="false">Personnel!AH8</f>
        <v>0</v>
      </c>
      <c r="X8" s="1942" t="n">
        <f aca="false">Personnel!AI8</f>
        <v>0</v>
      </c>
      <c r="Y8" s="1942" t="n">
        <f aca="false">Personnel!AJ8</f>
        <v>0</v>
      </c>
      <c r="Z8" s="1942" t="n">
        <f aca="false">Personnel!AK8</f>
        <v>0</v>
      </c>
      <c r="AA8" s="1942" t="n">
        <f aca="false">Personnel!AL8</f>
        <v>0</v>
      </c>
      <c r="AB8" s="1943" t="n">
        <f aca="false">Personnel!AM8</f>
        <v>0</v>
      </c>
      <c r="AC8" s="1882"/>
      <c r="AD8" s="1944" t="str">
        <f aca="false">P8</f>
        <v>Admin-3</v>
      </c>
      <c r="AE8" s="1945" t="n">
        <f aca="false">Personnel!AN8</f>
        <v>0</v>
      </c>
      <c r="AF8" s="1946" t="n">
        <f aca="false">Personnel!AO8</f>
        <v>0</v>
      </c>
      <c r="AG8" s="1946" t="n">
        <f aca="false">Personnel!AP8</f>
        <v>0</v>
      </c>
      <c r="AH8" s="1946" t="n">
        <f aca="false">Personnel!AQ8</f>
        <v>0</v>
      </c>
      <c r="AI8" s="1946" t="n">
        <f aca="false">Personnel!AR8</f>
        <v>0</v>
      </c>
      <c r="AJ8" s="1946" t="n">
        <f aca="false">Personnel!AS8</f>
        <v>0</v>
      </c>
      <c r="AK8" s="1946" t="n">
        <f aca="false">Personnel!AT8</f>
        <v>0</v>
      </c>
      <c r="AL8" s="1946" t="n">
        <f aca="false">Personnel!AU8</f>
        <v>0</v>
      </c>
      <c r="AM8" s="1946" t="n">
        <f aca="false">Personnel!AV8</f>
        <v>0</v>
      </c>
      <c r="AN8" s="1946" t="n">
        <f aca="false">Personnel!AW8</f>
        <v>0</v>
      </c>
      <c r="AO8" s="1946" t="n">
        <f aca="false">Personnel!AX8</f>
        <v>0</v>
      </c>
      <c r="AP8" s="1947" t="n">
        <f aca="false">Personnel!AY8</f>
        <v>0</v>
      </c>
      <c r="AQ8" s="1882"/>
      <c r="AR8" s="1948" t="str">
        <f aca="false">AD8</f>
        <v>Admin-3</v>
      </c>
      <c r="AS8" s="1949" t="n">
        <f aca="false">Personnel!AZ8</f>
        <v>0</v>
      </c>
      <c r="AT8" s="1950" t="n">
        <f aca="false">Personnel!BA8</f>
        <v>0</v>
      </c>
      <c r="AU8" s="1950" t="n">
        <f aca="false">Personnel!BB8</f>
        <v>0</v>
      </c>
      <c r="AV8" s="1950" t="n">
        <f aca="false">Personnel!BC8</f>
        <v>0</v>
      </c>
      <c r="AW8" s="1950" t="n">
        <f aca="false">Personnel!BD8</f>
        <v>0</v>
      </c>
      <c r="AX8" s="1950" t="n">
        <f aca="false">Personnel!BE8</f>
        <v>0</v>
      </c>
      <c r="AY8" s="1950" t="n">
        <f aca="false">Personnel!BF8</f>
        <v>0</v>
      </c>
      <c r="AZ8" s="1950" t="n">
        <f aca="false">Personnel!BG8</f>
        <v>0</v>
      </c>
      <c r="BA8" s="1950" t="n">
        <f aca="false">Personnel!BH8</f>
        <v>0</v>
      </c>
      <c r="BB8" s="1950" t="n">
        <f aca="false">Personnel!BI8</f>
        <v>0</v>
      </c>
      <c r="BC8" s="1950" t="n">
        <f aca="false">Personnel!BJ8</f>
        <v>0</v>
      </c>
      <c r="BD8" s="1951" t="n">
        <f aca="false">Personnel!BK8</f>
        <v>0</v>
      </c>
      <c r="BE8" s="1466"/>
      <c r="BF8" s="1885"/>
      <c r="BG8" s="1915" t="str">
        <f aca="false">Revenue!A95</f>
        <v>CS-12</v>
      </c>
      <c r="BH8" s="1916" t="n">
        <f aca="false">Revenue!N95</f>
        <v>284993.303571429</v>
      </c>
      <c r="BI8" s="1916" t="n">
        <f aca="false">Revenue!O95</f>
        <v>316659.226190476</v>
      </c>
      <c r="BJ8" s="1916" t="n">
        <f aca="false">Revenue!P95</f>
        <v>348325.148809524</v>
      </c>
      <c r="BK8" s="1916" t="n">
        <f aca="false">Revenue!Q95</f>
        <v>379991.071428572</v>
      </c>
      <c r="BL8" s="1916" t="n">
        <f aca="false">Revenue!R95</f>
        <v>411656.994047619</v>
      </c>
      <c r="BM8" s="1916" t="n">
        <f aca="false">Revenue!S95</f>
        <v>443322.916666668</v>
      </c>
      <c r="BN8" s="1916" t="n">
        <f aca="false">Revenue!T95</f>
        <v>474988.839285715</v>
      </c>
      <c r="BO8" s="1916" t="n">
        <f aca="false">Revenue!U95</f>
        <v>506654.761904762</v>
      </c>
      <c r="BP8" s="1916" t="n">
        <f aca="false">Revenue!V95</f>
        <v>538320.684523808</v>
      </c>
      <c r="BQ8" s="1916" t="n">
        <f aca="false">Revenue!W95</f>
        <v>569986.607142855</v>
      </c>
      <c r="BR8" s="1916" t="n">
        <f aca="false">Revenue!X95</f>
        <v>601652.529761906</v>
      </c>
      <c r="BS8" s="1915" t="n">
        <f aca="false">Revenue!Y95</f>
        <v>633318.452380953</v>
      </c>
      <c r="BT8" s="1888"/>
      <c r="BU8" s="1952" t="str">
        <f aca="false">BG8</f>
        <v>CS-12</v>
      </c>
      <c r="BV8" s="1952" t="n">
        <f aca="false">Revenue!Z63</f>
        <v>26041.6666666667</v>
      </c>
      <c r="BW8" s="1952" t="n">
        <f aca="false">Revenue!AA63</f>
        <v>26041.6666666667</v>
      </c>
      <c r="BX8" s="1953" t="n">
        <f aca="false">Revenue!AB63</f>
        <v>26041.6666666667</v>
      </c>
      <c r="BY8" s="1952" t="n">
        <f aca="false">Revenue!AC63</f>
        <v>26041.6666666667</v>
      </c>
      <c r="BZ8" s="1952" t="n">
        <f aca="false">Revenue!AD63</f>
        <v>26041.6666666667</v>
      </c>
      <c r="CA8" s="1952" t="n">
        <f aca="false">Revenue!AE63</f>
        <v>26041.6666666667</v>
      </c>
      <c r="CB8" s="1952" t="n">
        <f aca="false">Revenue!AF63</f>
        <v>26041.6666666667</v>
      </c>
      <c r="CC8" s="1952" t="n">
        <f aca="false">Revenue!AG63</f>
        <v>26041.6666666667</v>
      </c>
      <c r="CD8" s="1952" t="n">
        <f aca="false">Revenue!AH63</f>
        <v>26041.6666666667</v>
      </c>
      <c r="CE8" s="1952" t="n">
        <f aca="false">Revenue!AI63</f>
        <v>26041.6666666667</v>
      </c>
      <c r="CF8" s="1952" t="n">
        <f aca="false">Revenue!AJ63</f>
        <v>26041.6666666667</v>
      </c>
      <c r="CG8" s="1952" t="n">
        <f aca="false">Revenue!AK63</f>
        <v>26041.6666666667</v>
      </c>
      <c r="CH8" s="1891"/>
      <c r="CI8" s="1954" t="str">
        <f aca="false">BU8</f>
        <v>CS-12</v>
      </c>
      <c r="CJ8" s="1955" t="n">
        <f aca="false">Revenue!AL63</f>
        <v>26041.6666666667</v>
      </c>
      <c r="CK8" s="1955" t="n">
        <f aca="false">Revenue!AM63</f>
        <v>26041.6666666667</v>
      </c>
      <c r="CL8" s="1955" t="n">
        <f aca="false">Revenue!AN63</f>
        <v>26041.6666666667</v>
      </c>
      <c r="CM8" s="1955" t="n">
        <f aca="false">Revenue!AO63</f>
        <v>26041.6666666667</v>
      </c>
      <c r="CN8" s="1955" t="n">
        <f aca="false">Revenue!AP63</f>
        <v>26041.6666666667</v>
      </c>
      <c r="CO8" s="1955" t="n">
        <f aca="false">Revenue!AQ63</f>
        <v>26041.6666666667</v>
      </c>
      <c r="CP8" s="1955" t="n">
        <f aca="false">Revenue!AR63</f>
        <v>26041.6666666667</v>
      </c>
      <c r="CQ8" s="1955" t="n">
        <f aca="false">Revenue!AS63</f>
        <v>26041.6666666667</v>
      </c>
      <c r="CR8" s="1955" t="n">
        <f aca="false">Revenue!AT63</f>
        <v>26041.6666666667</v>
      </c>
      <c r="CS8" s="1955" t="n">
        <f aca="false">Revenue!AU63</f>
        <v>26041.6666666667</v>
      </c>
      <c r="CT8" s="1955" t="n">
        <f aca="false">Revenue!AV63</f>
        <v>26041.6666666667</v>
      </c>
      <c r="CU8" s="1955" t="n">
        <f aca="false">Revenue!AW63</f>
        <v>26041.6666666667</v>
      </c>
      <c r="CV8" s="1888"/>
      <c r="CW8" s="1956" t="str">
        <f aca="false">CI8</f>
        <v>CS-12</v>
      </c>
      <c r="CX8" s="1957" t="n">
        <f aca="false">Revenue!AX63</f>
        <v>26041.6666666667</v>
      </c>
      <c r="CY8" s="1957" t="n">
        <f aca="false">Revenue!AY63</f>
        <v>26041.6666666667</v>
      </c>
      <c r="CZ8" s="1957" t="n">
        <f aca="false">Revenue!AZ63</f>
        <v>26041.6666666667</v>
      </c>
      <c r="DA8" s="1957" t="n">
        <f aca="false">Revenue!BA63</f>
        <v>26041.6666666667</v>
      </c>
      <c r="DB8" s="1957" t="n">
        <f aca="false">Revenue!BB63</f>
        <v>26041.6666666667</v>
      </c>
      <c r="DC8" s="1957" t="n">
        <f aca="false">Revenue!BC63</f>
        <v>26041.6666666667</v>
      </c>
      <c r="DD8" s="1957" t="n">
        <f aca="false">Revenue!BD63</f>
        <v>26041.6666666667</v>
      </c>
      <c r="DE8" s="1957" t="n">
        <f aca="false">Revenue!BE63</f>
        <v>26041.6666666667</v>
      </c>
      <c r="DF8" s="1957" t="n">
        <f aca="false">Revenue!BF63</f>
        <v>26041.6666666667</v>
      </c>
      <c r="DG8" s="1957" t="n">
        <f aca="false">Revenue!BG63</f>
        <v>26041.6666666667</v>
      </c>
      <c r="DH8" s="1957" t="n">
        <f aca="false">Revenue!BH63</f>
        <v>26041.6666666667</v>
      </c>
      <c r="DI8" s="1957" t="n">
        <f aca="false">Revenue!BI63</f>
        <v>26041.6666666667</v>
      </c>
      <c r="DJ8" s="1466"/>
      <c r="DK8" s="1163"/>
      <c r="DL8" s="1958"/>
      <c r="DM8" s="1959" t="n">
        <v>0</v>
      </c>
      <c r="DN8" s="1960" t="n">
        <v>0</v>
      </c>
      <c r="DO8" s="1960" t="n">
        <f aca="false">Revenue!P78</f>
        <v>2239.28571428572</v>
      </c>
      <c r="DP8" s="1960" t="n">
        <f aca="false">Revenue!Q78</f>
        <v>2442.85714285714</v>
      </c>
      <c r="DQ8" s="1960" t="n">
        <f aca="false">Revenue!R78</f>
        <v>2646.42857142857</v>
      </c>
      <c r="DR8" s="1960" t="n">
        <f aca="false">Revenue!S78</f>
        <v>2850</v>
      </c>
      <c r="DS8" s="1960" t="n">
        <f aca="false">Revenue!T78</f>
        <v>3053.57142857143</v>
      </c>
      <c r="DT8" s="1960" t="n">
        <f aca="false">Revenue!U78</f>
        <v>3257.14285714286</v>
      </c>
      <c r="DU8" s="1960" t="n">
        <f aca="false">Revenue!V78</f>
        <v>3460.71428571429</v>
      </c>
      <c r="DV8" s="1960" t="n">
        <f aca="false">Revenue!W78</f>
        <v>3664.28571428572</v>
      </c>
      <c r="DW8" s="1960" t="n">
        <f aca="false">Revenue!X78</f>
        <v>3867.85714285714</v>
      </c>
      <c r="DX8" s="1961" t="n">
        <f aca="false">Revenue!Y78</f>
        <v>4071.42857142857</v>
      </c>
      <c r="DY8" s="1893"/>
      <c r="DZ8" s="1962"/>
      <c r="EA8" s="1963" t="n">
        <f aca="false">Revenue!Z78</f>
        <v>7125</v>
      </c>
      <c r="EB8" s="1964" t="n">
        <f aca="false">Revenue!AA78</f>
        <v>7125</v>
      </c>
      <c r="EC8" s="1964" t="n">
        <f aca="false">Revenue!AB78</f>
        <v>7125</v>
      </c>
      <c r="ED8" s="1964" t="n">
        <f aca="false">Revenue!AC78</f>
        <v>7125</v>
      </c>
      <c r="EE8" s="1964" t="n">
        <f aca="false">Revenue!AD78</f>
        <v>7125</v>
      </c>
      <c r="EF8" s="1964" t="n">
        <f aca="false">Revenue!AE78</f>
        <v>7125</v>
      </c>
      <c r="EG8" s="1964" t="n">
        <f aca="false">Revenue!AF78</f>
        <v>7125</v>
      </c>
      <c r="EH8" s="1964" t="n">
        <f aca="false">Revenue!AG78</f>
        <v>7125</v>
      </c>
      <c r="EI8" s="1964" t="n">
        <f aca="false">Revenue!AH78</f>
        <v>7125</v>
      </c>
      <c r="EJ8" s="1964" t="n">
        <f aca="false">Revenue!AI78</f>
        <v>7125</v>
      </c>
      <c r="EK8" s="1964" t="n">
        <f aca="false">Revenue!AJ78</f>
        <v>7125</v>
      </c>
      <c r="EL8" s="1965" t="n">
        <f aca="false">Revenue!AK78</f>
        <v>7125</v>
      </c>
      <c r="EM8" s="1893"/>
      <c r="EN8" s="1966"/>
      <c r="EO8" s="1945" t="n">
        <f aca="false">Revenue!AL78</f>
        <v>7125</v>
      </c>
      <c r="EP8" s="1946" t="n">
        <f aca="false">Revenue!AM78</f>
        <v>7125</v>
      </c>
      <c r="EQ8" s="1946" t="n">
        <f aca="false">Revenue!AN78</f>
        <v>7125</v>
      </c>
      <c r="ER8" s="1946" t="n">
        <f aca="false">Revenue!AO78</f>
        <v>7125</v>
      </c>
      <c r="ES8" s="1946" t="n">
        <f aca="false">Revenue!AP78</f>
        <v>7125</v>
      </c>
      <c r="ET8" s="1946" t="n">
        <f aca="false">Revenue!AQ78</f>
        <v>7125</v>
      </c>
      <c r="EU8" s="1946" t="n">
        <f aca="false">Revenue!AR78</f>
        <v>7125</v>
      </c>
      <c r="EV8" s="1946" t="n">
        <f aca="false">Revenue!AS78</f>
        <v>7125</v>
      </c>
      <c r="EW8" s="1946" t="n">
        <f aca="false">Revenue!AT78</f>
        <v>7125</v>
      </c>
      <c r="EX8" s="1946" t="n">
        <f aca="false">Revenue!AU78</f>
        <v>7125</v>
      </c>
      <c r="EY8" s="1946" t="n">
        <f aca="false">Revenue!AV78</f>
        <v>7125</v>
      </c>
      <c r="EZ8" s="1947" t="n">
        <f aca="false">Revenue!AW78</f>
        <v>7125</v>
      </c>
      <c r="FA8" s="1893"/>
      <c r="FB8" s="1967"/>
      <c r="FC8" s="1968" t="n">
        <f aca="false">Revenue!AX78</f>
        <v>7125</v>
      </c>
      <c r="FD8" s="1969" t="n">
        <f aca="false">Revenue!AY78</f>
        <v>7125</v>
      </c>
      <c r="FE8" s="1969" t="n">
        <f aca="false">Revenue!AZ78</f>
        <v>7125</v>
      </c>
      <c r="FF8" s="1969" t="n">
        <f aca="false">Revenue!BA78</f>
        <v>7125</v>
      </c>
      <c r="FG8" s="1969" t="n">
        <f aca="false">Revenue!BB78</f>
        <v>7125</v>
      </c>
      <c r="FH8" s="1969" t="n">
        <f aca="false">Revenue!BC78</f>
        <v>7125</v>
      </c>
      <c r="FI8" s="1969" t="n">
        <f aca="false">Revenue!BD78</f>
        <v>7125</v>
      </c>
      <c r="FJ8" s="1969" t="n">
        <f aca="false">Revenue!BE78</f>
        <v>7125</v>
      </c>
      <c r="FK8" s="1969" t="n">
        <f aca="false">Revenue!BF78</f>
        <v>7125</v>
      </c>
      <c r="FL8" s="1969" t="n">
        <f aca="false">Revenue!BG78</f>
        <v>7125</v>
      </c>
      <c r="FM8" s="1969" t="n">
        <f aca="false">Revenue!BH78</f>
        <v>7125</v>
      </c>
      <c r="FN8" s="1970" t="n">
        <f aca="false">Revenue!BI78</f>
        <v>7125</v>
      </c>
      <c r="FO8" s="1466"/>
      <c r="FP8" s="1896"/>
      <c r="FQ8" s="1936" t="str">
        <f aca="false">'P&amp;L'!A28</f>
        <v>Business Expense </v>
      </c>
      <c r="FR8" s="1971" t="n">
        <f aca="false">'P&amp;L'!N28</f>
        <v>21000</v>
      </c>
      <c r="FS8" s="1972" t="n">
        <f aca="false">'P&amp;L'!O28</f>
        <v>21000</v>
      </c>
      <c r="FT8" s="1972" t="n">
        <f aca="false">'P&amp;L'!P28</f>
        <v>21000</v>
      </c>
      <c r="FU8" s="1972" t="n">
        <f aca="false">'P&amp;L'!Q28</f>
        <v>21000</v>
      </c>
      <c r="FV8" s="1972" t="n">
        <f aca="false">'P&amp;L'!R28</f>
        <v>21000</v>
      </c>
      <c r="FW8" s="1972" t="n">
        <f aca="false">'P&amp;L'!S28</f>
        <v>21000</v>
      </c>
      <c r="FX8" s="1972" t="n">
        <f aca="false">'P&amp;L'!T28</f>
        <v>21000</v>
      </c>
      <c r="FY8" s="1972" t="n">
        <f aca="false">'P&amp;L'!U28</f>
        <v>21000</v>
      </c>
      <c r="FZ8" s="1972" t="n">
        <f aca="false">'P&amp;L'!V28</f>
        <v>21000</v>
      </c>
      <c r="GA8" s="1972" t="n">
        <f aca="false">'P&amp;L'!W28</f>
        <v>21000</v>
      </c>
      <c r="GB8" s="1972" t="n">
        <f aca="false">'P&amp;L'!X28</f>
        <v>21000</v>
      </c>
      <c r="GC8" s="1973" t="n">
        <f aca="false">'P&amp;L'!Y28</f>
        <v>21000</v>
      </c>
      <c r="GD8" s="1893"/>
      <c r="GE8" s="1940" t="str">
        <f aca="false">FQ8</f>
        <v>Business Expense </v>
      </c>
      <c r="GF8" s="1975" t="n">
        <f aca="false">'P&amp;L'!Z28</f>
        <v>22050</v>
      </c>
      <c r="GG8" s="1976" t="n">
        <f aca="false">'P&amp;L'!AA28</f>
        <v>22050</v>
      </c>
      <c r="GH8" s="1976" t="n">
        <f aca="false">'P&amp;L'!AB28</f>
        <v>22050</v>
      </c>
      <c r="GI8" s="1976" t="n">
        <f aca="false">'P&amp;L'!AC28</f>
        <v>22050</v>
      </c>
      <c r="GJ8" s="1976" t="n">
        <f aca="false">'P&amp;L'!AD28</f>
        <v>22050</v>
      </c>
      <c r="GK8" s="1976" t="n">
        <f aca="false">'P&amp;L'!AE28</f>
        <v>22050</v>
      </c>
      <c r="GL8" s="1976" t="n">
        <f aca="false">'P&amp;L'!AF28</f>
        <v>22050</v>
      </c>
      <c r="GM8" s="1976" t="n">
        <f aca="false">'P&amp;L'!AG28</f>
        <v>22050</v>
      </c>
      <c r="GN8" s="1976" t="n">
        <f aca="false">'P&amp;L'!AH28</f>
        <v>22050</v>
      </c>
      <c r="GO8" s="1976" t="n">
        <f aca="false">'P&amp;L'!AI28</f>
        <v>22050</v>
      </c>
      <c r="GP8" s="1976" t="n">
        <f aca="false">'P&amp;L'!AJ28</f>
        <v>22050</v>
      </c>
      <c r="GQ8" s="1977" t="n">
        <f aca="false">'P&amp;L'!AK28</f>
        <v>22050</v>
      </c>
      <c r="GR8" s="1893"/>
      <c r="GS8" s="1944" t="str">
        <f aca="false">GE8</f>
        <v>Business Expense </v>
      </c>
      <c r="GT8" s="1979" t="n">
        <f aca="false">'P&amp;L'!AL28</f>
        <v>23152.5</v>
      </c>
      <c r="GU8" s="1980" t="n">
        <f aca="false">'P&amp;L'!AM28</f>
        <v>23152.5</v>
      </c>
      <c r="GV8" s="1980" t="n">
        <f aca="false">'P&amp;L'!AN28</f>
        <v>23152.5</v>
      </c>
      <c r="GW8" s="1980" t="n">
        <f aca="false">'P&amp;L'!AO28</f>
        <v>23152.5</v>
      </c>
      <c r="GX8" s="1980" t="n">
        <f aca="false">'P&amp;L'!AP28</f>
        <v>23152.5</v>
      </c>
      <c r="GY8" s="1980" t="n">
        <f aca="false">'P&amp;L'!AQ28</f>
        <v>23152.5</v>
      </c>
      <c r="GZ8" s="1980" t="n">
        <f aca="false">'P&amp;L'!AR28</f>
        <v>23152.5</v>
      </c>
      <c r="HA8" s="1980" t="n">
        <f aca="false">'P&amp;L'!AS28</f>
        <v>23152.5</v>
      </c>
      <c r="HB8" s="1980" t="n">
        <f aca="false">'P&amp;L'!AT28</f>
        <v>23152.5</v>
      </c>
      <c r="HC8" s="1980" t="n">
        <f aca="false">'P&amp;L'!AU28</f>
        <v>23152.5</v>
      </c>
      <c r="HD8" s="1980" t="n">
        <f aca="false">'P&amp;L'!AV28</f>
        <v>23152.5</v>
      </c>
      <c r="HE8" s="1981" t="n">
        <f aca="false">'P&amp;L'!AW28</f>
        <v>23152.5</v>
      </c>
      <c r="HF8" s="1896"/>
      <c r="HG8" s="1948" t="str">
        <f aca="false">GS8</f>
        <v>Business Expense </v>
      </c>
      <c r="HH8" s="1983" t="n">
        <f aca="false">'P&amp;L'!AX28</f>
        <v>24310.125</v>
      </c>
      <c r="HI8" s="1984" t="n">
        <f aca="false">'P&amp;L'!AY28</f>
        <v>24310.125</v>
      </c>
      <c r="HJ8" s="1984" t="n">
        <f aca="false">'P&amp;L'!AZ28</f>
        <v>24310.125</v>
      </c>
      <c r="HK8" s="1984" t="n">
        <f aca="false">'P&amp;L'!BA28</f>
        <v>24310.125</v>
      </c>
      <c r="HL8" s="1984" t="n">
        <f aca="false">'P&amp;L'!BB28</f>
        <v>24310.125</v>
      </c>
      <c r="HM8" s="1984" t="n">
        <f aca="false">'P&amp;L'!BC28</f>
        <v>24310.125</v>
      </c>
      <c r="HN8" s="1984" t="n">
        <f aca="false">'P&amp;L'!BD28</f>
        <v>24310.125</v>
      </c>
      <c r="HO8" s="1984" t="n">
        <f aca="false">'P&amp;L'!BE28</f>
        <v>24310.125</v>
      </c>
      <c r="HP8" s="1984" t="n">
        <f aca="false">'P&amp;L'!BF28</f>
        <v>24310.125</v>
      </c>
      <c r="HQ8" s="1984" t="n">
        <f aca="false">'P&amp;L'!BG28</f>
        <v>24310.125</v>
      </c>
      <c r="HR8" s="1984" t="n">
        <f aca="false">'P&amp;L'!BH28</f>
        <v>24310.125</v>
      </c>
      <c r="HS8" s="1985" t="n">
        <f aca="false">'P&amp;L'!BI28</f>
        <v>24310.125</v>
      </c>
    </row>
    <row r="9" customFormat="false" ht="10.5" hidden="false" customHeight="true" outlineLevel="0" collapsed="false">
      <c r="A9" s="1641"/>
      <c r="B9" s="2008" t="n">
        <f aca="false">Personnel!A9</f>
        <v>0</v>
      </c>
      <c r="C9" s="1937" t="n">
        <f aca="false">Personnel!P9</f>
        <v>0</v>
      </c>
      <c r="D9" s="1938" t="n">
        <f aca="false">Personnel!Q9</f>
        <v>0</v>
      </c>
      <c r="E9" s="1938" t="n">
        <f aca="false">Personnel!R9</f>
        <v>0</v>
      </c>
      <c r="F9" s="1938" t="n">
        <f aca="false">Personnel!S9</f>
        <v>0</v>
      </c>
      <c r="G9" s="1938" t="n">
        <f aca="false">Personnel!T9</f>
        <v>0</v>
      </c>
      <c r="H9" s="1938" t="n">
        <f aca="false">Personnel!U9</f>
        <v>0</v>
      </c>
      <c r="I9" s="1938" t="n">
        <f aca="false">Personnel!V9</f>
        <v>0</v>
      </c>
      <c r="J9" s="1938" t="n">
        <f aca="false">Personnel!W9</f>
        <v>0</v>
      </c>
      <c r="K9" s="1938" t="n">
        <f aca="false">Personnel!X9</f>
        <v>0</v>
      </c>
      <c r="L9" s="1938" t="n">
        <f aca="false">Personnel!Y9</f>
        <v>0</v>
      </c>
      <c r="M9" s="1938" t="n">
        <f aca="false">Personnel!Z9</f>
        <v>0</v>
      </c>
      <c r="N9" s="1939" t="n">
        <f aca="false">Personnel!AA9</f>
        <v>0</v>
      </c>
      <c r="O9" s="1882"/>
      <c r="P9" s="2009" t="n">
        <f aca="false">B9</f>
        <v>0</v>
      </c>
      <c r="Q9" s="1941" t="n">
        <f aca="false">Personnel!AB9</f>
        <v>0</v>
      </c>
      <c r="R9" s="1942" t="n">
        <f aca="false">Personnel!AC9</f>
        <v>0</v>
      </c>
      <c r="S9" s="1942" t="n">
        <f aca="false">Personnel!AD9</f>
        <v>0</v>
      </c>
      <c r="T9" s="1942" t="n">
        <f aca="false">Personnel!AE9</f>
        <v>0</v>
      </c>
      <c r="U9" s="1942" t="n">
        <f aca="false">Personnel!AF9</f>
        <v>0</v>
      </c>
      <c r="V9" s="1942" t="n">
        <f aca="false">Personnel!AG9</f>
        <v>0</v>
      </c>
      <c r="W9" s="1942" t="n">
        <f aca="false">Personnel!AH9</f>
        <v>0</v>
      </c>
      <c r="X9" s="1942" t="n">
        <f aca="false">Personnel!AI9</f>
        <v>0</v>
      </c>
      <c r="Y9" s="1942" t="n">
        <f aca="false">Personnel!AJ9</f>
        <v>0</v>
      </c>
      <c r="Z9" s="1942" t="n">
        <f aca="false">Personnel!AK9</f>
        <v>0</v>
      </c>
      <c r="AA9" s="1942" t="n">
        <f aca="false">Personnel!AL9</f>
        <v>0</v>
      </c>
      <c r="AB9" s="1943" t="n">
        <f aca="false">Personnel!AM9</f>
        <v>0</v>
      </c>
      <c r="AC9" s="1882"/>
      <c r="AD9" s="2010" t="n">
        <f aca="false">P9</f>
        <v>0</v>
      </c>
      <c r="AE9" s="1945" t="n">
        <f aca="false">Personnel!AN9</f>
        <v>0</v>
      </c>
      <c r="AF9" s="1946" t="n">
        <f aca="false">Personnel!AO9</f>
        <v>0</v>
      </c>
      <c r="AG9" s="1946" t="n">
        <f aca="false">Personnel!AP9</f>
        <v>0</v>
      </c>
      <c r="AH9" s="1946" t="n">
        <f aca="false">Personnel!AQ9</f>
        <v>0</v>
      </c>
      <c r="AI9" s="1946" t="n">
        <f aca="false">Personnel!AR9</f>
        <v>0</v>
      </c>
      <c r="AJ9" s="1946" t="n">
        <f aca="false">Personnel!AS9</f>
        <v>0</v>
      </c>
      <c r="AK9" s="1946" t="n">
        <f aca="false">Personnel!AT9</f>
        <v>0</v>
      </c>
      <c r="AL9" s="1946" t="n">
        <f aca="false">Personnel!AU9</f>
        <v>0</v>
      </c>
      <c r="AM9" s="1946" t="n">
        <f aca="false">Personnel!AV9</f>
        <v>0</v>
      </c>
      <c r="AN9" s="1946" t="n">
        <f aca="false">Personnel!AW9</f>
        <v>0</v>
      </c>
      <c r="AO9" s="1946" t="n">
        <f aca="false">Personnel!AX9</f>
        <v>0</v>
      </c>
      <c r="AP9" s="1947" t="n">
        <f aca="false">Personnel!AY9</f>
        <v>0</v>
      </c>
      <c r="AQ9" s="1882"/>
      <c r="AR9" s="2011" t="n">
        <f aca="false">AD9</f>
        <v>0</v>
      </c>
      <c r="AS9" s="1949" t="n">
        <f aca="false">Personnel!AZ9</f>
        <v>0</v>
      </c>
      <c r="AT9" s="1950" t="n">
        <f aca="false">Personnel!BA9</f>
        <v>0</v>
      </c>
      <c r="AU9" s="1950" t="n">
        <f aca="false">Personnel!BB9</f>
        <v>0</v>
      </c>
      <c r="AV9" s="1950" t="n">
        <f aca="false">Personnel!BC9</f>
        <v>0</v>
      </c>
      <c r="AW9" s="1950" t="n">
        <f aca="false">Personnel!BD9</f>
        <v>0</v>
      </c>
      <c r="AX9" s="1950" t="n">
        <f aca="false">Personnel!BE9</f>
        <v>0</v>
      </c>
      <c r="AY9" s="1950" t="n">
        <f aca="false">Personnel!BF9</f>
        <v>0</v>
      </c>
      <c r="AZ9" s="1950" t="n">
        <f aca="false">Personnel!BG9</f>
        <v>0</v>
      </c>
      <c r="BA9" s="1950" t="n">
        <f aca="false">Personnel!BH9</f>
        <v>0</v>
      </c>
      <c r="BB9" s="1950" t="n">
        <f aca="false">Personnel!BI9</f>
        <v>0</v>
      </c>
      <c r="BC9" s="1950" t="n">
        <f aca="false">Personnel!BJ9</f>
        <v>0</v>
      </c>
      <c r="BD9" s="1951" t="n">
        <f aca="false">Personnel!BK9</f>
        <v>0</v>
      </c>
      <c r="BE9" s="1466"/>
      <c r="BF9" s="1885"/>
      <c r="BG9" s="1915" t="str">
        <f aca="false">Revenue!A96</f>
        <v>CS-14</v>
      </c>
      <c r="BH9" s="1916" t="n">
        <f aca="false">Revenue!N96</f>
        <v>227994.642857143</v>
      </c>
      <c r="BI9" s="1916" t="n">
        <f aca="false">Revenue!O96</f>
        <v>253327.380952381</v>
      </c>
      <c r="BJ9" s="1916" t="n">
        <f aca="false">Revenue!P96</f>
        <v>278660.119047619</v>
      </c>
      <c r="BK9" s="1916" t="n">
        <f aca="false">Revenue!Q96</f>
        <v>303992.857142857</v>
      </c>
      <c r="BL9" s="1916" t="n">
        <f aca="false">Revenue!R96</f>
        <v>329325.595238095</v>
      </c>
      <c r="BM9" s="1916" t="n">
        <f aca="false">Revenue!S96</f>
        <v>354658.333333333</v>
      </c>
      <c r="BN9" s="1916" t="n">
        <f aca="false">Revenue!T96</f>
        <v>379991.071428572</v>
      </c>
      <c r="BO9" s="1916" t="n">
        <f aca="false">Revenue!U96</f>
        <v>405323.80952381</v>
      </c>
      <c r="BP9" s="1916" t="n">
        <f aca="false">Revenue!V96</f>
        <v>430656.547619047</v>
      </c>
      <c r="BQ9" s="1916" t="n">
        <f aca="false">Revenue!W96</f>
        <v>455989.285714285</v>
      </c>
      <c r="BR9" s="1916" t="n">
        <f aca="false">Revenue!X96</f>
        <v>481322.023809523</v>
      </c>
      <c r="BS9" s="1915" t="n">
        <f aca="false">Revenue!Y96</f>
        <v>506654.761904762</v>
      </c>
      <c r="BT9" s="1888"/>
      <c r="BU9" s="1952" t="str">
        <f aca="false">BG9</f>
        <v>CS-14</v>
      </c>
      <c r="BV9" s="1952" t="n">
        <f aca="false">Revenue!Z64</f>
        <v>20833.3333333333</v>
      </c>
      <c r="BW9" s="1952" t="n">
        <f aca="false">Revenue!AA64</f>
        <v>20833.3333333333</v>
      </c>
      <c r="BX9" s="1953" t="n">
        <f aca="false">Revenue!AB64</f>
        <v>20833.3333333333</v>
      </c>
      <c r="BY9" s="1952" t="n">
        <f aca="false">Revenue!AC64</f>
        <v>20833.3333333333</v>
      </c>
      <c r="BZ9" s="1952" t="n">
        <f aca="false">Revenue!AD64</f>
        <v>20833.3333333333</v>
      </c>
      <c r="CA9" s="1952" t="n">
        <f aca="false">Revenue!AE64</f>
        <v>20833.3333333333</v>
      </c>
      <c r="CB9" s="1952" t="n">
        <f aca="false">Revenue!AF64</f>
        <v>20833.3333333333</v>
      </c>
      <c r="CC9" s="1952" t="n">
        <f aca="false">Revenue!AG64</f>
        <v>20833.3333333333</v>
      </c>
      <c r="CD9" s="1952" t="n">
        <f aca="false">Revenue!AH64</f>
        <v>20833.3333333333</v>
      </c>
      <c r="CE9" s="1952" t="n">
        <f aca="false">Revenue!AI64</f>
        <v>20833.3333333333</v>
      </c>
      <c r="CF9" s="1952" t="n">
        <f aca="false">Revenue!AJ64</f>
        <v>20833.3333333333</v>
      </c>
      <c r="CG9" s="1952" t="n">
        <f aca="false">Revenue!AK64</f>
        <v>20833.3333333333</v>
      </c>
      <c r="CH9" s="1891"/>
      <c r="CI9" s="1954" t="str">
        <f aca="false">BU9</f>
        <v>CS-14</v>
      </c>
      <c r="CJ9" s="1955" t="n">
        <f aca="false">Revenue!AL64</f>
        <v>20833.3333333333</v>
      </c>
      <c r="CK9" s="1955" t="n">
        <f aca="false">Revenue!AM64</f>
        <v>20833.3333333333</v>
      </c>
      <c r="CL9" s="1955" t="n">
        <f aca="false">Revenue!AN64</f>
        <v>20833.3333333333</v>
      </c>
      <c r="CM9" s="1955" t="n">
        <f aca="false">Revenue!AO64</f>
        <v>20833.3333333333</v>
      </c>
      <c r="CN9" s="1955" t="n">
        <f aca="false">Revenue!AP64</f>
        <v>20833.3333333333</v>
      </c>
      <c r="CO9" s="1955" t="n">
        <f aca="false">Revenue!AQ64</f>
        <v>20833.3333333333</v>
      </c>
      <c r="CP9" s="1955" t="n">
        <f aca="false">Revenue!AR64</f>
        <v>20833.3333333333</v>
      </c>
      <c r="CQ9" s="1955" t="n">
        <f aca="false">Revenue!AS64</f>
        <v>20833.3333333333</v>
      </c>
      <c r="CR9" s="1955" t="n">
        <f aca="false">Revenue!AT64</f>
        <v>20833.3333333333</v>
      </c>
      <c r="CS9" s="1955" t="n">
        <f aca="false">Revenue!AU64</f>
        <v>20833.3333333333</v>
      </c>
      <c r="CT9" s="1955" t="n">
        <f aca="false">Revenue!AV64</f>
        <v>20833.3333333333</v>
      </c>
      <c r="CU9" s="1955" t="n">
        <f aca="false">Revenue!AW64</f>
        <v>20833.3333333333</v>
      </c>
      <c r="CV9" s="1888"/>
      <c r="CW9" s="1956" t="str">
        <f aca="false">CI9</f>
        <v>CS-14</v>
      </c>
      <c r="CX9" s="1957" t="n">
        <f aca="false">Revenue!AX64</f>
        <v>20833.3333333333</v>
      </c>
      <c r="CY9" s="1957" t="n">
        <f aca="false">Revenue!AY64</f>
        <v>20833.3333333333</v>
      </c>
      <c r="CZ9" s="1957" t="n">
        <f aca="false">Revenue!AZ64</f>
        <v>20833.3333333333</v>
      </c>
      <c r="DA9" s="1957" t="n">
        <f aca="false">Revenue!BA64</f>
        <v>20833.3333333333</v>
      </c>
      <c r="DB9" s="1957" t="n">
        <f aca="false">Revenue!BB64</f>
        <v>20833.3333333333</v>
      </c>
      <c r="DC9" s="1957" t="n">
        <f aca="false">Revenue!BC64</f>
        <v>20833.3333333333</v>
      </c>
      <c r="DD9" s="1957" t="n">
        <f aca="false">Revenue!BD64</f>
        <v>20833.3333333333</v>
      </c>
      <c r="DE9" s="1957" t="n">
        <f aca="false">Revenue!BE64</f>
        <v>20833.3333333333</v>
      </c>
      <c r="DF9" s="1957" t="n">
        <f aca="false">Revenue!BF64</f>
        <v>20833.3333333333</v>
      </c>
      <c r="DG9" s="1957" t="n">
        <f aca="false">Revenue!BG64</f>
        <v>20833.3333333333</v>
      </c>
      <c r="DH9" s="1957" t="n">
        <f aca="false">Revenue!BH64</f>
        <v>20833.3333333333</v>
      </c>
      <c r="DI9" s="1957" t="n">
        <f aca="false">Revenue!BI64</f>
        <v>20833.3333333333</v>
      </c>
      <c r="DJ9" s="1466"/>
      <c r="DK9" s="1163"/>
      <c r="DL9" s="1958"/>
      <c r="DM9" s="1959" t="n">
        <v>0</v>
      </c>
      <c r="DN9" s="1960" t="n">
        <v>0</v>
      </c>
      <c r="DO9" s="1960" t="n">
        <f aca="false">Revenue!P79</f>
        <v>1990.47619047619</v>
      </c>
      <c r="DP9" s="1960" t="n">
        <f aca="false">Revenue!Q79</f>
        <v>2171.42857142857</v>
      </c>
      <c r="DQ9" s="1960" t="n">
        <f aca="false">Revenue!R79</f>
        <v>2352.38095238095</v>
      </c>
      <c r="DR9" s="1960" t="n">
        <f aca="false">Revenue!S79</f>
        <v>2533.33333333333</v>
      </c>
      <c r="DS9" s="1960" t="n">
        <f aca="false">Revenue!T79</f>
        <v>2714.28571428572</v>
      </c>
      <c r="DT9" s="1960" t="n">
        <f aca="false">Revenue!U79</f>
        <v>2895.2380952381</v>
      </c>
      <c r="DU9" s="1960" t="n">
        <f aca="false">Revenue!V79</f>
        <v>3076.19047619048</v>
      </c>
      <c r="DV9" s="1960" t="n">
        <f aca="false">Revenue!W79</f>
        <v>3257.14285714286</v>
      </c>
      <c r="DW9" s="1960" t="n">
        <f aca="false">Revenue!X79</f>
        <v>3438.09523809524</v>
      </c>
      <c r="DX9" s="1961" t="n">
        <f aca="false">Revenue!Y79</f>
        <v>3619.04761904762</v>
      </c>
      <c r="DY9" s="1893"/>
      <c r="DZ9" s="1962"/>
      <c r="EA9" s="1963" t="n">
        <f aca="false">Revenue!Z79</f>
        <v>6333.33333333333</v>
      </c>
      <c r="EB9" s="1964" t="n">
        <f aca="false">Revenue!AA79</f>
        <v>6333.33333333333</v>
      </c>
      <c r="EC9" s="1964" t="n">
        <f aca="false">Revenue!AB79</f>
        <v>6333.33333333333</v>
      </c>
      <c r="ED9" s="1964" t="n">
        <f aca="false">Revenue!AC79</f>
        <v>6333.33333333333</v>
      </c>
      <c r="EE9" s="1964" t="n">
        <f aca="false">Revenue!AD79</f>
        <v>6333.33333333333</v>
      </c>
      <c r="EF9" s="1964" t="n">
        <f aca="false">Revenue!AE79</f>
        <v>6333.33333333333</v>
      </c>
      <c r="EG9" s="1964" t="n">
        <f aca="false">Revenue!AF79</f>
        <v>6333.33333333333</v>
      </c>
      <c r="EH9" s="1964" t="n">
        <f aca="false">Revenue!AG79</f>
        <v>6333.33333333333</v>
      </c>
      <c r="EI9" s="1964" t="n">
        <f aca="false">Revenue!AH79</f>
        <v>6333.33333333333</v>
      </c>
      <c r="EJ9" s="1964" t="n">
        <f aca="false">Revenue!AI79</f>
        <v>6333.33333333333</v>
      </c>
      <c r="EK9" s="1964" t="n">
        <f aca="false">Revenue!AJ79</f>
        <v>6333.33333333333</v>
      </c>
      <c r="EL9" s="1965" t="n">
        <f aca="false">Revenue!AK79</f>
        <v>6333.33333333333</v>
      </c>
      <c r="EM9" s="1893"/>
      <c r="EN9" s="1966"/>
      <c r="EO9" s="1945" t="n">
        <f aca="false">Revenue!AL79</f>
        <v>6333.33333333333</v>
      </c>
      <c r="EP9" s="1946" t="n">
        <f aca="false">Revenue!AM79</f>
        <v>6333.33333333333</v>
      </c>
      <c r="EQ9" s="1946" t="n">
        <f aca="false">Revenue!AN79</f>
        <v>6333.33333333333</v>
      </c>
      <c r="ER9" s="1946" t="n">
        <f aca="false">Revenue!AO79</f>
        <v>6333.33333333333</v>
      </c>
      <c r="ES9" s="1946" t="n">
        <f aca="false">Revenue!AP79</f>
        <v>6333.33333333333</v>
      </c>
      <c r="ET9" s="1946" t="n">
        <f aca="false">Revenue!AQ79</f>
        <v>6333.33333333333</v>
      </c>
      <c r="EU9" s="1946" t="n">
        <f aca="false">Revenue!AR79</f>
        <v>6333.33333333333</v>
      </c>
      <c r="EV9" s="1946" t="n">
        <f aca="false">Revenue!AS79</f>
        <v>6333.33333333333</v>
      </c>
      <c r="EW9" s="1946" t="n">
        <f aca="false">Revenue!AT79</f>
        <v>6333.33333333333</v>
      </c>
      <c r="EX9" s="1946" t="n">
        <f aca="false">Revenue!AU79</f>
        <v>6333.33333333333</v>
      </c>
      <c r="EY9" s="1946" t="n">
        <f aca="false">Revenue!AV79</f>
        <v>6333.33333333333</v>
      </c>
      <c r="EZ9" s="1947" t="n">
        <f aca="false">Revenue!AW79</f>
        <v>6333.33333333333</v>
      </c>
      <c r="FA9" s="1893"/>
      <c r="FB9" s="1967"/>
      <c r="FC9" s="1968" t="n">
        <f aca="false">Revenue!AX79</f>
        <v>6333.33333333333</v>
      </c>
      <c r="FD9" s="1969" t="n">
        <f aca="false">Revenue!AY79</f>
        <v>6333.33333333333</v>
      </c>
      <c r="FE9" s="1969" t="n">
        <f aca="false">Revenue!AZ79</f>
        <v>6333.33333333333</v>
      </c>
      <c r="FF9" s="1969" t="n">
        <f aca="false">Revenue!BA79</f>
        <v>6333.33333333333</v>
      </c>
      <c r="FG9" s="1969" t="n">
        <f aca="false">Revenue!BB79</f>
        <v>6333.33333333333</v>
      </c>
      <c r="FH9" s="1969" t="n">
        <f aca="false">Revenue!BC79</f>
        <v>6333.33333333333</v>
      </c>
      <c r="FI9" s="1969" t="n">
        <f aca="false">Revenue!BD79</f>
        <v>6333.33333333333</v>
      </c>
      <c r="FJ9" s="1969" t="n">
        <f aca="false">Revenue!BE79</f>
        <v>6333.33333333333</v>
      </c>
      <c r="FK9" s="1969" t="n">
        <f aca="false">Revenue!BF79</f>
        <v>6333.33333333333</v>
      </c>
      <c r="FL9" s="1969" t="n">
        <f aca="false">Revenue!BG79</f>
        <v>6333.33333333333</v>
      </c>
      <c r="FM9" s="1969" t="n">
        <f aca="false">Revenue!BH79</f>
        <v>6333.33333333333</v>
      </c>
      <c r="FN9" s="1970" t="n">
        <f aca="false">Revenue!BI79</f>
        <v>6333.33333333333</v>
      </c>
      <c r="FO9" s="1466"/>
      <c r="FP9" s="1896"/>
      <c r="FQ9" s="1936" t="str">
        <f aca="false">'P&amp;L'!A29</f>
        <v>Facility Lease</v>
      </c>
      <c r="FR9" s="1971" t="n">
        <f aca="false">'P&amp;L'!N29</f>
        <v>315000</v>
      </c>
      <c r="FS9" s="1972" t="n">
        <f aca="false">'P&amp;L'!O29</f>
        <v>315000</v>
      </c>
      <c r="FT9" s="1972" t="n">
        <f aca="false">'P&amp;L'!P29</f>
        <v>315000</v>
      </c>
      <c r="FU9" s="1972" t="n">
        <f aca="false">'P&amp;L'!Q29</f>
        <v>315000</v>
      </c>
      <c r="FV9" s="1972" t="n">
        <f aca="false">'P&amp;L'!R29</f>
        <v>315000</v>
      </c>
      <c r="FW9" s="1972" t="n">
        <f aca="false">'P&amp;L'!S29</f>
        <v>315000</v>
      </c>
      <c r="FX9" s="1972" t="n">
        <f aca="false">'P&amp;L'!T29</f>
        <v>315000</v>
      </c>
      <c r="FY9" s="1972" t="n">
        <f aca="false">'P&amp;L'!U29</f>
        <v>315000</v>
      </c>
      <c r="FZ9" s="1972" t="n">
        <f aca="false">'P&amp;L'!V29</f>
        <v>315000</v>
      </c>
      <c r="GA9" s="1972" t="n">
        <f aca="false">'P&amp;L'!W29</f>
        <v>315000</v>
      </c>
      <c r="GB9" s="1972" t="n">
        <f aca="false">'P&amp;L'!X29</f>
        <v>315000</v>
      </c>
      <c r="GC9" s="1973" t="n">
        <f aca="false">'P&amp;L'!Y29</f>
        <v>315000</v>
      </c>
      <c r="GD9" s="1893"/>
      <c r="GE9" s="1940" t="str">
        <f aca="false">FQ9</f>
        <v>Facility Lease</v>
      </c>
      <c r="GF9" s="1975" t="n">
        <f aca="false">'P&amp;L'!Z29</f>
        <v>330750</v>
      </c>
      <c r="GG9" s="1976" t="n">
        <f aca="false">'P&amp;L'!AA29</f>
        <v>330750</v>
      </c>
      <c r="GH9" s="1976" t="n">
        <f aca="false">'P&amp;L'!AB29</f>
        <v>330750</v>
      </c>
      <c r="GI9" s="1976" t="n">
        <f aca="false">'P&amp;L'!AC29</f>
        <v>330750</v>
      </c>
      <c r="GJ9" s="1976" t="n">
        <f aca="false">'P&amp;L'!AD29</f>
        <v>330750</v>
      </c>
      <c r="GK9" s="1976" t="n">
        <f aca="false">'P&amp;L'!AE29</f>
        <v>330750</v>
      </c>
      <c r="GL9" s="1976" t="n">
        <f aca="false">'P&amp;L'!AF29</f>
        <v>330750</v>
      </c>
      <c r="GM9" s="1976" t="n">
        <f aca="false">'P&amp;L'!AG29</f>
        <v>330750</v>
      </c>
      <c r="GN9" s="1976" t="n">
        <f aca="false">'P&amp;L'!AH29</f>
        <v>330750</v>
      </c>
      <c r="GO9" s="1976" t="n">
        <f aca="false">'P&amp;L'!AI29</f>
        <v>330750</v>
      </c>
      <c r="GP9" s="1976" t="n">
        <f aca="false">'P&amp;L'!AJ29</f>
        <v>330750</v>
      </c>
      <c r="GQ9" s="1977" t="n">
        <f aca="false">'P&amp;L'!AK29</f>
        <v>330750</v>
      </c>
      <c r="GR9" s="1893"/>
      <c r="GS9" s="1944" t="str">
        <f aca="false">GE9</f>
        <v>Facility Lease</v>
      </c>
      <c r="GT9" s="1979" t="n">
        <f aca="false">'P&amp;L'!AL29</f>
        <v>347287.5</v>
      </c>
      <c r="GU9" s="1980" t="n">
        <f aca="false">'P&amp;L'!AM29</f>
        <v>347287.5</v>
      </c>
      <c r="GV9" s="1980" t="n">
        <f aca="false">'P&amp;L'!AN29</f>
        <v>347287.5</v>
      </c>
      <c r="GW9" s="1980" t="n">
        <f aca="false">'P&amp;L'!AO29</f>
        <v>347287.5</v>
      </c>
      <c r="GX9" s="1980" t="n">
        <f aca="false">'P&amp;L'!AP29</f>
        <v>347287.5</v>
      </c>
      <c r="GY9" s="1980" t="n">
        <f aca="false">'P&amp;L'!AQ29</f>
        <v>347287.5</v>
      </c>
      <c r="GZ9" s="1980" t="n">
        <f aca="false">'P&amp;L'!AR29</f>
        <v>347287.5</v>
      </c>
      <c r="HA9" s="1980" t="n">
        <f aca="false">'P&amp;L'!AS29</f>
        <v>347287.5</v>
      </c>
      <c r="HB9" s="1980" t="n">
        <f aca="false">'P&amp;L'!AT29</f>
        <v>347287.5</v>
      </c>
      <c r="HC9" s="1980" t="n">
        <f aca="false">'P&amp;L'!AU29</f>
        <v>347287.5</v>
      </c>
      <c r="HD9" s="1980" t="n">
        <f aca="false">'P&amp;L'!AV29</f>
        <v>347287.5</v>
      </c>
      <c r="HE9" s="1981" t="n">
        <f aca="false">'P&amp;L'!AW29</f>
        <v>347287.5</v>
      </c>
      <c r="HF9" s="1896"/>
      <c r="HG9" s="1948" t="str">
        <f aca="false">GS9</f>
        <v>Facility Lease</v>
      </c>
      <c r="HH9" s="1983" t="n">
        <f aca="false">'P&amp;L'!AX29</f>
        <v>364651.875</v>
      </c>
      <c r="HI9" s="1984" t="n">
        <f aca="false">'P&amp;L'!AY29</f>
        <v>364651.875</v>
      </c>
      <c r="HJ9" s="1984" t="n">
        <f aca="false">'P&amp;L'!AZ29</f>
        <v>364651.875</v>
      </c>
      <c r="HK9" s="1984" t="n">
        <f aca="false">'P&amp;L'!BA29</f>
        <v>364651.875</v>
      </c>
      <c r="HL9" s="1984" t="n">
        <f aca="false">'P&amp;L'!BB29</f>
        <v>364651.875</v>
      </c>
      <c r="HM9" s="1984" t="n">
        <f aca="false">'P&amp;L'!BC29</f>
        <v>364651.875</v>
      </c>
      <c r="HN9" s="1984" t="n">
        <f aca="false">'P&amp;L'!BD29</f>
        <v>364651.875</v>
      </c>
      <c r="HO9" s="1984" t="n">
        <f aca="false">'P&amp;L'!BE29</f>
        <v>364651.875</v>
      </c>
      <c r="HP9" s="1984" t="n">
        <f aca="false">'P&amp;L'!BF29</f>
        <v>364651.875</v>
      </c>
      <c r="HQ9" s="1984" t="n">
        <f aca="false">'P&amp;L'!BG29</f>
        <v>364651.875</v>
      </c>
      <c r="HR9" s="1984" t="n">
        <f aca="false">'P&amp;L'!BH29</f>
        <v>364651.875</v>
      </c>
      <c r="HS9" s="1985" t="n">
        <f aca="false">'P&amp;L'!BI29</f>
        <v>364651.875</v>
      </c>
    </row>
    <row r="10" customFormat="false" ht="10.5" hidden="false" customHeight="true" outlineLevel="0" collapsed="false">
      <c r="A10" s="1641"/>
      <c r="B10" s="2008" t="n">
        <f aca="false">Personnel!A10</f>
        <v>0</v>
      </c>
      <c r="C10" s="1937" t="n">
        <f aca="false">Personnel!P10</f>
        <v>0</v>
      </c>
      <c r="D10" s="1938" t="n">
        <f aca="false">Personnel!Q10</f>
        <v>0</v>
      </c>
      <c r="E10" s="1938" t="n">
        <f aca="false">Personnel!R10</f>
        <v>0</v>
      </c>
      <c r="F10" s="1938" t="n">
        <f aca="false">Personnel!S10</f>
        <v>0</v>
      </c>
      <c r="G10" s="1938" t="n">
        <f aca="false">Personnel!T10</f>
        <v>0</v>
      </c>
      <c r="H10" s="1938" t="n">
        <f aca="false">Personnel!U10</f>
        <v>0</v>
      </c>
      <c r="I10" s="1938" t="n">
        <f aca="false">Personnel!V10</f>
        <v>0</v>
      </c>
      <c r="J10" s="1938" t="n">
        <f aca="false">Personnel!W10</f>
        <v>0</v>
      </c>
      <c r="K10" s="1938" t="n">
        <f aca="false">Personnel!X10</f>
        <v>0</v>
      </c>
      <c r="L10" s="1938" t="n">
        <f aca="false">Personnel!Y10</f>
        <v>0</v>
      </c>
      <c r="M10" s="1938" t="n">
        <f aca="false">Personnel!Z10</f>
        <v>0</v>
      </c>
      <c r="N10" s="1939" t="n">
        <f aca="false">Personnel!AA10</f>
        <v>0</v>
      </c>
      <c r="O10" s="1882"/>
      <c r="P10" s="2009" t="n">
        <f aca="false">B10</f>
        <v>0</v>
      </c>
      <c r="Q10" s="1941" t="n">
        <f aca="false">Personnel!AB10</f>
        <v>0</v>
      </c>
      <c r="R10" s="1942" t="n">
        <f aca="false">Personnel!AC10</f>
        <v>0</v>
      </c>
      <c r="S10" s="1942" t="n">
        <f aca="false">Personnel!AD10</f>
        <v>0</v>
      </c>
      <c r="T10" s="1942" t="n">
        <f aca="false">Personnel!AE10</f>
        <v>0</v>
      </c>
      <c r="U10" s="1942" t="n">
        <f aca="false">Personnel!AF10</f>
        <v>0</v>
      </c>
      <c r="V10" s="1942" t="n">
        <f aca="false">Personnel!AG10</f>
        <v>0</v>
      </c>
      <c r="W10" s="1942" t="n">
        <f aca="false">Personnel!AH10</f>
        <v>0</v>
      </c>
      <c r="X10" s="1942" t="n">
        <f aca="false">Personnel!AI10</f>
        <v>0</v>
      </c>
      <c r="Y10" s="1942" t="n">
        <f aca="false">Personnel!AJ10</f>
        <v>0</v>
      </c>
      <c r="Z10" s="1942" t="n">
        <f aca="false">Personnel!AK10</f>
        <v>0</v>
      </c>
      <c r="AA10" s="1942" t="n">
        <f aca="false">Personnel!AL10</f>
        <v>0</v>
      </c>
      <c r="AB10" s="1943" t="n">
        <f aca="false">Personnel!AM10</f>
        <v>0</v>
      </c>
      <c r="AC10" s="1882"/>
      <c r="AD10" s="2010" t="n">
        <f aca="false">P10</f>
        <v>0</v>
      </c>
      <c r="AE10" s="1945" t="n">
        <f aca="false">Personnel!AN10</f>
        <v>0</v>
      </c>
      <c r="AF10" s="1946" t="n">
        <f aca="false">Personnel!AO10</f>
        <v>0</v>
      </c>
      <c r="AG10" s="1946" t="n">
        <f aca="false">Personnel!AP10</f>
        <v>0</v>
      </c>
      <c r="AH10" s="1946" t="n">
        <f aca="false">Personnel!AQ10</f>
        <v>0</v>
      </c>
      <c r="AI10" s="1946" t="n">
        <f aca="false">Personnel!AR10</f>
        <v>0</v>
      </c>
      <c r="AJ10" s="1946" t="n">
        <f aca="false">Personnel!AS10</f>
        <v>0</v>
      </c>
      <c r="AK10" s="1946" t="n">
        <f aca="false">Personnel!AT10</f>
        <v>0</v>
      </c>
      <c r="AL10" s="1946" t="n">
        <f aca="false">Personnel!AU10</f>
        <v>0</v>
      </c>
      <c r="AM10" s="1946" t="n">
        <f aca="false">Personnel!AV10</f>
        <v>0</v>
      </c>
      <c r="AN10" s="1946" t="n">
        <f aca="false">Personnel!AW10</f>
        <v>0</v>
      </c>
      <c r="AO10" s="1946" t="n">
        <f aca="false">Personnel!AX10</f>
        <v>0</v>
      </c>
      <c r="AP10" s="1947" t="n">
        <f aca="false">Personnel!AY10</f>
        <v>0</v>
      </c>
      <c r="AQ10" s="1882"/>
      <c r="AR10" s="2011" t="n">
        <f aca="false">AD10</f>
        <v>0</v>
      </c>
      <c r="AS10" s="1949" t="n">
        <f aca="false">Personnel!AZ10</f>
        <v>0</v>
      </c>
      <c r="AT10" s="1950" t="n">
        <f aca="false">Personnel!BA10</f>
        <v>0</v>
      </c>
      <c r="AU10" s="1950" t="n">
        <f aca="false">Personnel!BB10</f>
        <v>0</v>
      </c>
      <c r="AV10" s="1950" t="n">
        <f aca="false">Personnel!BC10</f>
        <v>0</v>
      </c>
      <c r="AW10" s="1950" t="n">
        <f aca="false">Personnel!BD10</f>
        <v>0</v>
      </c>
      <c r="AX10" s="1950" t="n">
        <f aca="false">Personnel!BE10</f>
        <v>0</v>
      </c>
      <c r="AY10" s="1950" t="n">
        <f aca="false">Personnel!BF10</f>
        <v>0</v>
      </c>
      <c r="AZ10" s="1950" t="n">
        <f aca="false">Personnel!BG10</f>
        <v>0</v>
      </c>
      <c r="BA10" s="1950" t="n">
        <f aca="false">Personnel!BH10</f>
        <v>0</v>
      </c>
      <c r="BB10" s="1950" t="n">
        <f aca="false">Personnel!BI10</f>
        <v>0</v>
      </c>
      <c r="BC10" s="1950" t="n">
        <f aca="false">Personnel!BJ10</f>
        <v>0</v>
      </c>
      <c r="BD10" s="1951" t="n">
        <f aca="false">Personnel!BK10</f>
        <v>0</v>
      </c>
      <c r="BE10" s="1466"/>
      <c r="BF10" s="1885"/>
      <c r="BG10" s="1915" t="str">
        <f aca="false">Revenue!A97</f>
        <v>CS-16</v>
      </c>
      <c r="BH10" s="1916" t="n">
        <f aca="false">Revenue!N97</f>
        <v>256493.973214286</v>
      </c>
      <c r="BI10" s="1916" t="n">
        <f aca="false">Revenue!O97</f>
        <v>284993.303571429</v>
      </c>
      <c r="BJ10" s="1916" t="n">
        <f aca="false">Revenue!P97</f>
        <v>313492.633928572</v>
      </c>
      <c r="BK10" s="1916" t="n">
        <f aca="false">Revenue!Q97</f>
        <v>341991.964285715</v>
      </c>
      <c r="BL10" s="1916" t="n">
        <f aca="false">Revenue!R97</f>
        <v>370491.294642857</v>
      </c>
      <c r="BM10" s="1916" t="n">
        <f aca="false">Revenue!S97</f>
        <v>398990.625</v>
      </c>
      <c r="BN10" s="1916" t="n">
        <f aca="false">Revenue!T97</f>
        <v>427489.955357145</v>
      </c>
      <c r="BO10" s="1916" t="n">
        <f aca="false">Revenue!U97</f>
        <v>455989.285714285</v>
      </c>
      <c r="BP10" s="1916" t="n">
        <f aca="false">Revenue!V97</f>
        <v>484488.61607143</v>
      </c>
      <c r="BQ10" s="1916" t="n">
        <f aca="false">Revenue!W97</f>
        <v>512987.94642857</v>
      </c>
      <c r="BR10" s="1916" t="n">
        <f aca="false">Revenue!X97</f>
        <v>541487.276785715</v>
      </c>
      <c r="BS10" s="1915" t="n">
        <f aca="false">Revenue!Y97</f>
        <v>569986.607142855</v>
      </c>
      <c r="BT10" s="1888"/>
      <c r="BU10" s="1952" t="str">
        <f aca="false">BG10</f>
        <v>CS-16</v>
      </c>
      <c r="BV10" s="1952" t="n">
        <f aca="false">Revenue!Z65</f>
        <v>23437.5</v>
      </c>
      <c r="BW10" s="1952" t="n">
        <f aca="false">Revenue!AA65</f>
        <v>23437.5</v>
      </c>
      <c r="BX10" s="1953" t="n">
        <f aca="false">Revenue!AB65</f>
        <v>23437.5</v>
      </c>
      <c r="BY10" s="1952" t="n">
        <f aca="false">Revenue!AC65</f>
        <v>23437.5</v>
      </c>
      <c r="BZ10" s="1952" t="n">
        <f aca="false">Revenue!AD65</f>
        <v>23437.5</v>
      </c>
      <c r="CA10" s="1952" t="n">
        <f aca="false">Revenue!AE65</f>
        <v>23437.5</v>
      </c>
      <c r="CB10" s="1952" t="n">
        <f aca="false">Revenue!AF65</f>
        <v>23437.5</v>
      </c>
      <c r="CC10" s="1952" t="n">
        <f aca="false">Revenue!AG65</f>
        <v>23437.5</v>
      </c>
      <c r="CD10" s="1952" t="n">
        <f aca="false">Revenue!AH65</f>
        <v>23437.5</v>
      </c>
      <c r="CE10" s="1952" t="n">
        <f aca="false">Revenue!AI65</f>
        <v>23437.5</v>
      </c>
      <c r="CF10" s="1952" t="n">
        <f aca="false">Revenue!AJ65</f>
        <v>23437.5</v>
      </c>
      <c r="CG10" s="1952" t="n">
        <f aca="false">Revenue!AK65</f>
        <v>23437.5</v>
      </c>
      <c r="CH10" s="1891"/>
      <c r="CI10" s="1954" t="str">
        <f aca="false">BU10</f>
        <v>CS-16</v>
      </c>
      <c r="CJ10" s="1955" t="n">
        <f aca="false">Revenue!AL65</f>
        <v>23437.5</v>
      </c>
      <c r="CK10" s="1955" t="n">
        <f aca="false">Revenue!AM65</f>
        <v>23437.5</v>
      </c>
      <c r="CL10" s="1955" t="n">
        <f aca="false">Revenue!AN65</f>
        <v>23437.5</v>
      </c>
      <c r="CM10" s="1955" t="n">
        <f aca="false">Revenue!AO65</f>
        <v>23437.5</v>
      </c>
      <c r="CN10" s="1955" t="n">
        <f aca="false">Revenue!AP65</f>
        <v>23437.5</v>
      </c>
      <c r="CO10" s="1955" t="n">
        <f aca="false">Revenue!AQ65</f>
        <v>23437.5</v>
      </c>
      <c r="CP10" s="1955" t="n">
        <f aca="false">Revenue!AR65</f>
        <v>23437.5</v>
      </c>
      <c r="CQ10" s="1955" t="n">
        <f aca="false">Revenue!AS65</f>
        <v>23437.5</v>
      </c>
      <c r="CR10" s="1955" t="n">
        <f aca="false">Revenue!AT65</f>
        <v>23437.5</v>
      </c>
      <c r="CS10" s="1955" t="n">
        <f aca="false">Revenue!AU65</f>
        <v>23437.5</v>
      </c>
      <c r="CT10" s="1955" t="n">
        <f aca="false">Revenue!AV65</f>
        <v>23437.5</v>
      </c>
      <c r="CU10" s="1955" t="n">
        <f aca="false">Revenue!AW65</f>
        <v>23437.5</v>
      </c>
      <c r="CV10" s="1888"/>
      <c r="CW10" s="1956" t="str">
        <f aca="false">CI10</f>
        <v>CS-16</v>
      </c>
      <c r="CX10" s="1957" t="n">
        <f aca="false">Revenue!AX65</f>
        <v>23437.5</v>
      </c>
      <c r="CY10" s="1957" t="n">
        <f aca="false">Revenue!AY65</f>
        <v>23437.5</v>
      </c>
      <c r="CZ10" s="1957" t="n">
        <f aca="false">Revenue!AZ65</f>
        <v>23437.5</v>
      </c>
      <c r="DA10" s="1957" t="n">
        <f aca="false">Revenue!BA65</f>
        <v>23437.5</v>
      </c>
      <c r="DB10" s="1957" t="n">
        <f aca="false">Revenue!BB65</f>
        <v>23437.5</v>
      </c>
      <c r="DC10" s="1957" t="n">
        <f aca="false">Revenue!BC65</f>
        <v>23437.5</v>
      </c>
      <c r="DD10" s="1957" t="n">
        <f aca="false">Revenue!BD65</f>
        <v>23437.5</v>
      </c>
      <c r="DE10" s="1957" t="n">
        <f aca="false">Revenue!BE65</f>
        <v>23437.5</v>
      </c>
      <c r="DF10" s="1957" t="n">
        <f aca="false">Revenue!BF65</f>
        <v>23437.5</v>
      </c>
      <c r="DG10" s="1957" t="n">
        <f aca="false">Revenue!BG65</f>
        <v>23437.5</v>
      </c>
      <c r="DH10" s="1957" t="n">
        <f aca="false">Revenue!BH65</f>
        <v>23437.5</v>
      </c>
      <c r="DI10" s="1957" t="n">
        <f aca="false">Revenue!BI65</f>
        <v>23437.5</v>
      </c>
      <c r="DJ10" s="1466"/>
      <c r="DK10" s="1163"/>
      <c r="DL10" s="1958"/>
      <c r="DM10" s="1959" t="n">
        <v>0</v>
      </c>
      <c r="DN10" s="1960" t="n">
        <v>0</v>
      </c>
      <c r="DO10" s="1960" t="n">
        <f aca="false">Revenue!P80</f>
        <v>1244.04761904762</v>
      </c>
      <c r="DP10" s="1960" t="n">
        <f aca="false">Revenue!Q80</f>
        <v>1357.14285714286</v>
      </c>
      <c r="DQ10" s="1960" t="n">
        <f aca="false">Revenue!R80</f>
        <v>1470.2380952381</v>
      </c>
      <c r="DR10" s="1960" t="n">
        <f aca="false">Revenue!S80</f>
        <v>1583.33333333333</v>
      </c>
      <c r="DS10" s="1960" t="n">
        <f aca="false">Revenue!T80</f>
        <v>1696.42857142857</v>
      </c>
      <c r="DT10" s="1960" t="n">
        <f aca="false">Revenue!U80</f>
        <v>1809.52380952381</v>
      </c>
      <c r="DU10" s="1960" t="n">
        <f aca="false">Revenue!V80</f>
        <v>1922.61904761905</v>
      </c>
      <c r="DV10" s="1960" t="n">
        <f aca="false">Revenue!W80</f>
        <v>2035.71428571429</v>
      </c>
      <c r="DW10" s="1960" t="n">
        <f aca="false">Revenue!X80</f>
        <v>2148.80952380952</v>
      </c>
      <c r="DX10" s="1961" t="n">
        <f aca="false">Revenue!Y80</f>
        <v>2261.90476190476</v>
      </c>
      <c r="DY10" s="1893"/>
      <c r="DZ10" s="1962"/>
      <c r="EA10" s="1963" t="n">
        <f aca="false">Revenue!Z80</f>
        <v>3958.33333333333</v>
      </c>
      <c r="EB10" s="1964" t="n">
        <f aca="false">Revenue!AA80</f>
        <v>3958.33333333333</v>
      </c>
      <c r="EC10" s="1964" t="n">
        <f aca="false">Revenue!AB80</f>
        <v>3958.33333333333</v>
      </c>
      <c r="ED10" s="1964" t="n">
        <f aca="false">Revenue!AC80</f>
        <v>3958.33333333333</v>
      </c>
      <c r="EE10" s="1964" t="n">
        <f aca="false">Revenue!AD80</f>
        <v>3958.33333333333</v>
      </c>
      <c r="EF10" s="1964" t="n">
        <f aca="false">Revenue!AE80</f>
        <v>3958.33333333333</v>
      </c>
      <c r="EG10" s="1964" t="n">
        <f aca="false">Revenue!AF80</f>
        <v>3958.33333333333</v>
      </c>
      <c r="EH10" s="1964" t="n">
        <f aca="false">Revenue!AG80</f>
        <v>3958.33333333333</v>
      </c>
      <c r="EI10" s="1964" t="n">
        <f aca="false">Revenue!AH80</f>
        <v>3958.33333333333</v>
      </c>
      <c r="EJ10" s="1964" t="n">
        <f aca="false">Revenue!AI80</f>
        <v>3958.33333333333</v>
      </c>
      <c r="EK10" s="1964" t="n">
        <f aca="false">Revenue!AJ80</f>
        <v>3958.33333333333</v>
      </c>
      <c r="EL10" s="1965" t="n">
        <f aca="false">Revenue!AK80</f>
        <v>3958.33333333333</v>
      </c>
      <c r="EM10" s="1893"/>
      <c r="EN10" s="1966"/>
      <c r="EO10" s="1945" t="n">
        <f aca="false">Revenue!AL80</f>
        <v>3958.33333333333</v>
      </c>
      <c r="EP10" s="1946" t="n">
        <f aca="false">Revenue!AM80</f>
        <v>3958.33333333333</v>
      </c>
      <c r="EQ10" s="1946" t="n">
        <f aca="false">Revenue!AN80</f>
        <v>3958.33333333333</v>
      </c>
      <c r="ER10" s="1946" t="n">
        <f aca="false">Revenue!AO80</f>
        <v>3958.33333333333</v>
      </c>
      <c r="ES10" s="1946" t="n">
        <f aca="false">Revenue!AP80</f>
        <v>3958.33333333333</v>
      </c>
      <c r="ET10" s="1946" t="n">
        <f aca="false">Revenue!AQ80</f>
        <v>3958.33333333333</v>
      </c>
      <c r="EU10" s="1946" t="n">
        <f aca="false">Revenue!AR80</f>
        <v>3958.33333333333</v>
      </c>
      <c r="EV10" s="1946" t="n">
        <f aca="false">Revenue!AS80</f>
        <v>3958.33333333333</v>
      </c>
      <c r="EW10" s="1946" t="n">
        <f aca="false">Revenue!AT80</f>
        <v>3958.33333333333</v>
      </c>
      <c r="EX10" s="1946" t="n">
        <f aca="false">Revenue!AU80</f>
        <v>3958.33333333333</v>
      </c>
      <c r="EY10" s="1946" t="n">
        <f aca="false">Revenue!AV80</f>
        <v>3958.33333333333</v>
      </c>
      <c r="EZ10" s="1947" t="n">
        <f aca="false">Revenue!AW80</f>
        <v>3958.33333333333</v>
      </c>
      <c r="FA10" s="1893"/>
      <c r="FB10" s="1967"/>
      <c r="FC10" s="1968" t="n">
        <f aca="false">Revenue!AX80</f>
        <v>3958.33333333333</v>
      </c>
      <c r="FD10" s="1969" t="n">
        <f aca="false">Revenue!AY80</f>
        <v>3958.33333333333</v>
      </c>
      <c r="FE10" s="1969" t="n">
        <f aca="false">Revenue!AZ80</f>
        <v>3958.33333333333</v>
      </c>
      <c r="FF10" s="1969" t="n">
        <f aca="false">Revenue!BA80</f>
        <v>3958.33333333333</v>
      </c>
      <c r="FG10" s="1969" t="n">
        <f aca="false">Revenue!BB80</f>
        <v>3958.33333333333</v>
      </c>
      <c r="FH10" s="1969" t="n">
        <f aca="false">Revenue!BC80</f>
        <v>3958.33333333333</v>
      </c>
      <c r="FI10" s="1969" t="n">
        <f aca="false">Revenue!BD80</f>
        <v>3958.33333333333</v>
      </c>
      <c r="FJ10" s="1969" t="n">
        <f aca="false">Revenue!BE80</f>
        <v>3958.33333333333</v>
      </c>
      <c r="FK10" s="1969" t="n">
        <f aca="false">Revenue!BF80</f>
        <v>3958.33333333333</v>
      </c>
      <c r="FL10" s="1969" t="n">
        <f aca="false">Revenue!BG80</f>
        <v>3958.33333333333</v>
      </c>
      <c r="FM10" s="1969" t="n">
        <f aca="false">Revenue!BH80</f>
        <v>3958.33333333333</v>
      </c>
      <c r="FN10" s="1970" t="n">
        <f aca="false">Revenue!BI80</f>
        <v>3958.33333333333</v>
      </c>
      <c r="FO10" s="1466"/>
      <c r="FP10" s="1896"/>
      <c r="FQ10" s="1936" t="str">
        <f aca="false">'P&amp;L'!A30</f>
        <v>OH % Cost</v>
      </c>
      <c r="FR10" s="1971" t="n">
        <f aca="false">'P&amp;L'!N30</f>
        <v>328312.376912143</v>
      </c>
      <c r="FS10" s="1972" t="n">
        <f aca="false">'P&amp;L'!O30</f>
        <v>364791.529902381</v>
      </c>
      <c r="FT10" s="1972" t="n">
        <f aca="false">'P&amp;L'!P30</f>
        <v>401270.682892619</v>
      </c>
      <c r="FU10" s="1972" t="n">
        <f aca="false">'P&amp;L'!Q30</f>
        <v>437749.835882857</v>
      </c>
      <c r="FV10" s="1972" t="n">
        <f aca="false">'P&amp;L'!R30</f>
        <v>474228.988873096</v>
      </c>
      <c r="FW10" s="1972" t="n">
        <f aca="false">'P&amp;L'!S30</f>
        <v>510708.141863334</v>
      </c>
      <c r="FX10" s="1972" t="n">
        <f aca="false">'P&amp;L'!T30</f>
        <v>547187.294853572</v>
      </c>
      <c r="FY10" s="1972" t="n">
        <f aca="false">'P&amp;L'!U30</f>
        <v>583666.44784381</v>
      </c>
      <c r="FZ10" s="1972" t="n">
        <f aca="false">'P&amp;L'!V30</f>
        <v>620145.600834048</v>
      </c>
      <c r="GA10" s="1972" t="n">
        <f aca="false">'P&amp;L'!W30</f>
        <v>656624.753824285</v>
      </c>
      <c r="GB10" s="1972" t="n">
        <f aca="false">'P&amp;L'!X30</f>
        <v>693103.906814524</v>
      </c>
      <c r="GC10" s="1973" t="n">
        <f aca="false">'P&amp;L'!Y30</f>
        <v>729583.059804762</v>
      </c>
      <c r="GD10" s="1893"/>
      <c r="GE10" s="1940" t="str">
        <f aca="false">FQ10</f>
        <v>OH % Cost</v>
      </c>
      <c r="GF10" s="1975" t="n">
        <f aca="false">'P&amp;L'!Z30</f>
        <v>1392840.3869</v>
      </c>
      <c r="GG10" s="1976" t="n">
        <f aca="false">'P&amp;L'!AA30</f>
        <v>1392840.3869</v>
      </c>
      <c r="GH10" s="1976" t="n">
        <f aca="false">'P&amp;L'!AB30</f>
        <v>1392840.3869</v>
      </c>
      <c r="GI10" s="1976" t="n">
        <f aca="false">'P&amp;L'!AC30</f>
        <v>1392840.3869</v>
      </c>
      <c r="GJ10" s="1976" t="n">
        <f aca="false">'P&amp;L'!AD30</f>
        <v>1392840.3869</v>
      </c>
      <c r="GK10" s="1976" t="n">
        <f aca="false">'P&amp;L'!AE30</f>
        <v>1392840.3869</v>
      </c>
      <c r="GL10" s="1976" t="n">
        <f aca="false">'P&amp;L'!AF30</f>
        <v>1392840.3869</v>
      </c>
      <c r="GM10" s="1976" t="n">
        <f aca="false">'P&amp;L'!AG30</f>
        <v>1392840.3869</v>
      </c>
      <c r="GN10" s="1976" t="n">
        <f aca="false">'P&amp;L'!AH30</f>
        <v>1392840.3869</v>
      </c>
      <c r="GO10" s="1976" t="n">
        <f aca="false">'P&amp;L'!AI30</f>
        <v>1392840.3869</v>
      </c>
      <c r="GP10" s="1976" t="n">
        <f aca="false">'P&amp;L'!AJ30</f>
        <v>1392840.3869</v>
      </c>
      <c r="GQ10" s="1977" t="n">
        <f aca="false">'P&amp;L'!AK30</f>
        <v>1392840.3869</v>
      </c>
      <c r="GR10" s="1893"/>
      <c r="GS10" s="1944" t="str">
        <f aca="false">GE10</f>
        <v>OH % Cost</v>
      </c>
      <c r="GT10" s="1979" t="n">
        <f aca="false">'P&amp;L'!AL30</f>
        <v>1508910.41914167</v>
      </c>
      <c r="GU10" s="1980" t="n">
        <f aca="false">'P&amp;L'!AM30</f>
        <v>1508910.41914167</v>
      </c>
      <c r="GV10" s="1980" t="n">
        <f aca="false">'P&amp;L'!AN30</f>
        <v>1508910.41914167</v>
      </c>
      <c r="GW10" s="1980" t="n">
        <f aca="false">'P&amp;L'!AO30</f>
        <v>1508910.41914167</v>
      </c>
      <c r="GX10" s="1980" t="n">
        <f aca="false">'P&amp;L'!AP30</f>
        <v>1508910.41914167</v>
      </c>
      <c r="GY10" s="1980" t="n">
        <f aca="false">'P&amp;L'!AQ30</f>
        <v>1508910.41914167</v>
      </c>
      <c r="GZ10" s="1980" t="n">
        <f aca="false">'P&amp;L'!AR30</f>
        <v>1508910.41914167</v>
      </c>
      <c r="HA10" s="1980" t="n">
        <f aca="false">'P&amp;L'!AS30</f>
        <v>1508910.41914167</v>
      </c>
      <c r="HB10" s="1980" t="n">
        <f aca="false">'P&amp;L'!AT30</f>
        <v>1508910.41914167</v>
      </c>
      <c r="HC10" s="1980" t="n">
        <f aca="false">'P&amp;L'!AU30</f>
        <v>1508910.41914167</v>
      </c>
      <c r="HD10" s="1980" t="n">
        <f aca="false">'P&amp;L'!AV30</f>
        <v>1508910.41914167</v>
      </c>
      <c r="HE10" s="1981" t="n">
        <f aca="false">'P&amp;L'!AW30</f>
        <v>1508910.41914167</v>
      </c>
      <c r="HF10" s="1896"/>
      <c r="HG10" s="1948" t="str">
        <f aca="false">GS10</f>
        <v>OH % Cost</v>
      </c>
      <c r="HH10" s="1983" t="n">
        <f aca="false">'P&amp;L'!AX30</f>
        <v>1624980.45138333</v>
      </c>
      <c r="HI10" s="1984" t="n">
        <f aca="false">'P&amp;L'!AY30</f>
        <v>1624980.45138333</v>
      </c>
      <c r="HJ10" s="1984" t="n">
        <f aca="false">'P&amp;L'!AZ30</f>
        <v>1624980.45138333</v>
      </c>
      <c r="HK10" s="1984" t="n">
        <f aca="false">'P&amp;L'!BA30</f>
        <v>1624980.45138333</v>
      </c>
      <c r="HL10" s="1984" t="n">
        <f aca="false">'P&amp;L'!BB30</f>
        <v>1624980.45138333</v>
      </c>
      <c r="HM10" s="1984" t="n">
        <f aca="false">'P&amp;L'!BC30</f>
        <v>1624980.45138333</v>
      </c>
      <c r="HN10" s="1984" t="n">
        <f aca="false">'P&amp;L'!BD30</f>
        <v>1624980.45138333</v>
      </c>
      <c r="HO10" s="1984" t="n">
        <f aca="false">'P&amp;L'!BE30</f>
        <v>1624980.45138333</v>
      </c>
      <c r="HP10" s="1984" t="n">
        <f aca="false">'P&amp;L'!BF30</f>
        <v>1624980.45138333</v>
      </c>
      <c r="HQ10" s="1984" t="n">
        <f aca="false">'P&amp;L'!BG30</f>
        <v>1624980.45138333</v>
      </c>
      <c r="HR10" s="1984" t="n">
        <f aca="false">'P&amp;L'!BH30</f>
        <v>1624980.45138333</v>
      </c>
      <c r="HS10" s="1985" t="n">
        <f aca="false">'P&amp;L'!BI30</f>
        <v>1624980.45138333</v>
      </c>
    </row>
    <row r="11" customFormat="false" ht="10.5" hidden="false" customHeight="true" outlineLevel="0" collapsed="false">
      <c r="A11" s="1641"/>
      <c r="B11" s="2008" t="n">
        <f aca="false">Personnel!A11</f>
        <v>0</v>
      </c>
      <c r="C11" s="1937" t="n">
        <f aca="false">Personnel!P11</f>
        <v>0</v>
      </c>
      <c r="D11" s="1938" t="n">
        <f aca="false">Personnel!Q11</f>
        <v>0</v>
      </c>
      <c r="E11" s="1938" t="n">
        <f aca="false">Personnel!R11</f>
        <v>0</v>
      </c>
      <c r="F11" s="1938" t="n">
        <f aca="false">Personnel!S11</f>
        <v>0</v>
      </c>
      <c r="G11" s="1938" t="n">
        <f aca="false">Personnel!T11</f>
        <v>0</v>
      </c>
      <c r="H11" s="1938" t="n">
        <f aca="false">Personnel!U11</f>
        <v>0</v>
      </c>
      <c r="I11" s="1938" t="n">
        <f aca="false">Personnel!V11</f>
        <v>0</v>
      </c>
      <c r="J11" s="1938" t="n">
        <f aca="false">Personnel!W11</f>
        <v>0</v>
      </c>
      <c r="K11" s="1938" t="n">
        <f aca="false">Personnel!X11</f>
        <v>0</v>
      </c>
      <c r="L11" s="1938" t="n">
        <f aca="false">Personnel!Y11</f>
        <v>0</v>
      </c>
      <c r="M11" s="1938" t="n">
        <f aca="false">Personnel!Z11</f>
        <v>0</v>
      </c>
      <c r="N11" s="1939" t="n">
        <f aca="false">Personnel!AA11</f>
        <v>0</v>
      </c>
      <c r="O11" s="1882"/>
      <c r="P11" s="2009" t="n">
        <f aca="false">B11</f>
        <v>0</v>
      </c>
      <c r="Q11" s="1941" t="n">
        <f aca="false">Personnel!AB11</f>
        <v>0</v>
      </c>
      <c r="R11" s="1942" t="n">
        <f aca="false">Personnel!AC11</f>
        <v>0</v>
      </c>
      <c r="S11" s="1942" t="n">
        <f aca="false">Personnel!AD11</f>
        <v>0</v>
      </c>
      <c r="T11" s="1942" t="n">
        <f aca="false">Personnel!AE11</f>
        <v>0</v>
      </c>
      <c r="U11" s="1942" t="n">
        <f aca="false">Personnel!AF11</f>
        <v>0</v>
      </c>
      <c r="V11" s="1942" t="n">
        <f aca="false">Personnel!AG11</f>
        <v>0</v>
      </c>
      <c r="W11" s="1942" t="n">
        <f aca="false">Personnel!AH11</f>
        <v>0</v>
      </c>
      <c r="X11" s="1942" t="n">
        <f aca="false">Personnel!AI11</f>
        <v>0</v>
      </c>
      <c r="Y11" s="1942" t="n">
        <f aca="false">Personnel!AJ11</f>
        <v>0</v>
      </c>
      <c r="Z11" s="1942" t="n">
        <f aca="false">Personnel!AK11</f>
        <v>0</v>
      </c>
      <c r="AA11" s="1942" t="n">
        <f aca="false">Personnel!AL11</f>
        <v>0</v>
      </c>
      <c r="AB11" s="1943" t="n">
        <f aca="false">Personnel!AM11</f>
        <v>0</v>
      </c>
      <c r="AC11" s="1882"/>
      <c r="AD11" s="2010" t="n">
        <f aca="false">P11</f>
        <v>0</v>
      </c>
      <c r="AE11" s="1945" t="n">
        <f aca="false">Personnel!AN11</f>
        <v>0</v>
      </c>
      <c r="AF11" s="1946" t="n">
        <f aca="false">Personnel!AO11</f>
        <v>0</v>
      </c>
      <c r="AG11" s="1946" t="n">
        <f aca="false">Personnel!AP11</f>
        <v>0</v>
      </c>
      <c r="AH11" s="1946" t="n">
        <f aca="false">Personnel!AQ11</f>
        <v>0</v>
      </c>
      <c r="AI11" s="1946" t="n">
        <f aca="false">Personnel!AR11</f>
        <v>0</v>
      </c>
      <c r="AJ11" s="1946" t="n">
        <f aca="false">Personnel!AS11</f>
        <v>0</v>
      </c>
      <c r="AK11" s="1946" t="n">
        <f aca="false">Personnel!AT11</f>
        <v>0</v>
      </c>
      <c r="AL11" s="1946" t="n">
        <f aca="false">Personnel!AU11</f>
        <v>0</v>
      </c>
      <c r="AM11" s="1946" t="n">
        <f aca="false">Personnel!AV11</f>
        <v>0</v>
      </c>
      <c r="AN11" s="1946" t="n">
        <f aca="false">Personnel!AW11</f>
        <v>0</v>
      </c>
      <c r="AO11" s="1946" t="n">
        <f aca="false">Personnel!AX11</f>
        <v>0</v>
      </c>
      <c r="AP11" s="1947" t="n">
        <f aca="false">Personnel!AY11</f>
        <v>0</v>
      </c>
      <c r="AQ11" s="1882"/>
      <c r="AR11" s="2011" t="n">
        <f aca="false">AD11</f>
        <v>0</v>
      </c>
      <c r="AS11" s="1949" t="n">
        <f aca="false">Personnel!AZ11</f>
        <v>0</v>
      </c>
      <c r="AT11" s="1950" t="n">
        <f aca="false">Personnel!BA11</f>
        <v>0</v>
      </c>
      <c r="AU11" s="1950" t="n">
        <f aca="false">Personnel!BB11</f>
        <v>0</v>
      </c>
      <c r="AV11" s="1950" t="n">
        <f aca="false">Personnel!BC11</f>
        <v>0</v>
      </c>
      <c r="AW11" s="1950" t="n">
        <f aca="false">Personnel!BD11</f>
        <v>0</v>
      </c>
      <c r="AX11" s="1950" t="n">
        <f aca="false">Personnel!BE11</f>
        <v>0</v>
      </c>
      <c r="AY11" s="1950" t="n">
        <f aca="false">Personnel!BF11</f>
        <v>0</v>
      </c>
      <c r="AZ11" s="1950" t="n">
        <f aca="false">Personnel!BG11</f>
        <v>0</v>
      </c>
      <c r="BA11" s="1950" t="n">
        <f aca="false">Personnel!BH11</f>
        <v>0</v>
      </c>
      <c r="BB11" s="1950" t="n">
        <f aca="false">Personnel!BI11</f>
        <v>0</v>
      </c>
      <c r="BC11" s="1950" t="n">
        <f aca="false">Personnel!BJ11</f>
        <v>0</v>
      </c>
      <c r="BD11" s="1951" t="n">
        <f aca="false">Personnel!BK11</f>
        <v>0</v>
      </c>
      <c r="BE11" s="1466"/>
      <c r="BF11" s="1885"/>
      <c r="BG11" s="1915" t="str">
        <f aca="false">Revenue!A98</f>
        <v>CS-18</v>
      </c>
      <c r="BH11" s="1916" t="n">
        <f aca="false">Revenue!N98</f>
        <v>199495.3125</v>
      </c>
      <c r="BI11" s="1916" t="n">
        <f aca="false">Revenue!O98</f>
        <v>221661.458333333</v>
      </c>
      <c r="BJ11" s="1916" t="n">
        <f aca="false">Revenue!P98</f>
        <v>243827.604166667</v>
      </c>
      <c r="BK11" s="1916" t="n">
        <f aca="false">Revenue!Q98</f>
        <v>265993.75</v>
      </c>
      <c r="BL11" s="1916" t="n">
        <f aca="false">Revenue!R98</f>
        <v>288159.895833333</v>
      </c>
      <c r="BM11" s="1916" t="n">
        <f aca="false">Revenue!S98</f>
        <v>310326.041666667</v>
      </c>
      <c r="BN11" s="1916" t="n">
        <f aca="false">Revenue!T98</f>
        <v>332492.1875</v>
      </c>
      <c r="BO11" s="1916" t="n">
        <f aca="false">Revenue!U98</f>
        <v>354658.333333333</v>
      </c>
      <c r="BP11" s="1916" t="n">
        <f aca="false">Revenue!V98</f>
        <v>376824.479166667</v>
      </c>
      <c r="BQ11" s="1916" t="n">
        <f aca="false">Revenue!W98</f>
        <v>398990.625</v>
      </c>
      <c r="BR11" s="1916" t="n">
        <f aca="false">Revenue!X98</f>
        <v>421156.770833333</v>
      </c>
      <c r="BS11" s="1915" t="n">
        <f aca="false">Revenue!Y98</f>
        <v>443322.916666668</v>
      </c>
      <c r="BT11" s="1888"/>
      <c r="BU11" s="1952" t="str">
        <f aca="false">BG11</f>
        <v>CS-18</v>
      </c>
      <c r="BV11" s="1952" t="n">
        <f aca="false">Revenue!Z66</f>
        <v>18229.1666666667</v>
      </c>
      <c r="BW11" s="1952" t="n">
        <f aca="false">Revenue!AA66</f>
        <v>18229.1666666667</v>
      </c>
      <c r="BX11" s="1953" t="n">
        <f aca="false">Revenue!AB66</f>
        <v>18229.1666666667</v>
      </c>
      <c r="BY11" s="1952" t="n">
        <f aca="false">Revenue!AC66</f>
        <v>18229.1666666667</v>
      </c>
      <c r="BZ11" s="1952" t="n">
        <f aca="false">Revenue!AD66</f>
        <v>18229.1666666667</v>
      </c>
      <c r="CA11" s="1952" t="n">
        <f aca="false">Revenue!AE66</f>
        <v>18229.1666666667</v>
      </c>
      <c r="CB11" s="1952" t="n">
        <f aca="false">Revenue!AF66</f>
        <v>18229.1666666667</v>
      </c>
      <c r="CC11" s="1952" t="n">
        <f aca="false">Revenue!AG66</f>
        <v>18229.1666666667</v>
      </c>
      <c r="CD11" s="1952" t="n">
        <f aca="false">Revenue!AH66</f>
        <v>18229.1666666667</v>
      </c>
      <c r="CE11" s="1952" t="n">
        <f aca="false">Revenue!AI66</f>
        <v>18229.1666666667</v>
      </c>
      <c r="CF11" s="1952" t="n">
        <f aca="false">Revenue!AJ66</f>
        <v>18229.1666666667</v>
      </c>
      <c r="CG11" s="1952" t="n">
        <f aca="false">Revenue!AK66</f>
        <v>18229.1666666667</v>
      </c>
      <c r="CH11" s="1891"/>
      <c r="CI11" s="1954" t="str">
        <f aca="false">BU11</f>
        <v>CS-18</v>
      </c>
      <c r="CJ11" s="1955" t="n">
        <f aca="false">Revenue!AL66</f>
        <v>18229.1666666667</v>
      </c>
      <c r="CK11" s="1955" t="n">
        <f aca="false">Revenue!AM66</f>
        <v>18229.1666666667</v>
      </c>
      <c r="CL11" s="1955" t="n">
        <f aca="false">Revenue!AN66</f>
        <v>18229.1666666667</v>
      </c>
      <c r="CM11" s="1955" t="n">
        <f aca="false">Revenue!AO66</f>
        <v>18229.1666666667</v>
      </c>
      <c r="CN11" s="1955" t="n">
        <f aca="false">Revenue!AP66</f>
        <v>18229.1666666667</v>
      </c>
      <c r="CO11" s="1955" t="n">
        <f aca="false">Revenue!AQ66</f>
        <v>18229.1666666667</v>
      </c>
      <c r="CP11" s="1955" t="n">
        <f aca="false">Revenue!AR66</f>
        <v>18229.1666666667</v>
      </c>
      <c r="CQ11" s="1955" t="n">
        <f aca="false">Revenue!AS66</f>
        <v>18229.1666666667</v>
      </c>
      <c r="CR11" s="1955" t="n">
        <f aca="false">Revenue!AT66</f>
        <v>18229.1666666667</v>
      </c>
      <c r="CS11" s="1955" t="n">
        <f aca="false">Revenue!AU66</f>
        <v>18229.1666666667</v>
      </c>
      <c r="CT11" s="1955" t="n">
        <f aca="false">Revenue!AV66</f>
        <v>18229.1666666667</v>
      </c>
      <c r="CU11" s="1955" t="n">
        <f aca="false">Revenue!AW66</f>
        <v>18229.1666666667</v>
      </c>
      <c r="CV11" s="1888"/>
      <c r="CW11" s="1956" t="str">
        <f aca="false">CI11</f>
        <v>CS-18</v>
      </c>
      <c r="CX11" s="1957" t="n">
        <f aca="false">Revenue!AX66</f>
        <v>18229.1666666667</v>
      </c>
      <c r="CY11" s="1957" t="n">
        <f aca="false">Revenue!AY66</f>
        <v>18229.1666666667</v>
      </c>
      <c r="CZ11" s="1957" t="n">
        <f aca="false">Revenue!AZ66</f>
        <v>18229.1666666667</v>
      </c>
      <c r="DA11" s="1957" t="n">
        <f aca="false">Revenue!BA66</f>
        <v>18229.1666666667</v>
      </c>
      <c r="DB11" s="1957" t="n">
        <f aca="false">Revenue!BB66</f>
        <v>18229.1666666667</v>
      </c>
      <c r="DC11" s="1957" t="n">
        <f aca="false">Revenue!BC66</f>
        <v>18229.1666666667</v>
      </c>
      <c r="DD11" s="1957" t="n">
        <f aca="false">Revenue!BD66</f>
        <v>18229.1666666667</v>
      </c>
      <c r="DE11" s="1957" t="n">
        <f aca="false">Revenue!BE66</f>
        <v>18229.1666666667</v>
      </c>
      <c r="DF11" s="1957" t="n">
        <f aca="false">Revenue!BF66</f>
        <v>18229.1666666667</v>
      </c>
      <c r="DG11" s="1957" t="n">
        <f aca="false">Revenue!BG66</f>
        <v>18229.1666666667</v>
      </c>
      <c r="DH11" s="1957" t="n">
        <f aca="false">Revenue!BH66</f>
        <v>18229.1666666667</v>
      </c>
      <c r="DI11" s="1957" t="n">
        <f aca="false">Revenue!BI66</f>
        <v>18229.1666666667</v>
      </c>
      <c r="DJ11" s="1466"/>
      <c r="DK11" s="1163"/>
      <c r="DL11" s="1958"/>
      <c r="DM11" s="1959" t="n">
        <v>0</v>
      </c>
      <c r="DN11" s="1960" t="n">
        <v>0</v>
      </c>
      <c r="DO11" s="1960" t="n">
        <f aca="false">Revenue!P81</f>
        <v>622.02380952381</v>
      </c>
      <c r="DP11" s="1960" t="n">
        <f aca="false">Revenue!Q81</f>
        <v>678.571428571429</v>
      </c>
      <c r="DQ11" s="1960" t="n">
        <f aca="false">Revenue!R81</f>
        <v>735.119047619048</v>
      </c>
      <c r="DR11" s="1960" t="n">
        <f aca="false">Revenue!S81</f>
        <v>791.666666666667</v>
      </c>
      <c r="DS11" s="1960" t="n">
        <f aca="false">Revenue!T81</f>
        <v>848.214285714286</v>
      </c>
      <c r="DT11" s="1960" t="n">
        <f aca="false">Revenue!U81</f>
        <v>904.761904761905</v>
      </c>
      <c r="DU11" s="1960" t="n">
        <f aca="false">Revenue!V81</f>
        <v>961.309523809524</v>
      </c>
      <c r="DV11" s="1960" t="n">
        <f aca="false">Revenue!W81</f>
        <v>1017.85714285714</v>
      </c>
      <c r="DW11" s="1960" t="n">
        <f aca="false">Revenue!X81</f>
        <v>1074.40476190476</v>
      </c>
      <c r="DX11" s="1961" t="n">
        <f aca="false">Revenue!Y81</f>
        <v>1130.95238095238</v>
      </c>
      <c r="DY11" s="1893"/>
      <c r="DZ11" s="1962"/>
      <c r="EA11" s="1963" t="n">
        <f aca="false">Revenue!Z81</f>
        <v>1979.16666666667</v>
      </c>
      <c r="EB11" s="1964" t="n">
        <f aca="false">Revenue!AA81</f>
        <v>1979.16666666667</v>
      </c>
      <c r="EC11" s="1964" t="n">
        <f aca="false">Revenue!AB81</f>
        <v>1979.16666666667</v>
      </c>
      <c r="ED11" s="1964" t="n">
        <f aca="false">Revenue!AC81</f>
        <v>1979.16666666667</v>
      </c>
      <c r="EE11" s="1964" t="n">
        <f aca="false">Revenue!AD81</f>
        <v>1979.16666666667</v>
      </c>
      <c r="EF11" s="1964" t="n">
        <f aca="false">Revenue!AE81</f>
        <v>1979.16666666667</v>
      </c>
      <c r="EG11" s="1964" t="n">
        <f aca="false">Revenue!AF81</f>
        <v>1979.16666666667</v>
      </c>
      <c r="EH11" s="1964" t="n">
        <f aca="false">Revenue!AG81</f>
        <v>1979.16666666667</v>
      </c>
      <c r="EI11" s="1964" t="n">
        <f aca="false">Revenue!AH81</f>
        <v>1979.16666666667</v>
      </c>
      <c r="EJ11" s="1964" t="n">
        <f aca="false">Revenue!AI81</f>
        <v>1979.16666666667</v>
      </c>
      <c r="EK11" s="1964" t="n">
        <f aca="false">Revenue!AJ81</f>
        <v>1979.16666666667</v>
      </c>
      <c r="EL11" s="1965" t="n">
        <f aca="false">Revenue!AK81</f>
        <v>1979.16666666667</v>
      </c>
      <c r="EM11" s="1893"/>
      <c r="EN11" s="1966"/>
      <c r="EO11" s="1945" t="n">
        <f aca="false">Revenue!AL81</f>
        <v>1979.16666666667</v>
      </c>
      <c r="EP11" s="1946" t="n">
        <f aca="false">Revenue!AM81</f>
        <v>1979.16666666667</v>
      </c>
      <c r="EQ11" s="1946" t="n">
        <f aca="false">Revenue!AN81</f>
        <v>1979.16666666667</v>
      </c>
      <c r="ER11" s="1946" t="n">
        <f aca="false">Revenue!AO81</f>
        <v>1979.16666666667</v>
      </c>
      <c r="ES11" s="1946" t="n">
        <f aca="false">Revenue!AP81</f>
        <v>1979.16666666667</v>
      </c>
      <c r="ET11" s="1946" t="n">
        <f aca="false">Revenue!AQ81</f>
        <v>1979.16666666667</v>
      </c>
      <c r="EU11" s="1946" t="n">
        <f aca="false">Revenue!AR81</f>
        <v>1979.16666666667</v>
      </c>
      <c r="EV11" s="1946" t="n">
        <f aca="false">Revenue!AS81</f>
        <v>1979.16666666667</v>
      </c>
      <c r="EW11" s="1946" t="n">
        <f aca="false">Revenue!AT81</f>
        <v>1979.16666666667</v>
      </c>
      <c r="EX11" s="1946" t="n">
        <f aca="false">Revenue!AU81</f>
        <v>1979.16666666667</v>
      </c>
      <c r="EY11" s="1946" t="n">
        <f aca="false">Revenue!AV81</f>
        <v>1979.16666666667</v>
      </c>
      <c r="EZ11" s="1947" t="n">
        <f aca="false">Revenue!AW81</f>
        <v>1979.16666666667</v>
      </c>
      <c r="FA11" s="1893"/>
      <c r="FB11" s="1967"/>
      <c r="FC11" s="1968" t="n">
        <f aca="false">Revenue!AX81</f>
        <v>1979.16666666667</v>
      </c>
      <c r="FD11" s="1969" t="n">
        <f aca="false">Revenue!AY81</f>
        <v>1979.16666666667</v>
      </c>
      <c r="FE11" s="1969" t="n">
        <f aca="false">Revenue!AZ81</f>
        <v>1979.16666666667</v>
      </c>
      <c r="FF11" s="1969" t="n">
        <f aca="false">Revenue!BA81</f>
        <v>1979.16666666667</v>
      </c>
      <c r="FG11" s="1969" t="n">
        <f aca="false">Revenue!BB81</f>
        <v>1979.16666666667</v>
      </c>
      <c r="FH11" s="1969" t="n">
        <f aca="false">Revenue!BC81</f>
        <v>1979.16666666667</v>
      </c>
      <c r="FI11" s="1969" t="n">
        <f aca="false">Revenue!BD81</f>
        <v>1979.16666666667</v>
      </c>
      <c r="FJ11" s="1969" t="n">
        <f aca="false">Revenue!BE81</f>
        <v>1979.16666666667</v>
      </c>
      <c r="FK11" s="1969" t="n">
        <f aca="false">Revenue!BF81</f>
        <v>1979.16666666667</v>
      </c>
      <c r="FL11" s="1969" t="n">
        <f aca="false">Revenue!BG81</f>
        <v>1979.16666666667</v>
      </c>
      <c r="FM11" s="1969" t="n">
        <f aca="false">Revenue!BH81</f>
        <v>1979.16666666667</v>
      </c>
      <c r="FN11" s="1970" t="n">
        <f aca="false">Revenue!BI81</f>
        <v>1979.16666666667</v>
      </c>
      <c r="FO11" s="1466"/>
      <c r="FP11" s="1896"/>
      <c r="FQ11" s="1936" t="str">
        <f aca="false">'P&amp;L'!A31</f>
        <v/>
      </c>
      <c r="FR11" s="1971" t="n">
        <f aca="false">'P&amp;L'!N31</f>
        <v>0</v>
      </c>
      <c r="FS11" s="1972" t="n">
        <f aca="false">'P&amp;L'!O31</f>
        <v>0</v>
      </c>
      <c r="FT11" s="1972" t="n">
        <f aca="false">'P&amp;L'!P31</f>
        <v>0</v>
      </c>
      <c r="FU11" s="1972" t="n">
        <f aca="false">'P&amp;L'!Q31</f>
        <v>0</v>
      </c>
      <c r="FV11" s="1972" t="n">
        <f aca="false">'P&amp;L'!R31</f>
        <v>0</v>
      </c>
      <c r="FW11" s="1972" t="n">
        <f aca="false">'P&amp;L'!S31</f>
        <v>0</v>
      </c>
      <c r="FX11" s="1972" t="n">
        <f aca="false">'P&amp;L'!T31</f>
        <v>0</v>
      </c>
      <c r="FY11" s="1972" t="n">
        <f aca="false">'P&amp;L'!U31</f>
        <v>0</v>
      </c>
      <c r="FZ11" s="1972" t="n">
        <f aca="false">'P&amp;L'!V31</f>
        <v>0</v>
      </c>
      <c r="GA11" s="1972" t="n">
        <f aca="false">'P&amp;L'!W31</f>
        <v>0</v>
      </c>
      <c r="GB11" s="1972" t="n">
        <f aca="false">'P&amp;L'!X31</f>
        <v>0</v>
      </c>
      <c r="GC11" s="1973" t="n">
        <f aca="false">'P&amp;L'!Y31</f>
        <v>0</v>
      </c>
      <c r="GD11" s="1893"/>
      <c r="GE11" s="1940" t="str">
        <f aca="false">FQ11</f>
        <v/>
      </c>
      <c r="GF11" s="1975" t="n">
        <f aca="false">'P&amp;L'!Z31</f>
        <v>0</v>
      </c>
      <c r="GG11" s="1976" t="n">
        <f aca="false">'P&amp;L'!AA31</f>
        <v>0</v>
      </c>
      <c r="GH11" s="1976" t="n">
        <f aca="false">'P&amp;L'!AB31</f>
        <v>0</v>
      </c>
      <c r="GI11" s="1976" t="n">
        <f aca="false">'P&amp;L'!AC31</f>
        <v>0</v>
      </c>
      <c r="GJ11" s="1976" t="n">
        <f aca="false">'P&amp;L'!AD31</f>
        <v>0</v>
      </c>
      <c r="GK11" s="1976" t="n">
        <f aca="false">'P&amp;L'!AE31</f>
        <v>0</v>
      </c>
      <c r="GL11" s="1976" t="n">
        <f aca="false">'P&amp;L'!AF31</f>
        <v>0</v>
      </c>
      <c r="GM11" s="1976" t="n">
        <f aca="false">'P&amp;L'!AG31</f>
        <v>0</v>
      </c>
      <c r="GN11" s="1976" t="n">
        <f aca="false">'P&amp;L'!AH31</f>
        <v>0</v>
      </c>
      <c r="GO11" s="1976" t="n">
        <f aca="false">'P&amp;L'!AI31</f>
        <v>0</v>
      </c>
      <c r="GP11" s="1976" t="n">
        <f aca="false">'P&amp;L'!AJ31</f>
        <v>0</v>
      </c>
      <c r="GQ11" s="1977" t="n">
        <f aca="false">'P&amp;L'!AK31</f>
        <v>0</v>
      </c>
      <c r="GR11" s="1893"/>
      <c r="GS11" s="1944" t="str">
        <f aca="false">GE11</f>
        <v/>
      </c>
      <c r="GT11" s="1979" t="n">
        <f aca="false">'P&amp;L'!AL31</f>
        <v>0</v>
      </c>
      <c r="GU11" s="1980" t="n">
        <f aca="false">'P&amp;L'!AM31</f>
        <v>0</v>
      </c>
      <c r="GV11" s="1980" t="n">
        <f aca="false">'P&amp;L'!AN31</f>
        <v>0</v>
      </c>
      <c r="GW11" s="1980" t="n">
        <f aca="false">'P&amp;L'!AO31</f>
        <v>0</v>
      </c>
      <c r="GX11" s="1980" t="n">
        <f aca="false">'P&amp;L'!AP31</f>
        <v>0</v>
      </c>
      <c r="GY11" s="1980" t="n">
        <f aca="false">'P&amp;L'!AQ31</f>
        <v>0</v>
      </c>
      <c r="GZ11" s="1980" t="n">
        <f aca="false">'P&amp;L'!AR31</f>
        <v>0</v>
      </c>
      <c r="HA11" s="1980" t="n">
        <f aca="false">'P&amp;L'!AS31</f>
        <v>0</v>
      </c>
      <c r="HB11" s="1980" t="n">
        <f aca="false">'P&amp;L'!AT31</f>
        <v>0</v>
      </c>
      <c r="HC11" s="1980" t="n">
        <f aca="false">'P&amp;L'!AU31</f>
        <v>0</v>
      </c>
      <c r="HD11" s="1980" t="n">
        <f aca="false">'P&amp;L'!AV31</f>
        <v>0</v>
      </c>
      <c r="HE11" s="1981" t="n">
        <f aca="false">'P&amp;L'!AW31</f>
        <v>0</v>
      </c>
      <c r="HF11" s="1896"/>
      <c r="HG11" s="1948" t="str">
        <f aca="false">GS11</f>
        <v/>
      </c>
      <c r="HH11" s="1983" t="n">
        <f aca="false">'P&amp;L'!AX31</f>
        <v>0</v>
      </c>
      <c r="HI11" s="1984" t="n">
        <f aca="false">'P&amp;L'!AY31</f>
        <v>0</v>
      </c>
      <c r="HJ11" s="1984" t="n">
        <f aca="false">'P&amp;L'!AZ31</f>
        <v>0</v>
      </c>
      <c r="HK11" s="1984" t="n">
        <f aca="false">'P&amp;L'!BA31</f>
        <v>0</v>
      </c>
      <c r="HL11" s="1984" t="n">
        <f aca="false">'P&amp;L'!BB31</f>
        <v>0</v>
      </c>
      <c r="HM11" s="1984" t="n">
        <f aca="false">'P&amp;L'!BC31</f>
        <v>0</v>
      </c>
      <c r="HN11" s="1984" t="n">
        <f aca="false">'P&amp;L'!BD31</f>
        <v>0</v>
      </c>
      <c r="HO11" s="1984" t="n">
        <f aca="false">'P&amp;L'!BE31</f>
        <v>0</v>
      </c>
      <c r="HP11" s="1984" t="n">
        <f aca="false">'P&amp;L'!BF31</f>
        <v>0</v>
      </c>
      <c r="HQ11" s="1984" t="n">
        <f aca="false">'P&amp;L'!BG31</f>
        <v>0</v>
      </c>
      <c r="HR11" s="1984" t="n">
        <f aca="false">'P&amp;L'!BH31</f>
        <v>0</v>
      </c>
      <c r="HS11" s="1985" t="n">
        <f aca="false">'P&amp;L'!BI31</f>
        <v>0</v>
      </c>
    </row>
    <row r="12" customFormat="false" ht="10.5" hidden="false" customHeight="true" outlineLevel="0" collapsed="false">
      <c r="A12" s="1641"/>
      <c r="B12" s="2008" t="n">
        <f aca="false">Personnel!A12</f>
        <v>0</v>
      </c>
      <c r="C12" s="1937" t="n">
        <f aca="false">Personnel!P12</f>
        <v>0</v>
      </c>
      <c r="D12" s="1938" t="n">
        <f aca="false">Personnel!Q12</f>
        <v>0</v>
      </c>
      <c r="E12" s="1938" t="n">
        <f aca="false">Personnel!R12</f>
        <v>0</v>
      </c>
      <c r="F12" s="1938" t="n">
        <f aca="false">Personnel!S12</f>
        <v>0</v>
      </c>
      <c r="G12" s="1938" t="n">
        <f aca="false">Personnel!T12</f>
        <v>0</v>
      </c>
      <c r="H12" s="1938" t="n">
        <f aca="false">Personnel!U12</f>
        <v>0</v>
      </c>
      <c r="I12" s="1938" t="n">
        <f aca="false">Personnel!V12</f>
        <v>0</v>
      </c>
      <c r="J12" s="1938" t="n">
        <f aca="false">Personnel!W12</f>
        <v>0</v>
      </c>
      <c r="K12" s="1938" t="n">
        <f aca="false">Personnel!X12</f>
        <v>0</v>
      </c>
      <c r="L12" s="1938" t="n">
        <f aca="false">Personnel!Y12</f>
        <v>0</v>
      </c>
      <c r="M12" s="1938" t="n">
        <f aca="false">Personnel!Z12</f>
        <v>0</v>
      </c>
      <c r="N12" s="1939" t="n">
        <f aca="false">Personnel!AA12</f>
        <v>0</v>
      </c>
      <c r="O12" s="1882"/>
      <c r="P12" s="2009" t="n">
        <f aca="false">B12</f>
        <v>0</v>
      </c>
      <c r="Q12" s="1941" t="n">
        <f aca="false">Personnel!AB12</f>
        <v>0</v>
      </c>
      <c r="R12" s="1942" t="n">
        <f aca="false">Personnel!AC12</f>
        <v>0</v>
      </c>
      <c r="S12" s="1942" t="n">
        <f aca="false">Personnel!AD12</f>
        <v>0</v>
      </c>
      <c r="T12" s="1942" t="n">
        <f aca="false">Personnel!AE12</f>
        <v>0</v>
      </c>
      <c r="U12" s="1942" t="n">
        <f aca="false">Personnel!AF12</f>
        <v>0</v>
      </c>
      <c r="V12" s="1942" t="n">
        <f aca="false">Personnel!AG12</f>
        <v>0</v>
      </c>
      <c r="W12" s="1942" t="n">
        <f aca="false">Personnel!AH12</f>
        <v>0</v>
      </c>
      <c r="X12" s="1942" t="n">
        <f aca="false">Personnel!AI12</f>
        <v>0</v>
      </c>
      <c r="Y12" s="1942" t="n">
        <f aca="false">Personnel!AJ12</f>
        <v>0</v>
      </c>
      <c r="Z12" s="1942" t="n">
        <f aca="false">Personnel!AK12</f>
        <v>0</v>
      </c>
      <c r="AA12" s="1942" t="n">
        <f aca="false">Personnel!AL12</f>
        <v>0</v>
      </c>
      <c r="AB12" s="1943" t="n">
        <f aca="false">Personnel!AM12</f>
        <v>0</v>
      </c>
      <c r="AC12" s="1882"/>
      <c r="AD12" s="2010" t="n">
        <f aca="false">P12</f>
        <v>0</v>
      </c>
      <c r="AE12" s="1945" t="n">
        <f aca="false">Personnel!AN12</f>
        <v>0</v>
      </c>
      <c r="AF12" s="1946" t="n">
        <f aca="false">Personnel!AO12</f>
        <v>0</v>
      </c>
      <c r="AG12" s="1946" t="n">
        <f aca="false">Personnel!AP12</f>
        <v>0</v>
      </c>
      <c r="AH12" s="1946" t="n">
        <f aca="false">Personnel!AQ12</f>
        <v>0</v>
      </c>
      <c r="AI12" s="1946" t="n">
        <f aca="false">Personnel!AR12</f>
        <v>0</v>
      </c>
      <c r="AJ12" s="1946" t="n">
        <f aca="false">Personnel!AS12</f>
        <v>0</v>
      </c>
      <c r="AK12" s="1946" t="n">
        <f aca="false">Personnel!AT12</f>
        <v>0</v>
      </c>
      <c r="AL12" s="1946" t="n">
        <f aca="false">Personnel!AU12</f>
        <v>0</v>
      </c>
      <c r="AM12" s="1946" t="n">
        <f aca="false">Personnel!AV12</f>
        <v>0</v>
      </c>
      <c r="AN12" s="1946" t="n">
        <f aca="false">Personnel!AW12</f>
        <v>0</v>
      </c>
      <c r="AO12" s="1946" t="n">
        <f aca="false">Personnel!AX12</f>
        <v>0</v>
      </c>
      <c r="AP12" s="1947" t="n">
        <f aca="false">Personnel!AY12</f>
        <v>0</v>
      </c>
      <c r="AQ12" s="1882"/>
      <c r="AR12" s="2011" t="n">
        <f aca="false">AD12</f>
        <v>0</v>
      </c>
      <c r="AS12" s="1949" t="n">
        <f aca="false">Personnel!AZ12</f>
        <v>0</v>
      </c>
      <c r="AT12" s="1950" t="n">
        <f aca="false">Personnel!BA12</f>
        <v>0</v>
      </c>
      <c r="AU12" s="1950" t="n">
        <f aca="false">Personnel!BB12</f>
        <v>0</v>
      </c>
      <c r="AV12" s="1950" t="n">
        <f aca="false">Personnel!BC12</f>
        <v>0</v>
      </c>
      <c r="AW12" s="1950" t="n">
        <f aca="false">Personnel!BD12</f>
        <v>0</v>
      </c>
      <c r="AX12" s="1950" t="n">
        <f aca="false">Personnel!BE12</f>
        <v>0</v>
      </c>
      <c r="AY12" s="1950" t="n">
        <f aca="false">Personnel!BF12</f>
        <v>0</v>
      </c>
      <c r="AZ12" s="1950" t="n">
        <f aca="false">Personnel!BG12</f>
        <v>0</v>
      </c>
      <c r="BA12" s="1950" t="n">
        <f aca="false">Personnel!BH12</f>
        <v>0</v>
      </c>
      <c r="BB12" s="1950" t="n">
        <f aca="false">Personnel!BI12</f>
        <v>0</v>
      </c>
      <c r="BC12" s="1950" t="n">
        <f aca="false">Personnel!BJ12</f>
        <v>0</v>
      </c>
      <c r="BD12" s="1951" t="n">
        <f aca="false">Personnel!BK12</f>
        <v>0</v>
      </c>
      <c r="BE12" s="1466"/>
      <c r="BF12" s="1885"/>
      <c r="BG12" s="1915" t="str">
        <f aca="false">Revenue!A99</f>
        <v>CS-20</v>
      </c>
      <c r="BH12" s="1916" t="n">
        <f aca="false">Revenue!N99</f>
        <v>227994.642857143</v>
      </c>
      <c r="BI12" s="1916" t="n">
        <f aca="false">Revenue!O99</f>
        <v>253327.380952381</v>
      </c>
      <c r="BJ12" s="1916" t="n">
        <f aca="false">Revenue!P99</f>
        <v>278660.119047619</v>
      </c>
      <c r="BK12" s="1916" t="n">
        <f aca="false">Revenue!Q99</f>
        <v>303992.857142857</v>
      </c>
      <c r="BL12" s="1916" t="n">
        <f aca="false">Revenue!R99</f>
        <v>329325.595238095</v>
      </c>
      <c r="BM12" s="1916" t="n">
        <f aca="false">Revenue!S99</f>
        <v>354658.333333333</v>
      </c>
      <c r="BN12" s="1916" t="n">
        <f aca="false">Revenue!T99</f>
        <v>379991.071428572</v>
      </c>
      <c r="BO12" s="1916" t="n">
        <f aca="false">Revenue!U99</f>
        <v>405323.80952381</v>
      </c>
      <c r="BP12" s="1916" t="n">
        <f aca="false">Revenue!V99</f>
        <v>430656.547619047</v>
      </c>
      <c r="BQ12" s="1916" t="n">
        <f aca="false">Revenue!W99</f>
        <v>455989.285714285</v>
      </c>
      <c r="BR12" s="1916" t="n">
        <f aca="false">Revenue!X99</f>
        <v>481322.023809523</v>
      </c>
      <c r="BS12" s="1915" t="n">
        <f aca="false">Revenue!Y99</f>
        <v>506654.761904762</v>
      </c>
      <c r="BT12" s="1888"/>
      <c r="BU12" s="1952" t="str">
        <f aca="false">BG12</f>
        <v>CS-20</v>
      </c>
      <c r="BV12" s="1952" t="n">
        <f aca="false">Revenue!Z67</f>
        <v>20833.3333333333</v>
      </c>
      <c r="BW12" s="1952" t="n">
        <f aca="false">Revenue!AA67</f>
        <v>20833.3333333333</v>
      </c>
      <c r="BX12" s="1953" t="n">
        <f aca="false">Revenue!AB67</f>
        <v>20833.3333333333</v>
      </c>
      <c r="BY12" s="1952" t="n">
        <f aca="false">Revenue!AC67</f>
        <v>20833.3333333333</v>
      </c>
      <c r="BZ12" s="1952" t="n">
        <f aca="false">Revenue!AD67</f>
        <v>20833.3333333333</v>
      </c>
      <c r="CA12" s="1952" t="n">
        <f aca="false">Revenue!AE67</f>
        <v>20833.3333333333</v>
      </c>
      <c r="CB12" s="1952" t="n">
        <f aca="false">Revenue!AF67</f>
        <v>20833.3333333333</v>
      </c>
      <c r="CC12" s="1952" t="n">
        <f aca="false">Revenue!AG67</f>
        <v>20833.3333333333</v>
      </c>
      <c r="CD12" s="1952" t="n">
        <f aca="false">Revenue!AH67</f>
        <v>20833.3333333333</v>
      </c>
      <c r="CE12" s="1952" t="n">
        <f aca="false">Revenue!AI67</f>
        <v>20833.3333333333</v>
      </c>
      <c r="CF12" s="1952" t="n">
        <f aca="false">Revenue!AJ67</f>
        <v>20833.3333333333</v>
      </c>
      <c r="CG12" s="1952" t="n">
        <f aca="false">Revenue!AK67</f>
        <v>20833.3333333333</v>
      </c>
      <c r="CH12" s="1891"/>
      <c r="CI12" s="1954" t="str">
        <f aca="false">BU12</f>
        <v>CS-20</v>
      </c>
      <c r="CJ12" s="1955" t="n">
        <f aca="false">Revenue!AL67</f>
        <v>20833.3333333333</v>
      </c>
      <c r="CK12" s="1955" t="n">
        <f aca="false">Revenue!AM67</f>
        <v>20833.3333333333</v>
      </c>
      <c r="CL12" s="1955" t="n">
        <f aca="false">Revenue!AN67</f>
        <v>20833.3333333333</v>
      </c>
      <c r="CM12" s="1955" t="n">
        <f aca="false">Revenue!AO67</f>
        <v>20833.3333333333</v>
      </c>
      <c r="CN12" s="1955" t="n">
        <f aca="false">Revenue!AP67</f>
        <v>20833.3333333333</v>
      </c>
      <c r="CO12" s="1955" t="n">
        <f aca="false">Revenue!AQ67</f>
        <v>20833.3333333333</v>
      </c>
      <c r="CP12" s="1955" t="n">
        <f aca="false">Revenue!AR67</f>
        <v>20833.3333333333</v>
      </c>
      <c r="CQ12" s="1955" t="n">
        <f aca="false">Revenue!AS67</f>
        <v>20833.3333333333</v>
      </c>
      <c r="CR12" s="1955" t="n">
        <f aca="false">Revenue!AT67</f>
        <v>20833.3333333333</v>
      </c>
      <c r="CS12" s="1955" t="n">
        <f aca="false">Revenue!AU67</f>
        <v>20833.3333333333</v>
      </c>
      <c r="CT12" s="1955" t="n">
        <f aca="false">Revenue!AV67</f>
        <v>20833.3333333333</v>
      </c>
      <c r="CU12" s="1955" t="n">
        <f aca="false">Revenue!AW67</f>
        <v>20833.3333333333</v>
      </c>
      <c r="CV12" s="1888"/>
      <c r="CW12" s="1956" t="str">
        <f aca="false">CI12</f>
        <v>CS-20</v>
      </c>
      <c r="CX12" s="1957" t="n">
        <f aca="false">Revenue!AX67</f>
        <v>20833.3333333333</v>
      </c>
      <c r="CY12" s="1957" t="n">
        <f aca="false">Revenue!AY67</f>
        <v>20833.3333333333</v>
      </c>
      <c r="CZ12" s="1957" t="n">
        <f aca="false">Revenue!AZ67</f>
        <v>20833.3333333333</v>
      </c>
      <c r="DA12" s="1957" t="n">
        <f aca="false">Revenue!BA67</f>
        <v>20833.3333333333</v>
      </c>
      <c r="DB12" s="1957" t="n">
        <f aca="false">Revenue!BB67</f>
        <v>20833.3333333333</v>
      </c>
      <c r="DC12" s="1957" t="n">
        <f aca="false">Revenue!BC67</f>
        <v>20833.3333333333</v>
      </c>
      <c r="DD12" s="1957" t="n">
        <f aca="false">Revenue!BD67</f>
        <v>20833.3333333333</v>
      </c>
      <c r="DE12" s="1957" t="n">
        <f aca="false">Revenue!BE67</f>
        <v>20833.3333333333</v>
      </c>
      <c r="DF12" s="1957" t="n">
        <f aca="false">Revenue!BF67</f>
        <v>20833.3333333333</v>
      </c>
      <c r="DG12" s="1957" t="n">
        <f aca="false">Revenue!BG67</f>
        <v>20833.3333333333</v>
      </c>
      <c r="DH12" s="1957" t="n">
        <f aca="false">Revenue!BH67</f>
        <v>20833.3333333333</v>
      </c>
      <c r="DI12" s="1957" t="n">
        <f aca="false">Revenue!BI67</f>
        <v>20833.3333333333</v>
      </c>
      <c r="DJ12" s="1466"/>
      <c r="DK12" s="1163"/>
      <c r="DL12" s="1958"/>
      <c r="DM12" s="1959" t="n">
        <v>0</v>
      </c>
      <c r="DN12" s="1960" t="n">
        <v>0</v>
      </c>
      <c r="DO12" s="1960" t="n">
        <f aca="false">Revenue!P82</f>
        <v>373.214285714286</v>
      </c>
      <c r="DP12" s="1960" t="n">
        <f aca="false">Revenue!Q82</f>
        <v>407.142857142857</v>
      </c>
      <c r="DQ12" s="1960" t="n">
        <f aca="false">Revenue!R82</f>
        <v>441.071428571429</v>
      </c>
      <c r="DR12" s="1960" t="n">
        <f aca="false">Revenue!S82</f>
        <v>475</v>
      </c>
      <c r="DS12" s="1960" t="n">
        <f aca="false">Revenue!T82</f>
        <v>508.928571428571</v>
      </c>
      <c r="DT12" s="1960" t="n">
        <f aca="false">Revenue!U82</f>
        <v>542.857142857143</v>
      </c>
      <c r="DU12" s="1960" t="n">
        <f aca="false">Revenue!V82</f>
        <v>576.785714285714</v>
      </c>
      <c r="DV12" s="1960" t="n">
        <f aca="false">Revenue!W82</f>
        <v>610.714285714286</v>
      </c>
      <c r="DW12" s="1960" t="n">
        <f aca="false">Revenue!X82</f>
        <v>644.642857142857</v>
      </c>
      <c r="DX12" s="1961" t="n">
        <f aca="false">Revenue!Y82</f>
        <v>678.571428571429</v>
      </c>
      <c r="DY12" s="1893"/>
      <c r="DZ12" s="1962"/>
      <c r="EA12" s="1963" t="n">
        <f aca="false">Revenue!Z82</f>
        <v>1187.5</v>
      </c>
      <c r="EB12" s="1964" t="n">
        <f aca="false">Revenue!AA82</f>
        <v>1187.5</v>
      </c>
      <c r="EC12" s="1964" t="n">
        <f aca="false">Revenue!AB82</f>
        <v>1187.5</v>
      </c>
      <c r="ED12" s="1964" t="n">
        <f aca="false">Revenue!AC82</f>
        <v>1187.5</v>
      </c>
      <c r="EE12" s="1964" t="n">
        <f aca="false">Revenue!AD82</f>
        <v>1187.5</v>
      </c>
      <c r="EF12" s="1964" t="n">
        <f aca="false">Revenue!AE82</f>
        <v>1187.5</v>
      </c>
      <c r="EG12" s="1964" t="n">
        <f aca="false">Revenue!AF82</f>
        <v>1187.5</v>
      </c>
      <c r="EH12" s="1964" t="n">
        <f aca="false">Revenue!AG82</f>
        <v>1187.5</v>
      </c>
      <c r="EI12" s="1964" t="n">
        <f aca="false">Revenue!AH82</f>
        <v>1187.5</v>
      </c>
      <c r="EJ12" s="1964" t="n">
        <f aca="false">Revenue!AI82</f>
        <v>1187.5</v>
      </c>
      <c r="EK12" s="1964" t="n">
        <f aca="false">Revenue!AJ82</f>
        <v>1187.5</v>
      </c>
      <c r="EL12" s="1965" t="n">
        <f aca="false">Revenue!AK82</f>
        <v>1187.5</v>
      </c>
      <c r="EM12" s="1893"/>
      <c r="EN12" s="1966"/>
      <c r="EO12" s="1945" t="n">
        <f aca="false">Revenue!AL82</f>
        <v>1187.5</v>
      </c>
      <c r="EP12" s="1946" t="n">
        <f aca="false">Revenue!AM82</f>
        <v>1187.5</v>
      </c>
      <c r="EQ12" s="1946" t="n">
        <f aca="false">Revenue!AN82</f>
        <v>1187.5</v>
      </c>
      <c r="ER12" s="1946" t="n">
        <f aca="false">Revenue!AO82</f>
        <v>1187.5</v>
      </c>
      <c r="ES12" s="1946" t="n">
        <f aca="false">Revenue!AP82</f>
        <v>1187.5</v>
      </c>
      <c r="ET12" s="1946" t="n">
        <f aca="false">Revenue!AQ82</f>
        <v>1187.5</v>
      </c>
      <c r="EU12" s="1946" t="n">
        <f aca="false">Revenue!AR82</f>
        <v>1187.5</v>
      </c>
      <c r="EV12" s="1946" t="n">
        <f aca="false">Revenue!AS82</f>
        <v>1187.5</v>
      </c>
      <c r="EW12" s="1946" t="n">
        <f aca="false">Revenue!AT82</f>
        <v>1187.5</v>
      </c>
      <c r="EX12" s="1946" t="n">
        <f aca="false">Revenue!AU82</f>
        <v>1187.5</v>
      </c>
      <c r="EY12" s="1946" t="n">
        <f aca="false">Revenue!AV82</f>
        <v>1187.5</v>
      </c>
      <c r="EZ12" s="1947" t="n">
        <f aca="false">Revenue!AW82</f>
        <v>1187.5</v>
      </c>
      <c r="FA12" s="1893"/>
      <c r="FB12" s="1967"/>
      <c r="FC12" s="1968" t="n">
        <f aca="false">Revenue!AX82</f>
        <v>1187.5</v>
      </c>
      <c r="FD12" s="1969" t="n">
        <f aca="false">Revenue!AY82</f>
        <v>1187.5</v>
      </c>
      <c r="FE12" s="1969" t="n">
        <f aca="false">Revenue!AZ82</f>
        <v>1187.5</v>
      </c>
      <c r="FF12" s="1969" t="n">
        <f aca="false">Revenue!BA82</f>
        <v>1187.5</v>
      </c>
      <c r="FG12" s="1969" t="n">
        <f aca="false">Revenue!BB82</f>
        <v>1187.5</v>
      </c>
      <c r="FH12" s="1969" t="n">
        <f aca="false">Revenue!BC82</f>
        <v>1187.5</v>
      </c>
      <c r="FI12" s="1969" t="n">
        <f aca="false">Revenue!BD82</f>
        <v>1187.5</v>
      </c>
      <c r="FJ12" s="1969" t="n">
        <f aca="false">Revenue!BE82</f>
        <v>1187.5</v>
      </c>
      <c r="FK12" s="1969" t="n">
        <f aca="false">Revenue!BF82</f>
        <v>1187.5</v>
      </c>
      <c r="FL12" s="1969" t="n">
        <f aca="false">Revenue!BG82</f>
        <v>1187.5</v>
      </c>
      <c r="FM12" s="1969" t="n">
        <f aca="false">Revenue!BH82</f>
        <v>1187.5</v>
      </c>
      <c r="FN12" s="1970" t="n">
        <f aca="false">Revenue!BI82</f>
        <v>1187.5</v>
      </c>
      <c r="FO12" s="1466"/>
      <c r="FP12" s="1896"/>
      <c r="FQ12" s="1936" t="str">
        <f aca="false">'P&amp;L'!A32</f>
        <v/>
      </c>
      <c r="FR12" s="1971" t="n">
        <f aca="false">'P&amp;L'!N32</f>
        <v>0</v>
      </c>
      <c r="FS12" s="1972" t="n">
        <f aca="false">'P&amp;L'!O32</f>
        <v>0</v>
      </c>
      <c r="FT12" s="1972" t="n">
        <f aca="false">'P&amp;L'!P32</f>
        <v>0</v>
      </c>
      <c r="FU12" s="1972" t="n">
        <f aca="false">'P&amp;L'!Q32</f>
        <v>0</v>
      </c>
      <c r="FV12" s="1972" t="n">
        <f aca="false">'P&amp;L'!R32</f>
        <v>0</v>
      </c>
      <c r="FW12" s="1972" t="n">
        <f aca="false">'P&amp;L'!S32</f>
        <v>0</v>
      </c>
      <c r="FX12" s="1972" t="n">
        <f aca="false">'P&amp;L'!T32</f>
        <v>0</v>
      </c>
      <c r="FY12" s="1972" t="n">
        <f aca="false">'P&amp;L'!U32</f>
        <v>0</v>
      </c>
      <c r="FZ12" s="1972" t="n">
        <f aca="false">'P&amp;L'!V32</f>
        <v>0</v>
      </c>
      <c r="GA12" s="1972" t="n">
        <f aca="false">'P&amp;L'!W32</f>
        <v>0</v>
      </c>
      <c r="GB12" s="1972" t="n">
        <f aca="false">'P&amp;L'!X32</f>
        <v>0</v>
      </c>
      <c r="GC12" s="1973" t="n">
        <f aca="false">'P&amp;L'!Y32</f>
        <v>0</v>
      </c>
      <c r="GD12" s="1893"/>
      <c r="GE12" s="1940" t="str">
        <f aca="false">FQ12</f>
        <v/>
      </c>
      <c r="GF12" s="1975" t="n">
        <f aca="false">'P&amp;L'!Z32</f>
        <v>0</v>
      </c>
      <c r="GG12" s="1976" t="n">
        <f aca="false">'P&amp;L'!AA32</f>
        <v>0</v>
      </c>
      <c r="GH12" s="1976" t="n">
        <f aca="false">'P&amp;L'!AB32</f>
        <v>0</v>
      </c>
      <c r="GI12" s="1976" t="n">
        <f aca="false">'P&amp;L'!AC32</f>
        <v>0</v>
      </c>
      <c r="GJ12" s="1976" t="n">
        <f aca="false">'P&amp;L'!AD32</f>
        <v>0</v>
      </c>
      <c r="GK12" s="1976" t="n">
        <f aca="false">'P&amp;L'!AE32</f>
        <v>0</v>
      </c>
      <c r="GL12" s="1976" t="n">
        <f aca="false">'P&amp;L'!AF32</f>
        <v>0</v>
      </c>
      <c r="GM12" s="1976" t="n">
        <f aca="false">'P&amp;L'!AG32</f>
        <v>0</v>
      </c>
      <c r="GN12" s="1976" t="n">
        <f aca="false">'P&amp;L'!AH32</f>
        <v>0</v>
      </c>
      <c r="GO12" s="1976" t="n">
        <f aca="false">'P&amp;L'!AI32</f>
        <v>0</v>
      </c>
      <c r="GP12" s="1976" t="n">
        <f aca="false">'P&amp;L'!AJ32</f>
        <v>0</v>
      </c>
      <c r="GQ12" s="1977" t="n">
        <f aca="false">'P&amp;L'!AK32</f>
        <v>0</v>
      </c>
      <c r="GR12" s="1893"/>
      <c r="GS12" s="1944" t="str">
        <f aca="false">GE12</f>
        <v/>
      </c>
      <c r="GT12" s="1979" t="n">
        <f aca="false">'P&amp;L'!AL32</f>
        <v>0</v>
      </c>
      <c r="GU12" s="1980" t="n">
        <f aca="false">'P&amp;L'!AM32</f>
        <v>0</v>
      </c>
      <c r="GV12" s="1980" t="n">
        <f aca="false">'P&amp;L'!AN32</f>
        <v>0</v>
      </c>
      <c r="GW12" s="1980" t="n">
        <f aca="false">'P&amp;L'!AO32</f>
        <v>0</v>
      </c>
      <c r="GX12" s="1980" t="n">
        <f aca="false">'P&amp;L'!AP32</f>
        <v>0</v>
      </c>
      <c r="GY12" s="1980" t="n">
        <f aca="false">'P&amp;L'!AQ32</f>
        <v>0</v>
      </c>
      <c r="GZ12" s="1980" t="n">
        <f aca="false">'P&amp;L'!AR32</f>
        <v>0</v>
      </c>
      <c r="HA12" s="1980" t="n">
        <f aca="false">'P&amp;L'!AS32</f>
        <v>0</v>
      </c>
      <c r="HB12" s="1980" t="n">
        <f aca="false">'P&amp;L'!AT32</f>
        <v>0</v>
      </c>
      <c r="HC12" s="1980" t="n">
        <f aca="false">'P&amp;L'!AU32</f>
        <v>0</v>
      </c>
      <c r="HD12" s="1980" t="n">
        <f aca="false">'P&amp;L'!AV32</f>
        <v>0</v>
      </c>
      <c r="HE12" s="1981" t="n">
        <f aca="false">'P&amp;L'!AW32</f>
        <v>0</v>
      </c>
      <c r="HF12" s="1896"/>
      <c r="HG12" s="1948" t="str">
        <f aca="false">GS12</f>
        <v/>
      </c>
      <c r="HH12" s="1983" t="n">
        <f aca="false">'P&amp;L'!AX32</f>
        <v>0</v>
      </c>
      <c r="HI12" s="1984" t="n">
        <f aca="false">'P&amp;L'!AY32</f>
        <v>0</v>
      </c>
      <c r="HJ12" s="1984" t="n">
        <f aca="false">'P&amp;L'!AZ32</f>
        <v>0</v>
      </c>
      <c r="HK12" s="1984" t="n">
        <f aca="false">'P&amp;L'!BA32</f>
        <v>0</v>
      </c>
      <c r="HL12" s="1984" t="n">
        <f aca="false">'P&amp;L'!BB32</f>
        <v>0</v>
      </c>
      <c r="HM12" s="1984" t="n">
        <f aca="false">'P&amp;L'!BC32</f>
        <v>0</v>
      </c>
      <c r="HN12" s="1984" t="n">
        <f aca="false">'P&amp;L'!BD32</f>
        <v>0</v>
      </c>
      <c r="HO12" s="1984" t="n">
        <f aca="false">'P&amp;L'!BE32</f>
        <v>0</v>
      </c>
      <c r="HP12" s="1984" t="n">
        <f aca="false">'P&amp;L'!BF32</f>
        <v>0</v>
      </c>
      <c r="HQ12" s="1984" t="n">
        <f aca="false">'P&amp;L'!BG32</f>
        <v>0</v>
      </c>
      <c r="HR12" s="1984" t="n">
        <f aca="false">'P&amp;L'!BH32</f>
        <v>0</v>
      </c>
      <c r="HS12" s="1985" t="n">
        <f aca="false">'P&amp;L'!BI32</f>
        <v>0</v>
      </c>
    </row>
    <row r="13" customFormat="false" ht="10.5" hidden="false" customHeight="true" outlineLevel="0" collapsed="false">
      <c r="A13" s="1641"/>
      <c r="B13" s="2008" t="n">
        <f aca="false">Personnel!A13</f>
        <v>0</v>
      </c>
      <c r="C13" s="1937" t="n">
        <f aca="false">Personnel!P13</f>
        <v>0</v>
      </c>
      <c r="D13" s="1938" t="n">
        <f aca="false">Personnel!Q13</f>
        <v>0</v>
      </c>
      <c r="E13" s="1938" t="n">
        <f aca="false">Personnel!R13</f>
        <v>0</v>
      </c>
      <c r="F13" s="1938" t="n">
        <f aca="false">Personnel!S13</f>
        <v>0</v>
      </c>
      <c r="G13" s="1938" t="n">
        <f aca="false">Personnel!T13</f>
        <v>0</v>
      </c>
      <c r="H13" s="1938" t="n">
        <f aca="false">Personnel!U13</f>
        <v>0</v>
      </c>
      <c r="I13" s="1938" t="n">
        <f aca="false">Personnel!V13</f>
        <v>0</v>
      </c>
      <c r="J13" s="1938" t="n">
        <f aca="false">Personnel!W13</f>
        <v>0</v>
      </c>
      <c r="K13" s="1938" t="n">
        <f aca="false">Personnel!X13</f>
        <v>0</v>
      </c>
      <c r="L13" s="1938" t="n">
        <f aca="false">Personnel!Y13</f>
        <v>0</v>
      </c>
      <c r="M13" s="1938" t="n">
        <f aca="false">Personnel!Z13</f>
        <v>0</v>
      </c>
      <c r="N13" s="1939" t="n">
        <f aca="false">Personnel!AA13</f>
        <v>0</v>
      </c>
      <c r="O13" s="1882"/>
      <c r="P13" s="2009" t="n">
        <f aca="false">B13</f>
        <v>0</v>
      </c>
      <c r="Q13" s="1941" t="n">
        <f aca="false">Personnel!AB13</f>
        <v>0</v>
      </c>
      <c r="R13" s="1942" t="n">
        <f aca="false">Personnel!AC13</f>
        <v>0</v>
      </c>
      <c r="S13" s="1942" t="n">
        <f aca="false">Personnel!AD13</f>
        <v>0</v>
      </c>
      <c r="T13" s="1942" t="n">
        <f aca="false">Personnel!AE13</f>
        <v>0</v>
      </c>
      <c r="U13" s="1942" t="n">
        <f aca="false">Personnel!AF13</f>
        <v>0</v>
      </c>
      <c r="V13" s="1942" t="n">
        <f aca="false">Personnel!AG13</f>
        <v>0</v>
      </c>
      <c r="W13" s="1942" t="n">
        <f aca="false">Personnel!AH13</f>
        <v>0</v>
      </c>
      <c r="X13" s="1942" t="n">
        <f aca="false">Personnel!AI13</f>
        <v>0</v>
      </c>
      <c r="Y13" s="1942" t="n">
        <f aca="false">Personnel!AJ13</f>
        <v>0</v>
      </c>
      <c r="Z13" s="1942" t="n">
        <f aca="false">Personnel!AK13</f>
        <v>0</v>
      </c>
      <c r="AA13" s="1942" t="n">
        <f aca="false">Personnel!AL13</f>
        <v>0</v>
      </c>
      <c r="AB13" s="1943" t="n">
        <f aca="false">Personnel!AM13</f>
        <v>0</v>
      </c>
      <c r="AC13" s="1882"/>
      <c r="AD13" s="2010" t="n">
        <f aca="false">P13</f>
        <v>0</v>
      </c>
      <c r="AE13" s="1945" t="n">
        <f aca="false">Personnel!AN13</f>
        <v>0</v>
      </c>
      <c r="AF13" s="1946" t="n">
        <f aca="false">Personnel!AO13</f>
        <v>0</v>
      </c>
      <c r="AG13" s="1946" t="n">
        <f aca="false">Personnel!AP13</f>
        <v>0</v>
      </c>
      <c r="AH13" s="1946" t="n">
        <f aca="false">Personnel!AQ13</f>
        <v>0</v>
      </c>
      <c r="AI13" s="1946" t="n">
        <f aca="false">Personnel!AR13</f>
        <v>0</v>
      </c>
      <c r="AJ13" s="1946" t="n">
        <f aca="false">Personnel!AS13</f>
        <v>0</v>
      </c>
      <c r="AK13" s="1946" t="n">
        <f aca="false">Personnel!AT13</f>
        <v>0</v>
      </c>
      <c r="AL13" s="1946" t="n">
        <f aca="false">Personnel!AU13</f>
        <v>0</v>
      </c>
      <c r="AM13" s="1946" t="n">
        <f aca="false">Personnel!AV13</f>
        <v>0</v>
      </c>
      <c r="AN13" s="1946" t="n">
        <f aca="false">Personnel!AW13</f>
        <v>0</v>
      </c>
      <c r="AO13" s="1946" t="n">
        <f aca="false">Personnel!AX13</f>
        <v>0</v>
      </c>
      <c r="AP13" s="1947" t="n">
        <f aca="false">Personnel!AY13</f>
        <v>0</v>
      </c>
      <c r="AQ13" s="1882"/>
      <c r="AR13" s="2011" t="n">
        <f aca="false">AD13</f>
        <v>0</v>
      </c>
      <c r="AS13" s="1949" t="n">
        <f aca="false">Personnel!AZ13</f>
        <v>0</v>
      </c>
      <c r="AT13" s="1950" t="n">
        <f aca="false">Personnel!BA13</f>
        <v>0</v>
      </c>
      <c r="AU13" s="1950" t="n">
        <f aca="false">Personnel!BB13</f>
        <v>0</v>
      </c>
      <c r="AV13" s="1950" t="n">
        <f aca="false">Personnel!BC13</f>
        <v>0</v>
      </c>
      <c r="AW13" s="1950" t="n">
        <f aca="false">Personnel!BD13</f>
        <v>0</v>
      </c>
      <c r="AX13" s="1950" t="n">
        <f aca="false">Personnel!BE13</f>
        <v>0</v>
      </c>
      <c r="AY13" s="1950" t="n">
        <f aca="false">Personnel!BF13</f>
        <v>0</v>
      </c>
      <c r="AZ13" s="1950" t="n">
        <f aca="false">Personnel!BG13</f>
        <v>0</v>
      </c>
      <c r="BA13" s="1950" t="n">
        <f aca="false">Personnel!BH13</f>
        <v>0</v>
      </c>
      <c r="BB13" s="1950" t="n">
        <f aca="false">Personnel!BI13</f>
        <v>0</v>
      </c>
      <c r="BC13" s="1950" t="n">
        <f aca="false">Personnel!BJ13</f>
        <v>0</v>
      </c>
      <c r="BD13" s="1951" t="n">
        <f aca="false">Personnel!BK13</f>
        <v>0</v>
      </c>
      <c r="BE13" s="1466"/>
      <c r="BF13" s="1885"/>
      <c r="BG13" s="1915" t="str">
        <f aca="false">Revenue!A100</f>
        <v>CS-24</v>
      </c>
      <c r="BH13" s="1916" t="n">
        <f aca="false">Revenue!N100</f>
        <v>370491.294642857</v>
      </c>
      <c r="BI13" s="1916" t="n">
        <f aca="false">Revenue!O100</f>
        <v>411656.994047619</v>
      </c>
      <c r="BJ13" s="1916" t="n">
        <f aca="false">Revenue!P100</f>
        <v>452822.693452383</v>
      </c>
      <c r="BK13" s="1916" t="n">
        <f aca="false">Revenue!Q100</f>
        <v>493988.392857145</v>
      </c>
      <c r="BL13" s="1916" t="n">
        <f aca="false">Revenue!R100</f>
        <v>535154.092261906</v>
      </c>
      <c r="BM13" s="1916" t="n">
        <f aca="false">Revenue!S100</f>
        <v>576319.791666668</v>
      </c>
      <c r="BN13" s="1916" t="n">
        <f aca="false">Revenue!T100</f>
        <v>617485.49107143</v>
      </c>
      <c r="BO13" s="1916" t="n">
        <f aca="false">Revenue!U100</f>
        <v>658651.190476192</v>
      </c>
      <c r="BP13" s="1916" t="n">
        <f aca="false">Revenue!V100</f>
        <v>699816.889880953</v>
      </c>
      <c r="BQ13" s="1916" t="n">
        <f aca="false">Revenue!W100</f>
        <v>740982.589285715</v>
      </c>
      <c r="BR13" s="1916" t="n">
        <f aca="false">Revenue!X100</f>
        <v>782148.288690477</v>
      </c>
      <c r="BS13" s="1915" t="n">
        <f aca="false">Revenue!Y100</f>
        <v>823313.988095238</v>
      </c>
      <c r="BT13" s="1888"/>
      <c r="BU13" s="1952" t="str">
        <f aca="false">BG13</f>
        <v>CS-24</v>
      </c>
      <c r="BV13" s="1952" t="n">
        <f aca="false">Revenue!Z68</f>
        <v>33854.1666666667</v>
      </c>
      <c r="BW13" s="1952" t="n">
        <f aca="false">Revenue!AA68</f>
        <v>33854.1666666667</v>
      </c>
      <c r="BX13" s="1953" t="n">
        <f aca="false">Revenue!AB68</f>
        <v>33854.1666666667</v>
      </c>
      <c r="BY13" s="1952" t="n">
        <f aca="false">Revenue!AC68</f>
        <v>33854.1666666667</v>
      </c>
      <c r="BZ13" s="1952" t="n">
        <f aca="false">Revenue!AD68</f>
        <v>33854.1666666667</v>
      </c>
      <c r="CA13" s="1952" t="n">
        <f aca="false">Revenue!AE68</f>
        <v>33854.1666666667</v>
      </c>
      <c r="CB13" s="1952" t="n">
        <f aca="false">Revenue!AF68</f>
        <v>33854.1666666667</v>
      </c>
      <c r="CC13" s="1952" t="n">
        <f aca="false">Revenue!AG68</f>
        <v>33854.1666666667</v>
      </c>
      <c r="CD13" s="1952" t="n">
        <f aca="false">Revenue!AH68</f>
        <v>33854.1666666667</v>
      </c>
      <c r="CE13" s="1952" t="n">
        <f aca="false">Revenue!AI68</f>
        <v>33854.1666666667</v>
      </c>
      <c r="CF13" s="1952" t="n">
        <f aca="false">Revenue!AJ68</f>
        <v>33854.1666666667</v>
      </c>
      <c r="CG13" s="1952" t="n">
        <f aca="false">Revenue!AK68</f>
        <v>33854.1666666667</v>
      </c>
      <c r="CH13" s="1891"/>
      <c r="CI13" s="1954" t="str">
        <f aca="false">BU13</f>
        <v>CS-24</v>
      </c>
      <c r="CJ13" s="1955" t="n">
        <f aca="false">Revenue!AL68</f>
        <v>33854.1666666667</v>
      </c>
      <c r="CK13" s="1955" t="n">
        <f aca="false">Revenue!AM68</f>
        <v>33854.1666666667</v>
      </c>
      <c r="CL13" s="1955" t="n">
        <f aca="false">Revenue!AN68</f>
        <v>33854.1666666667</v>
      </c>
      <c r="CM13" s="1955" t="n">
        <f aca="false">Revenue!AO68</f>
        <v>33854.1666666667</v>
      </c>
      <c r="CN13" s="1955" t="n">
        <f aca="false">Revenue!AP68</f>
        <v>33854.1666666667</v>
      </c>
      <c r="CO13" s="1955" t="n">
        <f aca="false">Revenue!AQ68</f>
        <v>33854.1666666667</v>
      </c>
      <c r="CP13" s="1955" t="n">
        <f aca="false">Revenue!AR68</f>
        <v>33854.1666666667</v>
      </c>
      <c r="CQ13" s="1955" t="n">
        <f aca="false">Revenue!AS68</f>
        <v>33854.1666666667</v>
      </c>
      <c r="CR13" s="1955" t="n">
        <f aca="false">Revenue!AT68</f>
        <v>33854.1666666667</v>
      </c>
      <c r="CS13" s="1955" t="n">
        <f aca="false">Revenue!AU68</f>
        <v>33854.1666666667</v>
      </c>
      <c r="CT13" s="1955" t="n">
        <f aca="false">Revenue!AV68</f>
        <v>33854.1666666667</v>
      </c>
      <c r="CU13" s="1955" t="n">
        <f aca="false">Revenue!AW68</f>
        <v>33854.1666666667</v>
      </c>
      <c r="CV13" s="1888"/>
      <c r="CW13" s="1956" t="str">
        <f aca="false">CI13</f>
        <v>CS-24</v>
      </c>
      <c r="CX13" s="1957" t="n">
        <f aca="false">Revenue!AX68</f>
        <v>33854.1666666667</v>
      </c>
      <c r="CY13" s="1957" t="n">
        <f aca="false">Revenue!AY68</f>
        <v>33854.1666666667</v>
      </c>
      <c r="CZ13" s="1957" t="n">
        <f aca="false">Revenue!AZ68</f>
        <v>33854.1666666667</v>
      </c>
      <c r="DA13" s="1957" t="n">
        <f aca="false">Revenue!BA68</f>
        <v>33854.1666666667</v>
      </c>
      <c r="DB13" s="1957" t="n">
        <f aca="false">Revenue!BB68</f>
        <v>33854.1666666667</v>
      </c>
      <c r="DC13" s="1957" t="n">
        <f aca="false">Revenue!BC68</f>
        <v>33854.1666666667</v>
      </c>
      <c r="DD13" s="1957" t="n">
        <f aca="false">Revenue!BD68</f>
        <v>33854.1666666667</v>
      </c>
      <c r="DE13" s="1957" t="n">
        <f aca="false">Revenue!BE68</f>
        <v>33854.1666666667</v>
      </c>
      <c r="DF13" s="1957" t="n">
        <f aca="false">Revenue!BF68</f>
        <v>33854.1666666667</v>
      </c>
      <c r="DG13" s="1957" t="n">
        <f aca="false">Revenue!BG68</f>
        <v>33854.1666666667</v>
      </c>
      <c r="DH13" s="1957" t="n">
        <f aca="false">Revenue!BH68</f>
        <v>33854.1666666667</v>
      </c>
      <c r="DI13" s="1957" t="n">
        <f aca="false">Revenue!BI68</f>
        <v>33854.1666666667</v>
      </c>
      <c r="DJ13" s="1466"/>
      <c r="DK13" s="1163"/>
      <c r="DL13" s="1986" t="str">
        <f aca="false">'Tables 5Y'!BM13</f>
        <v>Total DI</v>
      </c>
      <c r="DM13" s="2012" t="n">
        <f aca="false">Revenue!N86</f>
        <v>77142.8785714286</v>
      </c>
      <c r="DN13" s="2013" t="n">
        <f aca="false">Revenue!O86</f>
        <v>85714.3095238095</v>
      </c>
      <c r="DO13" s="2013" t="n">
        <f aca="false">Revenue!P86</f>
        <v>94285.7404761906</v>
      </c>
      <c r="DP13" s="2013" t="n">
        <f aca="false">Revenue!Q86</f>
        <v>102857.171428571</v>
      </c>
      <c r="DQ13" s="2013" t="n">
        <f aca="false">Revenue!R86</f>
        <v>111428.602380952</v>
      </c>
      <c r="DR13" s="2013" t="n">
        <f aca="false">Revenue!S86</f>
        <v>120000.033333333</v>
      </c>
      <c r="DS13" s="2013" t="n">
        <f aca="false">Revenue!T86</f>
        <v>128571.464285714</v>
      </c>
      <c r="DT13" s="2013" t="n">
        <f aca="false">Revenue!U86</f>
        <v>137142.895238095</v>
      </c>
      <c r="DU13" s="2013" t="n">
        <f aca="false">Revenue!V86</f>
        <v>145714.326190476</v>
      </c>
      <c r="DV13" s="2013" t="n">
        <f aca="false">Revenue!W86</f>
        <v>154285.757142857</v>
      </c>
      <c r="DW13" s="2013" t="n">
        <f aca="false">Revenue!X86</f>
        <v>162857.188095238</v>
      </c>
      <c r="DX13" s="2014" t="n">
        <f aca="false">Revenue!Y86</f>
        <v>171428.619047619</v>
      </c>
      <c r="DY13" s="1893"/>
      <c r="DZ13" s="2015" t="str">
        <f aca="false">DL13</f>
        <v>Total DI</v>
      </c>
      <c r="EA13" s="2016" t="n">
        <f aca="false">Revenue!Z86</f>
        <v>300000.083333333</v>
      </c>
      <c r="EB13" s="2017" t="n">
        <f aca="false">Revenue!AA86</f>
        <v>300000.083333333</v>
      </c>
      <c r="EC13" s="2017" t="n">
        <f aca="false">Revenue!AB86</f>
        <v>300000.083333333</v>
      </c>
      <c r="ED13" s="2017" t="n">
        <f aca="false">Revenue!AC86</f>
        <v>300000.083333333</v>
      </c>
      <c r="EE13" s="2017" t="n">
        <f aca="false">Revenue!AD86</f>
        <v>300000.083333333</v>
      </c>
      <c r="EF13" s="2017" t="n">
        <f aca="false">Revenue!AE86</f>
        <v>300000.083333333</v>
      </c>
      <c r="EG13" s="2017" t="n">
        <f aca="false">Revenue!AF86</f>
        <v>300000.083333333</v>
      </c>
      <c r="EH13" s="2017" t="n">
        <f aca="false">Revenue!AG86</f>
        <v>300000.083333333</v>
      </c>
      <c r="EI13" s="2017" t="n">
        <f aca="false">Revenue!AH86</f>
        <v>300000.083333333</v>
      </c>
      <c r="EJ13" s="2017" t="n">
        <f aca="false">Revenue!AI86</f>
        <v>300000.083333333</v>
      </c>
      <c r="EK13" s="2017" t="n">
        <f aca="false">Revenue!AJ86</f>
        <v>300000.083333333</v>
      </c>
      <c r="EL13" s="2018" t="n">
        <f aca="false">Revenue!AK86</f>
        <v>300000.083333333</v>
      </c>
      <c r="EM13" s="1893"/>
      <c r="EN13" s="2019" t="str">
        <f aca="false">DZ13</f>
        <v>Total DI</v>
      </c>
      <c r="EO13" s="2020" t="n">
        <f aca="false">Revenue!AL86</f>
        <v>300000.083333333</v>
      </c>
      <c r="EP13" s="2021" t="n">
        <f aca="false">Revenue!AM86</f>
        <v>300000.083333333</v>
      </c>
      <c r="EQ13" s="2021" t="n">
        <f aca="false">Revenue!AN86</f>
        <v>300000.083333333</v>
      </c>
      <c r="ER13" s="2021" t="n">
        <f aca="false">Revenue!AO86</f>
        <v>300000.083333333</v>
      </c>
      <c r="ES13" s="2021" t="n">
        <f aca="false">Revenue!AP86</f>
        <v>300000.083333333</v>
      </c>
      <c r="ET13" s="2021" t="n">
        <f aca="false">Revenue!AQ86</f>
        <v>300000.083333333</v>
      </c>
      <c r="EU13" s="2021" t="n">
        <f aca="false">Revenue!AR86</f>
        <v>300000.083333333</v>
      </c>
      <c r="EV13" s="2021" t="n">
        <f aca="false">Revenue!AS86</f>
        <v>300000.083333333</v>
      </c>
      <c r="EW13" s="2021" t="n">
        <f aca="false">Revenue!AT86</f>
        <v>300000.083333333</v>
      </c>
      <c r="EX13" s="2021" t="n">
        <f aca="false">Revenue!AU86</f>
        <v>300000.083333333</v>
      </c>
      <c r="EY13" s="2021" t="n">
        <f aca="false">Revenue!AV86</f>
        <v>300000.083333333</v>
      </c>
      <c r="EZ13" s="2022" t="n">
        <f aca="false">Revenue!AW86</f>
        <v>300000.083333333</v>
      </c>
      <c r="FA13" s="1893"/>
      <c r="FB13" s="2023" t="str">
        <f aca="false">EN13</f>
        <v>Total DI</v>
      </c>
      <c r="FC13" s="2024" t="n">
        <f aca="false">Revenue!AX86</f>
        <v>300000.083333333</v>
      </c>
      <c r="FD13" s="2025" t="n">
        <f aca="false">Revenue!AY86</f>
        <v>300000.083333333</v>
      </c>
      <c r="FE13" s="2025" t="n">
        <f aca="false">Revenue!AZ86</f>
        <v>300000.083333333</v>
      </c>
      <c r="FF13" s="2025" t="n">
        <f aca="false">Revenue!BA86</f>
        <v>300000.083333333</v>
      </c>
      <c r="FG13" s="2025" t="n">
        <f aca="false">Revenue!BB86</f>
        <v>300000.083333333</v>
      </c>
      <c r="FH13" s="2025" t="n">
        <f aca="false">Revenue!BC86</f>
        <v>300000.083333333</v>
      </c>
      <c r="FI13" s="2025" t="n">
        <f aca="false">Revenue!BD86</f>
        <v>300000.083333333</v>
      </c>
      <c r="FJ13" s="2025" t="n">
        <f aca="false">Revenue!BE86</f>
        <v>300000.083333333</v>
      </c>
      <c r="FK13" s="2025" t="n">
        <f aca="false">Revenue!BF86</f>
        <v>300000.083333333</v>
      </c>
      <c r="FL13" s="2025" t="n">
        <f aca="false">Revenue!BG86</f>
        <v>300000.083333333</v>
      </c>
      <c r="FM13" s="2025" t="n">
        <f aca="false">Revenue!BH86</f>
        <v>300000.083333333</v>
      </c>
      <c r="FN13" s="2026" t="n">
        <f aca="false">Revenue!BI86</f>
        <v>300000.083333333</v>
      </c>
      <c r="FO13" s="1466"/>
      <c r="FP13" s="1896"/>
      <c r="FQ13" s="1936" t="str">
        <f aca="false">'P&amp;L'!A33</f>
        <v/>
      </c>
      <c r="FR13" s="1971" t="n">
        <f aca="false">'P&amp;L'!N33</f>
        <v>0</v>
      </c>
      <c r="FS13" s="1972" t="n">
        <f aca="false">'P&amp;L'!O33</f>
        <v>0</v>
      </c>
      <c r="FT13" s="1972" t="n">
        <f aca="false">'P&amp;L'!P33</f>
        <v>0</v>
      </c>
      <c r="FU13" s="1972" t="n">
        <f aca="false">'P&amp;L'!Q33</f>
        <v>0</v>
      </c>
      <c r="FV13" s="1972" t="n">
        <f aca="false">'P&amp;L'!R33</f>
        <v>0</v>
      </c>
      <c r="FW13" s="1972" t="n">
        <f aca="false">'P&amp;L'!S33</f>
        <v>0</v>
      </c>
      <c r="FX13" s="1972" t="n">
        <f aca="false">'P&amp;L'!T33</f>
        <v>0</v>
      </c>
      <c r="FY13" s="1972" t="n">
        <f aca="false">'P&amp;L'!U33</f>
        <v>0</v>
      </c>
      <c r="FZ13" s="1972" t="n">
        <f aca="false">'P&amp;L'!V33</f>
        <v>0</v>
      </c>
      <c r="GA13" s="1972" t="n">
        <f aca="false">'P&amp;L'!W33</f>
        <v>0</v>
      </c>
      <c r="GB13" s="1972" t="n">
        <f aca="false">'P&amp;L'!X33</f>
        <v>0</v>
      </c>
      <c r="GC13" s="1973" t="n">
        <f aca="false">'P&amp;L'!Y33</f>
        <v>0</v>
      </c>
      <c r="GD13" s="1893"/>
      <c r="GE13" s="1940" t="str">
        <f aca="false">FQ13</f>
        <v/>
      </c>
      <c r="GF13" s="1975" t="n">
        <f aca="false">'P&amp;L'!Z33</f>
        <v>0</v>
      </c>
      <c r="GG13" s="1976" t="n">
        <f aca="false">'P&amp;L'!AA33</f>
        <v>0</v>
      </c>
      <c r="GH13" s="1976" t="n">
        <f aca="false">'P&amp;L'!AB33</f>
        <v>0</v>
      </c>
      <c r="GI13" s="1976" t="n">
        <f aca="false">'P&amp;L'!AC33</f>
        <v>0</v>
      </c>
      <c r="GJ13" s="1976" t="n">
        <f aca="false">'P&amp;L'!AD33</f>
        <v>0</v>
      </c>
      <c r="GK13" s="1976" t="n">
        <f aca="false">'P&amp;L'!AE33</f>
        <v>0</v>
      </c>
      <c r="GL13" s="1976" t="n">
        <f aca="false">'P&amp;L'!AF33</f>
        <v>0</v>
      </c>
      <c r="GM13" s="1976" t="n">
        <f aca="false">'P&amp;L'!AG33</f>
        <v>0</v>
      </c>
      <c r="GN13" s="1976" t="n">
        <f aca="false">'P&amp;L'!AH33</f>
        <v>0</v>
      </c>
      <c r="GO13" s="1976" t="n">
        <f aca="false">'P&amp;L'!AI33</f>
        <v>0</v>
      </c>
      <c r="GP13" s="1976" t="n">
        <f aca="false">'P&amp;L'!AJ33</f>
        <v>0</v>
      </c>
      <c r="GQ13" s="1977" t="n">
        <f aca="false">'P&amp;L'!AK33</f>
        <v>0</v>
      </c>
      <c r="GR13" s="1893"/>
      <c r="GS13" s="1944" t="str">
        <f aca="false">GE13</f>
        <v/>
      </c>
      <c r="GT13" s="1979" t="n">
        <f aca="false">'P&amp;L'!AL33</f>
        <v>0</v>
      </c>
      <c r="GU13" s="1980" t="n">
        <f aca="false">'P&amp;L'!AM33</f>
        <v>0</v>
      </c>
      <c r="GV13" s="1980" t="n">
        <f aca="false">'P&amp;L'!AN33</f>
        <v>0</v>
      </c>
      <c r="GW13" s="1980" t="n">
        <f aca="false">'P&amp;L'!AO33</f>
        <v>0</v>
      </c>
      <c r="GX13" s="1980" t="n">
        <f aca="false">'P&amp;L'!AP33</f>
        <v>0</v>
      </c>
      <c r="GY13" s="1980" t="n">
        <f aca="false">'P&amp;L'!AQ33</f>
        <v>0</v>
      </c>
      <c r="GZ13" s="1980" t="n">
        <f aca="false">'P&amp;L'!AR33</f>
        <v>0</v>
      </c>
      <c r="HA13" s="1980" t="n">
        <f aca="false">'P&amp;L'!AS33</f>
        <v>0</v>
      </c>
      <c r="HB13" s="1980" t="n">
        <f aca="false">'P&amp;L'!AT33</f>
        <v>0</v>
      </c>
      <c r="HC13" s="1980" t="n">
        <f aca="false">'P&amp;L'!AU33</f>
        <v>0</v>
      </c>
      <c r="HD13" s="1980" t="n">
        <f aca="false">'P&amp;L'!AV33</f>
        <v>0</v>
      </c>
      <c r="HE13" s="1981" t="n">
        <f aca="false">'P&amp;L'!AW33</f>
        <v>0</v>
      </c>
      <c r="HF13" s="1896"/>
      <c r="HG13" s="1948" t="str">
        <f aca="false">GS13</f>
        <v/>
      </c>
      <c r="HH13" s="1983" t="n">
        <f aca="false">'P&amp;L'!AX33</f>
        <v>0</v>
      </c>
      <c r="HI13" s="1984" t="n">
        <f aca="false">'P&amp;L'!AY33</f>
        <v>0</v>
      </c>
      <c r="HJ13" s="1984" t="n">
        <f aca="false">'P&amp;L'!AZ33</f>
        <v>0</v>
      </c>
      <c r="HK13" s="1984" t="n">
        <f aca="false">'P&amp;L'!BA33</f>
        <v>0</v>
      </c>
      <c r="HL13" s="1984" t="n">
        <f aca="false">'P&amp;L'!BB33</f>
        <v>0</v>
      </c>
      <c r="HM13" s="1984" t="n">
        <f aca="false">'P&amp;L'!BC33</f>
        <v>0</v>
      </c>
      <c r="HN13" s="1984" t="n">
        <f aca="false">'P&amp;L'!BD33</f>
        <v>0</v>
      </c>
      <c r="HO13" s="1984" t="n">
        <f aca="false">'P&amp;L'!BE33</f>
        <v>0</v>
      </c>
      <c r="HP13" s="1984" t="n">
        <f aca="false">'P&amp;L'!BF33</f>
        <v>0</v>
      </c>
      <c r="HQ13" s="1984" t="n">
        <f aca="false">'P&amp;L'!BG33</f>
        <v>0</v>
      </c>
      <c r="HR13" s="1984" t="n">
        <f aca="false">'P&amp;L'!BH33</f>
        <v>0</v>
      </c>
      <c r="HS13" s="1985" t="n">
        <f aca="false">'P&amp;L'!BI33</f>
        <v>0</v>
      </c>
    </row>
    <row r="14" customFormat="false" ht="10.5" hidden="false" customHeight="true" outlineLevel="0" collapsed="false">
      <c r="A14" s="1641"/>
      <c r="B14" s="2027" t="str">
        <f aca="false">'Tables 5Y'!$R$14</f>
        <v>Total Personnel</v>
      </c>
      <c r="C14" s="2028" t="n">
        <f aca="false">Personnel!P14</f>
        <v>42</v>
      </c>
      <c r="D14" s="2029" t="n">
        <f aca="false">Personnel!Q14</f>
        <v>52</v>
      </c>
      <c r="E14" s="2029" t="n">
        <f aca="false">Personnel!R14</f>
        <v>72</v>
      </c>
      <c r="F14" s="2029" t="n">
        <f aca="false">Personnel!S14</f>
        <v>92</v>
      </c>
      <c r="G14" s="2029" t="n">
        <f aca="false">Personnel!T14</f>
        <v>112</v>
      </c>
      <c r="H14" s="2029" t="n">
        <f aca="false">Personnel!U14</f>
        <v>132</v>
      </c>
      <c r="I14" s="2029" t="n">
        <f aca="false">Personnel!V14</f>
        <v>152</v>
      </c>
      <c r="J14" s="2029" t="n">
        <f aca="false">Personnel!W14</f>
        <v>162</v>
      </c>
      <c r="K14" s="2029" t="n">
        <f aca="false">Personnel!X14</f>
        <v>162</v>
      </c>
      <c r="L14" s="2029" t="n">
        <f aca="false">Personnel!Y14</f>
        <v>162</v>
      </c>
      <c r="M14" s="2029" t="n">
        <f aca="false">Personnel!Z14</f>
        <v>162</v>
      </c>
      <c r="N14" s="2030" t="n">
        <f aca="false">Personnel!AA14</f>
        <v>162</v>
      </c>
      <c r="O14" s="1882"/>
      <c r="P14" s="2031" t="str">
        <f aca="false">'Tables 5Y'!$R$14</f>
        <v>Total Personnel</v>
      </c>
      <c r="Q14" s="2032" t="n">
        <f aca="false">Personnel!AB14</f>
        <v>163</v>
      </c>
      <c r="R14" s="2033" t="n">
        <f aca="false">Personnel!AC14</f>
        <v>163</v>
      </c>
      <c r="S14" s="2033" t="n">
        <f aca="false">Personnel!AD14</f>
        <v>163</v>
      </c>
      <c r="T14" s="2033" t="n">
        <f aca="false">Personnel!AE14</f>
        <v>163</v>
      </c>
      <c r="U14" s="2033" t="n">
        <f aca="false">Personnel!AF14</f>
        <v>163</v>
      </c>
      <c r="V14" s="2033" t="n">
        <f aca="false">Personnel!AG14</f>
        <v>163</v>
      </c>
      <c r="W14" s="2033" t="n">
        <f aca="false">Personnel!AH14</f>
        <v>163</v>
      </c>
      <c r="X14" s="2033" t="n">
        <f aca="false">Personnel!AI14</f>
        <v>163</v>
      </c>
      <c r="Y14" s="2033" t="n">
        <f aca="false">Personnel!AJ14</f>
        <v>163</v>
      </c>
      <c r="Z14" s="2033" t="n">
        <f aca="false">Personnel!AK14</f>
        <v>163</v>
      </c>
      <c r="AA14" s="2033" t="n">
        <f aca="false">Personnel!AL14</f>
        <v>163</v>
      </c>
      <c r="AB14" s="2034" t="n">
        <f aca="false">Personnel!AM14</f>
        <v>163</v>
      </c>
      <c r="AC14" s="1882"/>
      <c r="AD14" s="2035" t="str">
        <f aca="false">'Tables 5Y'!$R$14</f>
        <v>Total Personnel</v>
      </c>
      <c r="AE14" s="2020" t="n">
        <f aca="false">Personnel!AN14</f>
        <v>163</v>
      </c>
      <c r="AF14" s="2021" t="n">
        <f aca="false">Personnel!AO14</f>
        <v>163</v>
      </c>
      <c r="AG14" s="2021" t="n">
        <f aca="false">Personnel!AP14</f>
        <v>163</v>
      </c>
      <c r="AH14" s="2021" t="n">
        <f aca="false">Personnel!AQ14</f>
        <v>163</v>
      </c>
      <c r="AI14" s="2021" t="n">
        <f aca="false">Personnel!AR14</f>
        <v>163</v>
      </c>
      <c r="AJ14" s="2021" t="n">
        <f aca="false">Personnel!AS14</f>
        <v>163</v>
      </c>
      <c r="AK14" s="2021" t="n">
        <f aca="false">Personnel!AT14</f>
        <v>163</v>
      </c>
      <c r="AL14" s="2021" t="n">
        <f aca="false">Personnel!AU14</f>
        <v>163</v>
      </c>
      <c r="AM14" s="2021" t="n">
        <f aca="false">Personnel!AV14</f>
        <v>163</v>
      </c>
      <c r="AN14" s="2021" t="n">
        <f aca="false">Personnel!AW14</f>
        <v>163</v>
      </c>
      <c r="AO14" s="2021" t="n">
        <f aca="false">Personnel!AX14</f>
        <v>163</v>
      </c>
      <c r="AP14" s="2022" t="n">
        <f aca="false">Personnel!AY14</f>
        <v>163</v>
      </c>
      <c r="AQ14" s="1882"/>
      <c r="AR14" s="2036" t="str">
        <f aca="false">'Tables 5Y'!$R$14</f>
        <v>Total Personnel</v>
      </c>
      <c r="AS14" s="2037" t="n">
        <f aca="false">Personnel!AZ14</f>
        <v>163</v>
      </c>
      <c r="AT14" s="2038" t="n">
        <f aca="false">Personnel!BA14</f>
        <v>163</v>
      </c>
      <c r="AU14" s="2038" t="n">
        <f aca="false">Personnel!BB14</f>
        <v>163</v>
      </c>
      <c r="AV14" s="2038" t="n">
        <f aca="false">Personnel!BC14</f>
        <v>163</v>
      </c>
      <c r="AW14" s="2038" t="n">
        <f aca="false">Personnel!BD14</f>
        <v>163</v>
      </c>
      <c r="AX14" s="2038" t="n">
        <f aca="false">Personnel!BE14</f>
        <v>163</v>
      </c>
      <c r="AY14" s="2038" t="n">
        <f aca="false">Personnel!BF14</f>
        <v>163</v>
      </c>
      <c r="AZ14" s="2038" t="n">
        <f aca="false">Personnel!BG14</f>
        <v>163</v>
      </c>
      <c r="BA14" s="2038" t="n">
        <f aca="false">Personnel!BH14</f>
        <v>163</v>
      </c>
      <c r="BB14" s="2038" t="n">
        <f aca="false">Personnel!BI14</f>
        <v>163</v>
      </c>
      <c r="BC14" s="2038" t="n">
        <f aca="false">Personnel!BJ14</f>
        <v>163</v>
      </c>
      <c r="BD14" s="2039" t="n">
        <f aca="false">Personnel!BK14</f>
        <v>163</v>
      </c>
      <c r="BE14" s="1466"/>
      <c r="BF14" s="1885"/>
      <c r="BG14" s="1915" t="str">
        <f aca="false">Revenue!A101</f>
        <v>CS-30</v>
      </c>
      <c r="BH14" s="1916" t="n">
        <f aca="false">Revenue!N101</f>
        <v>227994.642857143</v>
      </c>
      <c r="BI14" s="1916" t="n">
        <f aca="false">Revenue!O101</f>
        <v>253327.380952381</v>
      </c>
      <c r="BJ14" s="1916" t="n">
        <f aca="false">Revenue!P101</f>
        <v>278660.119047619</v>
      </c>
      <c r="BK14" s="1916" t="n">
        <f aca="false">Revenue!Q101</f>
        <v>303992.857142857</v>
      </c>
      <c r="BL14" s="1916" t="n">
        <f aca="false">Revenue!R101</f>
        <v>329325.595238095</v>
      </c>
      <c r="BM14" s="1916" t="n">
        <f aca="false">Revenue!S101</f>
        <v>354658.333333333</v>
      </c>
      <c r="BN14" s="1916" t="n">
        <f aca="false">Revenue!T101</f>
        <v>379991.071428572</v>
      </c>
      <c r="BO14" s="1916" t="n">
        <f aca="false">Revenue!U101</f>
        <v>405323.80952381</v>
      </c>
      <c r="BP14" s="1916" t="n">
        <f aca="false">Revenue!V101</f>
        <v>430656.547619047</v>
      </c>
      <c r="BQ14" s="1916" t="n">
        <f aca="false">Revenue!W101</f>
        <v>455989.285714285</v>
      </c>
      <c r="BR14" s="1916" t="n">
        <f aca="false">Revenue!X101</f>
        <v>481322.023809523</v>
      </c>
      <c r="BS14" s="1915" t="n">
        <f aca="false">Revenue!Y101</f>
        <v>506654.761904762</v>
      </c>
      <c r="BT14" s="1888"/>
      <c r="BU14" s="1952" t="str">
        <f aca="false">BG14</f>
        <v>CS-30</v>
      </c>
      <c r="BV14" s="1952" t="n">
        <f aca="false">Revenue!Z69</f>
        <v>20833.3333333333</v>
      </c>
      <c r="BW14" s="1952" t="n">
        <f aca="false">Revenue!AA69</f>
        <v>20833.3333333333</v>
      </c>
      <c r="BX14" s="1953" t="n">
        <f aca="false">Revenue!AB69</f>
        <v>20833.3333333333</v>
      </c>
      <c r="BY14" s="1952" t="n">
        <f aca="false">Revenue!AC69</f>
        <v>20833.3333333333</v>
      </c>
      <c r="BZ14" s="1952" t="n">
        <f aca="false">Revenue!AD69</f>
        <v>20833.3333333333</v>
      </c>
      <c r="CA14" s="1952" t="n">
        <f aca="false">Revenue!AE69</f>
        <v>20833.3333333333</v>
      </c>
      <c r="CB14" s="1952" t="n">
        <f aca="false">Revenue!AF69</f>
        <v>20833.3333333333</v>
      </c>
      <c r="CC14" s="1952" t="n">
        <f aca="false">Revenue!AG69</f>
        <v>20833.3333333333</v>
      </c>
      <c r="CD14" s="1952" t="n">
        <f aca="false">Revenue!AH69</f>
        <v>20833.3333333333</v>
      </c>
      <c r="CE14" s="1952" t="n">
        <f aca="false">Revenue!AI69</f>
        <v>20833.3333333333</v>
      </c>
      <c r="CF14" s="1952" t="n">
        <f aca="false">Revenue!AJ69</f>
        <v>20833.3333333333</v>
      </c>
      <c r="CG14" s="1952" t="n">
        <f aca="false">Revenue!AK69</f>
        <v>20833.3333333333</v>
      </c>
      <c r="CH14" s="1891"/>
      <c r="CI14" s="1954" t="str">
        <f aca="false">BU14</f>
        <v>CS-30</v>
      </c>
      <c r="CJ14" s="1955" t="n">
        <f aca="false">Revenue!AL69</f>
        <v>20833.3333333333</v>
      </c>
      <c r="CK14" s="1955" t="n">
        <f aca="false">Revenue!AM69</f>
        <v>20833.3333333333</v>
      </c>
      <c r="CL14" s="1955" t="n">
        <f aca="false">Revenue!AN69</f>
        <v>20833.3333333333</v>
      </c>
      <c r="CM14" s="1955" t="n">
        <f aca="false">Revenue!AO69</f>
        <v>20833.3333333333</v>
      </c>
      <c r="CN14" s="1955" t="n">
        <f aca="false">Revenue!AP69</f>
        <v>20833.3333333333</v>
      </c>
      <c r="CO14" s="1955" t="n">
        <f aca="false">Revenue!AQ69</f>
        <v>20833.3333333333</v>
      </c>
      <c r="CP14" s="1955" t="n">
        <f aca="false">Revenue!AR69</f>
        <v>20833.3333333333</v>
      </c>
      <c r="CQ14" s="1955" t="n">
        <f aca="false">Revenue!AS69</f>
        <v>20833.3333333333</v>
      </c>
      <c r="CR14" s="1955" t="n">
        <f aca="false">Revenue!AT69</f>
        <v>20833.3333333333</v>
      </c>
      <c r="CS14" s="1955" t="n">
        <f aca="false">Revenue!AU69</f>
        <v>20833.3333333333</v>
      </c>
      <c r="CT14" s="1955" t="n">
        <f aca="false">Revenue!AV69</f>
        <v>20833.3333333333</v>
      </c>
      <c r="CU14" s="1955" t="n">
        <f aca="false">Revenue!AW69</f>
        <v>20833.3333333333</v>
      </c>
      <c r="CV14" s="1888"/>
      <c r="CW14" s="1956" t="str">
        <f aca="false">CI14</f>
        <v>CS-30</v>
      </c>
      <c r="CX14" s="1957" t="n">
        <f aca="false">Revenue!AX69</f>
        <v>20833.3333333333</v>
      </c>
      <c r="CY14" s="1957" t="n">
        <f aca="false">Revenue!AY69</f>
        <v>20833.3333333333</v>
      </c>
      <c r="CZ14" s="1957" t="n">
        <f aca="false">Revenue!AZ69</f>
        <v>20833.3333333333</v>
      </c>
      <c r="DA14" s="1957" t="n">
        <f aca="false">Revenue!BA69</f>
        <v>20833.3333333333</v>
      </c>
      <c r="DB14" s="1957" t="n">
        <f aca="false">Revenue!BB69</f>
        <v>20833.3333333333</v>
      </c>
      <c r="DC14" s="1957" t="n">
        <f aca="false">Revenue!BC69</f>
        <v>20833.3333333333</v>
      </c>
      <c r="DD14" s="1957" t="n">
        <f aca="false">Revenue!BD69</f>
        <v>20833.3333333333</v>
      </c>
      <c r="DE14" s="1957" t="n">
        <f aca="false">Revenue!BE69</f>
        <v>20833.3333333333</v>
      </c>
      <c r="DF14" s="1957" t="n">
        <f aca="false">Revenue!BF69</f>
        <v>20833.3333333333</v>
      </c>
      <c r="DG14" s="1957" t="n">
        <f aca="false">Revenue!BG69</f>
        <v>20833.3333333333</v>
      </c>
      <c r="DH14" s="1957" t="n">
        <f aca="false">Revenue!BH69</f>
        <v>20833.3333333333</v>
      </c>
      <c r="DI14" s="1957" t="n">
        <f aca="false">Revenue!BI69</f>
        <v>20833.3333333333</v>
      </c>
      <c r="DJ14" s="1466"/>
      <c r="DK14" s="1163"/>
      <c r="DL14" s="1371"/>
      <c r="DM14" s="2040"/>
      <c r="DN14" s="2040"/>
      <c r="DO14" s="2040"/>
      <c r="DP14" s="2040"/>
      <c r="DQ14" s="2040"/>
      <c r="DR14" s="2040"/>
      <c r="DS14" s="2040"/>
      <c r="DT14" s="2040"/>
      <c r="DU14" s="2040"/>
      <c r="DV14" s="2040"/>
      <c r="DW14" s="2040"/>
      <c r="DX14" s="2040"/>
      <c r="DY14" s="1893"/>
      <c r="DZ14" s="2041"/>
      <c r="EA14" s="2040"/>
      <c r="EB14" s="2040"/>
      <c r="EC14" s="2040"/>
      <c r="ED14" s="2040"/>
      <c r="EE14" s="2040"/>
      <c r="EF14" s="2040"/>
      <c r="EG14" s="2040"/>
      <c r="EH14" s="2040"/>
      <c r="EI14" s="2040"/>
      <c r="EJ14" s="2040"/>
      <c r="EK14" s="2040"/>
      <c r="EL14" s="2042"/>
      <c r="EM14" s="1893"/>
      <c r="EN14" s="2041"/>
      <c r="EO14" s="2003"/>
      <c r="EP14" s="2003"/>
      <c r="EQ14" s="2003"/>
      <c r="ER14" s="2003"/>
      <c r="ES14" s="2003"/>
      <c r="ET14" s="2003"/>
      <c r="EU14" s="2003"/>
      <c r="EV14" s="2003"/>
      <c r="EW14" s="2003"/>
      <c r="EX14" s="2003"/>
      <c r="EY14" s="2003"/>
      <c r="EZ14" s="2004"/>
      <c r="FA14" s="1893"/>
      <c r="FB14" s="2041"/>
      <c r="FC14" s="2040"/>
      <c r="FD14" s="2040"/>
      <c r="FE14" s="2040"/>
      <c r="FF14" s="2040"/>
      <c r="FG14" s="2040"/>
      <c r="FH14" s="2040"/>
      <c r="FI14" s="2040"/>
      <c r="FJ14" s="2040"/>
      <c r="FK14" s="2040"/>
      <c r="FL14" s="2040"/>
      <c r="FM14" s="2040"/>
      <c r="FN14" s="2042"/>
      <c r="FO14" s="1466"/>
      <c r="FP14" s="1896"/>
      <c r="FQ14" s="1936" t="str">
        <f aca="false">'P&amp;L'!A34</f>
        <v/>
      </c>
      <c r="FR14" s="1971" t="n">
        <f aca="false">'P&amp;L'!N34</f>
        <v>0</v>
      </c>
      <c r="FS14" s="1972" t="n">
        <f aca="false">'P&amp;L'!O34</f>
        <v>0</v>
      </c>
      <c r="FT14" s="1972" t="n">
        <f aca="false">'P&amp;L'!P34</f>
        <v>0</v>
      </c>
      <c r="FU14" s="1972" t="n">
        <f aca="false">'P&amp;L'!Q34</f>
        <v>0</v>
      </c>
      <c r="FV14" s="1972" t="n">
        <f aca="false">'P&amp;L'!R34</f>
        <v>0</v>
      </c>
      <c r="FW14" s="1972" t="n">
        <f aca="false">'P&amp;L'!S34</f>
        <v>0</v>
      </c>
      <c r="FX14" s="1972" t="n">
        <f aca="false">'P&amp;L'!T34</f>
        <v>0</v>
      </c>
      <c r="FY14" s="1972" t="n">
        <f aca="false">'P&amp;L'!U34</f>
        <v>0</v>
      </c>
      <c r="FZ14" s="1972" t="n">
        <f aca="false">'P&amp;L'!V34</f>
        <v>0</v>
      </c>
      <c r="GA14" s="1972" t="n">
        <f aca="false">'P&amp;L'!W34</f>
        <v>0</v>
      </c>
      <c r="GB14" s="1972" t="n">
        <f aca="false">'P&amp;L'!X34</f>
        <v>0</v>
      </c>
      <c r="GC14" s="1973" t="n">
        <f aca="false">'P&amp;L'!Y34</f>
        <v>0</v>
      </c>
      <c r="GD14" s="1893"/>
      <c r="GE14" s="1940" t="str">
        <f aca="false">FQ14</f>
        <v/>
      </c>
      <c r="GF14" s="1975" t="n">
        <f aca="false">'P&amp;L'!Z34</f>
        <v>0</v>
      </c>
      <c r="GG14" s="1976" t="n">
        <f aca="false">'P&amp;L'!AA34</f>
        <v>0</v>
      </c>
      <c r="GH14" s="1976" t="n">
        <f aca="false">'P&amp;L'!AB34</f>
        <v>0</v>
      </c>
      <c r="GI14" s="1976" t="n">
        <f aca="false">'P&amp;L'!AC34</f>
        <v>0</v>
      </c>
      <c r="GJ14" s="1976" t="n">
        <f aca="false">'P&amp;L'!AD34</f>
        <v>0</v>
      </c>
      <c r="GK14" s="1976" t="n">
        <f aca="false">'P&amp;L'!AE34</f>
        <v>0</v>
      </c>
      <c r="GL14" s="1976" t="n">
        <f aca="false">'P&amp;L'!AF34</f>
        <v>0</v>
      </c>
      <c r="GM14" s="1976" t="n">
        <f aca="false">'P&amp;L'!AG34</f>
        <v>0</v>
      </c>
      <c r="GN14" s="1976" t="n">
        <f aca="false">'P&amp;L'!AH34</f>
        <v>0</v>
      </c>
      <c r="GO14" s="1976" t="n">
        <f aca="false">'P&amp;L'!AI34</f>
        <v>0</v>
      </c>
      <c r="GP14" s="1976" t="n">
        <f aca="false">'P&amp;L'!AJ34</f>
        <v>0</v>
      </c>
      <c r="GQ14" s="1977" t="n">
        <f aca="false">'P&amp;L'!AK34</f>
        <v>0</v>
      </c>
      <c r="GR14" s="1893"/>
      <c r="GS14" s="1944" t="str">
        <f aca="false">GE14</f>
        <v/>
      </c>
      <c r="GT14" s="1979" t="n">
        <f aca="false">'P&amp;L'!AL34</f>
        <v>0</v>
      </c>
      <c r="GU14" s="1980" t="n">
        <f aca="false">'P&amp;L'!AM34</f>
        <v>0</v>
      </c>
      <c r="GV14" s="1980" t="n">
        <f aca="false">'P&amp;L'!AN34</f>
        <v>0</v>
      </c>
      <c r="GW14" s="1980" t="n">
        <f aca="false">'P&amp;L'!AO34</f>
        <v>0</v>
      </c>
      <c r="GX14" s="1980" t="n">
        <f aca="false">'P&amp;L'!AP34</f>
        <v>0</v>
      </c>
      <c r="GY14" s="1980" t="n">
        <f aca="false">'P&amp;L'!AQ34</f>
        <v>0</v>
      </c>
      <c r="GZ14" s="1980" t="n">
        <f aca="false">'P&amp;L'!AR34</f>
        <v>0</v>
      </c>
      <c r="HA14" s="1980" t="n">
        <f aca="false">'P&amp;L'!AS34</f>
        <v>0</v>
      </c>
      <c r="HB14" s="1980" t="n">
        <f aca="false">'P&amp;L'!AT34</f>
        <v>0</v>
      </c>
      <c r="HC14" s="1980" t="n">
        <f aca="false">'P&amp;L'!AU34</f>
        <v>0</v>
      </c>
      <c r="HD14" s="1980" t="n">
        <f aca="false">'P&amp;L'!AV34</f>
        <v>0</v>
      </c>
      <c r="HE14" s="1981" t="n">
        <f aca="false">'P&amp;L'!AW34</f>
        <v>0</v>
      </c>
      <c r="HF14" s="1896"/>
      <c r="HG14" s="1948" t="str">
        <f aca="false">GS14</f>
        <v/>
      </c>
      <c r="HH14" s="1983" t="n">
        <f aca="false">'P&amp;L'!AX34</f>
        <v>0</v>
      </c>
      <c r="HI14" s="1984" t="n">
        <f aca="false">'P&amp;L'!AY34</f>
        <v>0</v>
      </c>
      <c r="HJ14" s="1984" t="n">
        <f aca="false">'P&amp;L'!AZ34</f>
        <v>0</v>
      </c>
      <c r="HK14" s="1984" t="n">
        <f aca="false">'P&amp;L'!BA34</f>
        <v>0</v>
      </c>
      <c r="HL14" s="1984" t="n">
        <f aca="false">'P&amp;L'!BB34</f>
        <v>0</v>
      </c>
      <c r="HM14" s="1984" t="n">
        <f aca="false">'P&amp;L'!BC34</f>
        <v>0</v>
      </c>
      <c r="HN14" s="1984" t="n">
        <f aca="false">'P&amp;L'!BD34</f>
        <v>0</v>
      </c>
      <c r="HO14" s="1984" t="n">
        <f aca="false">'P&amp;L'!BE34</f>
        <v>0</v>
      </c>
      <c r="HP14" s="1984" t="n">
        <f aca="false">'P&amp;L'!BF34</f>
        <v>0</v>
      </c>
      <c r="HQ14" s="1984" t="n">
        <f aca="false">'P&amp;L'!BG34</f>
        <v>0</v>
      </c>
      <c r="HR14" s="1984" t="n">
        <f aca="false">'P&amp;L'!BH34</f>
        <v>0</v>
      </c>
      <c r="HS14" s="1985" t="n">
        <f aca="false">'P&amp;L'!BI34</f>
        <v>0</v>
      </c>
    </row>
    <row r="15" customFormat="false" ht="10.5" hidden="false" customHeight="true" outlineLevel="0" collapsed="false">
      <c r="A15" s="1641"/>
      <c r="B15" s="2043"/>
      <c r="C15" s="2003"/>
      <c r="D15" s="2003"/>
      <c r="E15" s="2003"/>
      <c r="F15" s="2003"/>
      <c r="G15" s="2003"/>
      <c r="H15" s="2003"/>
      <c r="I15" s="2003"/>
      <c r="J15" s="2003"/>
      <c r="K15" s="2003"/>
      <c r="L15" s="2003"/>
      <c r="M15" s="2003"/>
      <c r="N15" s="2004"/>
      <c r="O15" s="1882"/>
      <c r="P15" s="1378"/>
      <c r="Q15" s="2003"/>
      <c r="R15" s="2003"/>
      <c r="S15" s="2003"/>
      <c r="T15" s="2003"/>
      <c r="U15" s="2003"/>
      <c r="V15" s="2003"/>
      <c r="W15" s="2003"/>
      <c r="X15" s="2003"/>
      <c r="Y15" s="2003"/>
      <c r="Z15" s="2003"/>
      <c r="AA15" s="2003"/>
      <c r="AB15" s="2003"/>
      <c r="AC15" s="1882"/>
      <c r="AD15" s="1378"/>
      <c r="AE15" s="2003"/>
      <c r="AF15" s="2003"/>
      <c r="AG15" s="2003"/>
      <c r="AH15" s="2003"/>
      <c r="AI15" s="2003"/>
      <c r="AJ15" s="2003"/>
      <c r="AK15" s="2003"/>
      <c r="AL15" s="2003"/>
      <c r="AM15" s="2003"/>
      <c r="AN15" s="2003"/>
      <c r="AO15" s="2003"/>
      <c r="AP15" s="2003"/>
      <c r="AQ15" s="1882"/>
      <c r="AR15" s="2044"/>
      <c r="AS15" s="2045"/>
      <c r="AT15" s="2045"/>
      <c r="AU15" s="2045"/>
      <c r="AV15" s="2045"/>
      <c r="AW15" s="2045"/>
      <c r="AX15" s="2045"/>
      <c r="AY15" s="2045"/>
      <c r="AZ15" s="2045"/>
      <c r="BA15" s="2045"/>
      <c r="BB15" s="2045"/>
      <c r="BC15" s="2045"/>
      <c r="BD15" s="2046"/>
      <c r="BE15" s="1466"/>
      <c r="BF15" s="1885"/>
      <c r="BG15" s="1915" t="str">
        <f aca="false">Revenue!A102</f>
        <v>CS-36</v>
      </c>
      <c r="BH15" s="1916" t="n">
        <f aca="false">Revenue!N102</f>
        <v>170995.982142857</v>
      </c>
      <c r="BI15" s="1916" t="n">
        <f aca="false">Revenue!O102</f>
        <v>189995.535714286</v>
      </c>
      <c r="BJ15" s="1916" t="n">
        <f aca="false">Revenue!P102</f>
        <v>208995.089285714</v>
      </c>
      <c r="BK15" s="1916" t="n">
        <f aca="false">Revenue!Q102</f>
        <v>227994.642857143</v>
      </c>
      <c r="BL15" s="1916" t="n">
        <f aca="false">Revenue!R102</f>
        <v>246994.196428572</v>
      </c>
      <c r="BM15" s="1916" t="n">
        <f aca="false">Revenue!S102</f>
        <v>265993.75</v>
      </c>
      <c r="BN15" s="1916" t="n">
        <f aca="false">Revenue!T102</f>
        <v>284993.303571429</v>
      </c>
      <c r="BO15" s="1916" t="n">
        <f aca="false">Revenue!U102</f>
        <v>303992.857142857</v>
      </c>
      <c r="BP15" s="1916" t="n">
        <f aca="false">Revenue!V102</f>
        <v>322992.410714286</v>
      </c>
      <c r="BQ15" s="1916" t="n">
        <f aca="false">Revenue!W102</f>
        <v>341991.964285715</v>
      </c>
      <c r="BR15" s="1916" t="n">
        <f aca="false">Revenue!X102</f>
        <v>360991.517857143</v>
      </c>
      <c r="BS15" s="1915" t="n">
        <f aca="false">Revenue!Y102</f>
        <v>379991.071428572</v>
      </c>
      <c r="BT15" s="1888"/>
      <c r="BU15" s="1952" t="str">
        <f aca="false">BG15</f>
        <v>CS-36</v>
      </c>
      <c r="BV15" s="1952" t="n">
        <f aca="false">Revenue!Z70</f>
        <v>15625</v>
      </c>
      <c r="BW15" s="1952" t="n">
        <f aca="false">Revenue!AA70</f>
        <v>15625</v>
      </c>
      <c r="BX15" s="1953" t="n">
        <f aca="false">Revenue!AB70</f>
        <v>15625</v>
      </c>
      <c r="BY15" s="1952" t="n">
        <f aca="false">Revenue!AC70</f>
        <v>15625</v>
      </c>
      <c r="BZ15" s="1952" t="n">
        <f aca="false">Revenue!AD70</f>
        <v>15625</v>
      </c>
      <c r="CA15" s="1952" t="n">
        <f aca="false">Revenue!AE70</f>
        <v>15625</v>
      </c>
      <c r="CB15" s="1952" t="n">
        <f aca="false">Revenue!AF70</f>
        <v>15625</v>
      </c>
      <c r="CC15" s="1952" t="n">
        <f aca="false">Revenue!AG70</f>
        <v>15625</v>
      </c>
      <c r="CD15" s="1952" t="n">
        <f aca="false">Revenue!AH70</f>
        <v>15625</v>
      </c>
      <c r="CE15" s="1952" t="n">
        <f aca="false">Revenue!AI70</f>
        <v>15625</v>
      </c>
      <c r="CF15" s="1952" t="n">
        <f aca="false">Revenue!AJ70</f>
        <v>15625</v>
      </c>
      <c r="CG15" s="1952" t="n">
        <f aca="false">Revenue!AK70</f>
        <v>15625</v>
      </c>
      <c r="CH15" s="1891"/>
      <c r="CI15" s="1954" t="str">
        <f aca="false">BU15</f>
        <v>CS-36</v>
      </c>
      <c r="CJ15" s="1955" t="n">
        <f aca="false">Revenue!AL70</f>
        <v>15625</v>
      </c>
      <c r="CK15" s="1955" t="n">
        <f aca="false">Revenue!AM70</f>
        <v>15625</v>
      </c>
      <c r="CL15" s="1955" t="n">
        <f aca="false">Revenue!AN70</f>
        <v>15625</v>
      </c>
      <c r="CM15" s="1955" t="n">
        <f aca="false">Revenue!AO70</f>
        <v>15625</v>
      </c>
      <c r="CN15" s="1955" t="n">
        <f aca="false">Revenue!AP70</f>
        <v>15625</v>
      </c>
      <c r="CO15" s="1955" t="n">
        <f aca="false">Revenue!AQ70</f>
        <v>15625</v>
      </c>
      <c r="CP15" s="1955" t="n">
        <f aca="false">Revenue!AR70</f>
        <v>15625</v>
      </c>
      <c r="CQ15" s="1955" t="n">
        <f aca="false">Revenue!AS70</f>
        <v>15625</v>
      </c>
      <c r="CR15" s="1955" t="n">
        <f aca="false">Revenue!AT70</f>
        <v>15625</v>
      </c>
      <c r="CS15" s="1955" t="n">
        <f aca="false">Revenue!AU70</f>
        <v>15625</v>
      </c>
      <c r="CT15" s="1955" t="n">
        <f aca="false">Revenue!AV70</f>
        <v>15625</v>
      </c>
      <c r="CU15" s="1955" t="n">
        <f aca="false">Revenue!AW70</f>
        <v>15625</v>
      </c>
      <c r="CV15" s="1888"/>
      <c r="CW15" s="1956" t="str">
        <f aca="false">CI15</f>
        <v>CS-36</v>
      </c>
      <c r="CX15" s="1957" t="n">
        <f aca="false">Revenue!AX70</f>
        <v>15625</v>
      </c>
      <c r="CY15" s="1957" t="n">
        <f aca="false">Revenue!AY70</f>
        <v>15625</v>
      </c>
      <c r="CZ15" s="1957" t="n">
        <f aca="false">Revenue!AZ70</f>
        <v>15625</v>
      </c>
      <c r="DA15" s="1957" t="n">
        <f aca="false">Revenue!BA70</f>
        <v>15625</v>
      </c>
      <c r="DB15" s="1957" t="n">
        <f aca="false">Revenue!BB70</f>
        <v>15625</v>
      </c>
      <c r="DC15" s="1957" t="n">
        <f aca="false">Revenue!BC70</f>
        <v>15625</v>
      </c>
      <c r="DD15" s="1957" t="n">
        <f aca="false">Revenue!BD70</f>
        <v>15625</v>
      </c>
      <c r="DE15" s="1957" t="n">
        <f aca="false">Revenue!BE70</f>
        <v>15625</v>
      </c>
      <c r="DF15" s="1957" t="n">
        <f aca="false">Revenue!BF70</f>
        <v>15625</v>
      </c>
      <c r="DG15" s="1957" t="n">
        <f aca="false">Revenue!BG70</f>
        <v>15625</v>
      </c>
      <c r="DH15" s="1957" t="n">
        <f aca="false">Revenue!BH70</f>
        <v>15625</v>
      </c>
      <c r="DI15" s="1957" t="n">
        <f aca="false">Revenue!BI70</f>
        <v>15625</v>
      </c>
      <c r="DJ15" s="1466"/>
      <c r="DK15" s="1163"/>
      <c r="DL15" s="1923" t="str">
        <f aca="false">'Tables 5Y'!BM15</f>
        <v>Revenue DI Sell Price </v>
      </c>
      <c r="DM15" s="1924"/>
      <c r="DN15" s="1925"/>
      <c r="DO15" s="1925"/>
      <c r="DP15" s="1925"/>
      <c r="DQ15" s="1925"/>
      <c r="DR15" s="1925"/>
      <c r="DS15" s="1925"/>
      <c r="DT15" s="1925"/>
      <c r="DU15" s="1925"/>
      <c r="DV15" s="1925"/>
      <c r="DW15" s="1925"/>
      <c r="DX15" s="1926"/>
      <c r="DY15" s="1893"/>
      <c r="DZ15" s="2047" t="str">
        <f aca="false">DL15</f>
        <v>Revenue DI Sell Price </v>
      </c>
      <c r="EA15" s="2048"/>
      <c r="EB15" s="2049"/>
      <c r="EC15" s="2049"/>
      <c r="ED15" s="2049"/>
      <c r="EE15" s="2049"/>
      <c r="EF15" s="2049"/>
      <c r="EG15" s="2049"/>
      <c r="EH15" s="2049"/>
      <c r="EI15" s="2049"/>
      <c r="EJ15" s="2049"/>
      <c r="EK15" s="2049"/>
      <c r="EL15" s="2050"/>
      <c r="EM15" s="1893"/>
      <c r="EN15" s="1931" t="str">
        <f aca="false">DZ15</f>
        <v>Revenue DI Sell Price </v>
      </c>
      <c r="EO15" s="1908"/>
      <c r="EP15" s="1909"/>
      <c r="EQ15" s="1909"/>
      <c r="ER15" s="1909"/>
      <c r="ES15" s="1909"/>
      <c r="ET15" s="1909"/>
      <c r="EU15" s="1909"/>
      <c r="EV15" s="1909"/>
      <c r="EW15" s="1909"/>
      <c r="EX15" s="1909"/>
      <c r="EY15" s="1909"/>
      <c r="EZ15" s="1910"/>
      <c r="FA15" s="1893"/>
      <c r="FB15" s="1932" t="str">
        <f aca="false">EN15</f>
        <v>Revenue DI Sell Price </v>
      </c>
      <c r="FC15" s="1933"/>
      <c r="FD15" s="1934"/>
      <c r="FE15" s="1934"/>
      <c r="FF15" s="1934"/>
      <c r="FG15" s="1934"/>
      <c r="FH15" s="1934"/>
      <c r="FI15" s="1934"/>
      <c r="FJ15" s="1934"/>
      <c r="FK15" s="1934"/>
      <c r="FL15" s="1934"/>
      <c r="FM15" s="1934"/>
      <c r="FN15" s="1935"/>
      <c r="FO15" s="1466"/>
      <c r="FP15" s="1896"/>
      <c r="FQ15" s="1936" t="str">
        <f aca="false">'P&amp;L'!A35</f>
        <v/>
      </c>
      <c r="FR15" s="1971" t="n">
        <f aca="false">'P&amp;L'!N35</f>
        <v>0</v>
      </c>
      <c r="FS15" s="1972" t="n">
        <f aca="false">'P&amp;L'!O35</f>
        <v>0</v>
      </c>
      <c r="FT15" s="1972" t="n">
        <f aca="false">'P&amp;L'!P35</f>
        <v>0</v>
      </c>
      <c r="FU15" s="1972" t="n">
        <f aca="false">'P&amp;L'!Q35</f>
        <v>0</v>
      </c>
      <c r="FV15" s="1972" t="n">
        <f aca="false">'P&amp;L'!R35</f>
        <v>0</v>
      </c>
      <c r="FW15" s="1972" t="n">
        <f aca="false">'P&amp;L'!S35</f>
        <v>0</v>
      </c>
      <c r="FX15" s="1972" t="n">
        <f aca="false">'P&amp;L'!T35</f>
        <v>0</v>
      </c>
      <c r="FY15" s="1972" t="n">
        <f aca="false">'P&amp;L'!U35</f>
        <v>0</v>
      </c>
      <c r="FZ15" s="1972" t="n">
        <f aca="false">'P&amp;L'!V35</f>
        <v>0</v>
      </c>
      <c r="GA15" s="1972" t="n">
        <f aca="false">'P&amp;L'!W35</f>
        <v>0</v>
      </c>
      <c r="GB15" s="1972" t="n">
        <f aca="false">'P&amp;L'!X35</f>
        <v>0</v>
      </c>
      <c r="GC15" s="1973" t="n">
        <f aca="false">'P&amp;L'!Y35</f>
        <v>0</v>
      </c>
      <c r="GD15" s="1893"/>
      <c r="GE15" s="1940" t="str">
        <f aca="false">FQ15</f>
        <v/>
      </c>
      <c r="GF15" s="1975" t="n">
        <f aca="false">'P&amp;L'!Z35</f>
        <v>0</v>
      </c>
      <c r="GG15" s="1976" t="n">
        <f aca="false">'P&amp;L'!AA35</f>
        <v>0</v>
      </c>
      <c r="GH15" s="1976" t="n">
        <f aca="false">'P&amp;L'!AB35</f>
        <v>0</v>
      </c>
      <c r="GI15" s="1976" t="n">
        <f aca="false">'P&amp;L'!AC35</f>
        <v>0</v>
      </c>
      <c r="GJ15" s="1976" t="n">
        <f aca="false">'P&amp;L'!AD35</f>
        <v>0</v>
      </c>
      <c r="GK15" s="1976" t="n">
        <f aca="false">'P&amp;L'!AE35</f>
        <v>0</v>
      </c>
      <c r="GL15" s="1976" t="n">
        <f aca="false">'P&amp;L'!AF35</f>
        <v>0</v>
      </c>
      <c r="GM15" s="1976" t="n">
        <f aca="false">'P&amp;L'!AG35</f>
        <v>0</v>
      </c>
      <c r="GN15" s="1976" t="n">
        <f aca="false">'P&amp;L'!AH35</f>
        <v>0</v>
      </c>
      <c r="GO15" s="1976" t="n">
        <f aca="false">'P&amp;L'!AI35</f>
        <v>0</v>
      </c>
      <c r="GP15" s="1976" t="n">
        <f aca="false">'P&amp;L'!AJ35</f>
        <v>0</v>
      </c>
      <c r="GQ15" s="1977" t="n">
        <f aca="false">'P&amp;L'!AK35</f>
        <v>0</v>
      </c>
      <c r="GR15" s="1893"/>
      <c r="GS15" s="1944" t="str">
        <f aca="false">GE15</f>
        <v/>
      </c>
      <c r="GT15" s="1979" t="n">
        <f aca="false">'P&amp;L'!AL35</f>
        <v>0</v>
      </c>
      <c r="GU15" s="1980" t="n">
        <f aca="false">'P&amp;L'!AM35</f>
        <v>0</v>
      </c>
      <c r="GV15" s="1980" t="n">
        <f aca="false">'P&amp;L'!AN35</f>
        <v>0</v>
      </c>
      <c r="GW15" s="1980" t="n">
        <f aca="false">'P&amp;L'!AO35</f>
        <v>0</v>
      </c>
      <c r="GX15" s="1980" t="n">
        <f aca="false">'P&amp;L'!AP35</f>
        <v>0</v>
      </c>
      <c r="GY15" s="1980" t="n">
        <f aca="false">'P&amp;L'!AQ35</f>
        <v>0</v>
      </c>
      <c r="GZ15" s="1980" t="n">
        <f aca="false">'P&amp;L'!AR35</f>
        <v>0</v>
      </c>
      <c r="HA15" s="1980" t="n">
        <f aca="false">'P&amp;L'!AS35</f>
        <v>0</v>
      </c>
      <c r="HB15" s="1980" t="n">
        <f aca="false">'P&amp;L'!AT35</f>
        <v>0</v>
      </c>
      <c r="HC15" s="1980" t="n">
        <f aca="false">'P&amp;L'!AU35</f>
        <v>0</v>
      </c>
      <c r="HD15" s="1980" t="n">
        <f aca="false">'P&amp;L'!AV35</f>
        <v>0</v>
      </c>
      <c r="HE15" s="1981" t="n">
        <f aca="false">'P&amp;L'!AW35</f>
        <v>0</v>
      </c>
      <c r="HF15" s="1896"/>
      <c r="HG15" s="1948" t="str">
        <f aca="false">GS15</f>
        <v/>
      </c>
      <c r="HH15" s="1983" t="n">
        <f aca="false">'P&amp;L'!AX35</f>
        <v>0</v>
      </c>
      <c r="HI15" s="1984" t="n">
        <f aca="false">'P&amp;L'!AY35</f>
        <v>0</v>
      </c>
      <c r="HJ15" s="1984" t="n">
        <f aca="false">'P&amp;L'!AZ35</f>
        <v>0</v>
      </c>
      <c r="HK15" s="1984" t="n">
        <f aca="false">'P&amp;L'!BA35</f>
        <v>0</v>
      </c>
      <c r="HL15" s="1984" t="n">
        <f aca="false">'P&amp;L'!BB35</f>
        <v>0</v>
      </c>
      <c r="HM15" s="1984" t="n">
        <f aca="false">'P&amp;L'!BC35</f>
        <v>0</v>
      </c>
      <c r="HN15" s="1984" t="n">
        <f aca="false">'P&amp;L'!BD35</f>
        <v>0</v>
      </c>
      <c r="HO15" s="1984" t="n">
        <f aca="false">'P&amp;L'!BE35</f>
        <v>0</v>
      </c>
      <c r="HP15" s="1984" t="n">
        <f aca="false">'P&amp;L'!BF35</f>
        <v>0</v>
      </c>
      <c r="HQ15" s="1984" t="n">
        <f aca="false">'P&amp;L'!BG35</f>
        <v>0</v>
      </c>
      <c r="HR15" s="1984" t="n">
        <f aca="false">'P&amp;L'!BH35</f>
        <v>0</v>
      </c>
      <c r="HS15" s="1985" t="n">
        <f aca="false">'P&amp;L'!BI35</f>
        <v>0</v>
      </c>
    </row>
    <row r="16" customFormat="false" ht="10.5" hidden="false" customHeight="true" outlineLevel="0" collapsed="false">
      <c r="A16" s="1641"/>
      <c r="B16" s="1899" t="str">
        <f aca="false">'Tables 5Y'!$R$16</f>
        <v>Personnel Wage</v>
      </c>
      <c r="C16" s="1900"/>
      <c r="D16" s="1901"/>
      <c r="E16" s="1901"/>
      <c r="F16" s="1901"/>
      <c r="G16" s="1901"/>
      <c r="H16" s="1901"/>
      <c r="I16" s="1901"/>
      <c r="J16" s="1901"/>
      <c r="K16" s="1901"/>
      <c r="L16" s="1901"/>
      <c r="M16" s="1901"/>
      <c r="N16" s="1902"/>
      <c r="O16" s="1882"/>
      <c r="P16" s="1903" t="str">
        <f aca="false">'Tables 5Y'!$R$16</f>
        <v>Personnel Wage</v>
      </c>
      <c r="Q16" s="1904"/>
      <c r="R16" s="1905"/>
      <c r="S16" s="1905"/>
      <c r="T16" s="1905"/>
      <c r="U16" s="1905"/>
      <c r="V16" s="1905"/>
      <c r="W16" s="1905"/>
      <c r="X16" s="1905"/>
      <c r="Y16" s="1905"/>
      <c r="Z16" s="1905"/>
      <c r="AA16" s="1905"/>
      <c r="AB16" s="1906"/>
      <c r="AC16" s="1882"/>
      <c r="AD16" s="1907" t="str">
        <f aca="false">'Tables 5Y'!$R$16</f>
        <v>Personnel Wage</v>
      </c>
      <c r="AE16" s="1908"/>
      <c r="AF16" s="1909"/>
      <c r="AG16" s="1909"/>
      <c r="AH16" s="1909"/>
      <c r="AI16" s="1909"/>
      <c r="AJ16" s="1909"/>
      <c r="AK16" s="1909"/>
      <c r="AL16" s="1909"/>
      <c r="AM16" s="1909"/>
      <c r="AN16" s="1909"/>
      <c r="AO16" s="1909"/>
      <c r="AP16" s="1910"/>
      <c r="AQ16" s="1882"/>
      <c r="AR16" s="1911" t="str">
        <f aca="false">'Tables 5Y'!$R$16</f>
        <v>Personnel Wage</v>
      </c>
      <c r="AS16" s="1912"/>
      <c r="AT16" s="1913"/>
      <c r="AU16" s="1913"/>
      <c r="AV16" s="1913"/>
      <c r="AW16" s="1913"/>
      <c r="AX16" s="1913"/>
      <c r="AY16" s="1913"/>
      <c r="AZ16" s="1913"/>
      <c r="BA16" s="1913"/>
      <c r="BB16" s="1913"/>
      <c r="BC16" s="1913"/>
      <c r="BD16" s="1914"/>
      <c r="BE16" s="1466"/>
      <c r="BF16" s="1885"/>
      <c r="BG16" s="1915" t="str">
        <f aca="false">Revenue!A103</f>
        <v>CS-42</v>
      </c>
      <c r="BH16" s="1916" t="n">
        <f aca="false">Revenue!N103</f>
        <v>56998.6607142855</v>
      </c>
      <c r="BI16" s="1916" t="n">
        <f aca="false">Revenue!O103</f>
        <v>63331.8452380953</v>
      </c>
      <c r="BJ16" s="1916" t="n">
        <f aca="false">Revenue!P103</f>
        <v>69665.0297619047</v>
      </c>
      <c r="BK16" s="1916" t="n">
        <f aca="false">Revenue!Q103</f>
        <v>75998.2142857145</v>
      </c>
      <c r="BL16" s="1916" t="n">
        <f aca="false">Revenue!R103</f>
        <v>82331.3988095239</v>
      </c>
      <c r="BM16" s="1916" t="n">
        <f aca="false">Revenue!S103</f>
        <v>88664.5833333332</v>
      </c>
      <c r="BN16" s="1916" t="n">
        <f aca="false">Revenue!T103</f>
        <v>94997.767857143</v>
      </c>
      <c r="BO16" s="1916" t="n">
        <f aca="false">Revenue!U103</f>
        <v>101330.952380952</v>
      </c>
      <c r="BP16" s="1916" t="n">
        <f aca="false">Revenue!V103</f>
        <v>107664.136904762</v>
      </c>
      <c r="BQ16" s="1916" t="n">
        <f aca="false">Revenue!W103</f>
        <v>113997.321428571</v>
      </c>
      <c r="BR16" s="1916" t="n">
        <f aca="false">Revenue!X103</f>
        <v>120330.505952381</v>
      </c>
      <c r="BS16" s="1915" t="n">
        <f aca="false">Revenue!Y103</f>
        <v>126663.690476191</v>
      </c>
      <c r="BT16" s="1888"/>
      <c r="BU16" s="1952" t="str">
        <f aca="false">BG16</f>
        <v>CS-42</v>
      </c>
      <c r="BV16" s="1952" t="n">
        <f aca="false">Revenue!Z71</f>
        <v>5208.33333333333</v>
      </c>
      <c r="BW16" s="1952" t="n">
        <f aca="false">Revenue!AA71</f>
        <v>5208.33333333333</v>
      </c>
      <c r="BX16" s="1953" t="n">
        <f aca="false">Revenue!AB71</f>
        <v>5208.33333333333</v>
      </c>
      <c r="BY16" s="1952" t="n">
        <f aca="false">Revenue!AC71</f>
        <v>5208.33333333333</v>
      </c>
      <c r="BZ16" s="1952" t="n">
        <f aca="false">Revenue!AD71</f>
        <v>5208.33333333333</v>
      </c>
      <c r="CA16" s="1952" t="n">
        <f aca="false">Revenue!AE71</f>
        <v>5208.33333333333</v>
      </c>
      <c r="CB16" s="1952" t="n">
        <f aca="false">Revenue!AF71</f>
        <v>5208.33333333333</v>
      </c>
      <c r="CC16" s="1952" t="n">
        <f aca="false">Revenue!AG71</f>
        <v>5208.33333333333</v>
      </c>
      <c r="CD16" s="1952" t="n">
        <f aca="false">Revenue!AH71</f>
        <v>5208.33333333333</v>
      </c>
      <c r="CE16" s="1952" t="n">
        <f aca="false">Revenue!AI71</f>
        <v>5208.33333333333</v>
      </c>
      <c r="CF16" s="1952" t="n">
        <f aca="false">Revenue!AJ71</f>
        <v>5208.33333333333</v>
      </c>
      <c r="CG16" s="1952" t="n">
        <f aca="false">Revenue!AK71</f>
        <v>5208.33333333333</v>
      </c>
      <c r="CH16" s="1891"/>
      <c r="CI16" s="1954" t="str">
        <f aca="false">BU16</f>
        <v>CS-42</v>
      </c>
      <c r="CJ16" s="1955" t="n">
        <f aca="false">Revenue!AL71</f>
        <v>5208.33333333333</v>
      </c>
      <c r="CK16" s="1955" t="n">
        <f aca="false">Revenue!AM71</f>
        <v>5208.33333333333</v>
      </c>
      <c r="CL16" s="1955" t="n">
        <f aca="false">Revenue!AN71</f>
        <v>5208.33333333333</v>
      </c>
      <c r="CM16" s="1955" t="n">
        <f aca="false">Revenue!AO71</f>
        <v>5208.33333333333</v>
      </c>
      <c r="CN16" s="1955" t="n">
        <f aca="false">Revenue!AP71</f>
        <v>5208.33333333333</v>
      </c>
      <c r="CO16" s="1955" t="n">
        <f aca="false">Revenue!AQ71</f>
        <v>5208.33333333333</v>
      </c>
      <c r="CP16" s="1955" t="n">
        <f aca="false">Revenue!AR71</f>
        <v>5208.33333333333</v>
      </c>
      <c r="CQ16" s="1955" t="n">
        <f aca="false">Revenue!AS71</f>
        <v>5208.33333333333</v>
      </c>
      <c r="CR16" s="1955" t="n">
        <f aca="false">Revenue!AT71</f>
        <v>5208.33333333333</v>
      </c>
      <c r="CS16" s="1955" t="n">
        <f aca="false">Revenue!AU71</f>
        <v>5208.33333333333</v>
      </c>
      <c r="CT16" s="1955" t="n">
        <f aca="false">Revenue!AV71</f>
        <v>5208.33333333333</v>
      </c>
      <c r="CU16" s="1955" t="n">
        <f aca="false">Revenue!AW71</f>
        <v>5208.33333333333</v>
      </c>
      <c r="CV16" s="1888"/>
      <c r="CW16" s="1956" t="str">
        <f aca="false">CI16</f>
        <v>CS-42</v>
      </c>
      <c r="CX16" s="1957" t="n">
        <f aca="false">Revenue!AX71</f>
        <v>5208.33333333333</v>
      </c>
      <c r="CY16" s="1957" t="n">
        <f aca="false">Revenue!AY71</f>
        <v>5208.33333333333</v>
      </c>
      <c r="CZ16" s="1957" t="n">
        <f aca="false">Revenue!AZ71</f>
        <v>5208.33333333333</v>
      </c>
      <c r="DA16" s="1957" t="n">
        <f aca="false">Revenue!BA71</f>
        <v>5208.33333333333</v>
      </c>
      <c r="DB16" s="1957" t="n">
        <f aca="false">Revenue!BB71</f>
        <v>5208.33333333333</v>
      </c>
      <c r="DC16" s="1957" t="n">
        <f aca="false">Revenue!BC71</f>
        <v>5208.33333333333</v>
      </c>
      <c r="DD16" s="1957" t="n">
        <f aca="false">Revenue!BD71</f>
        <v>5208.33333333333</v>
      </c>
      <c r="DE16" s="1957" t="n">
        <f aca="false">Revenue!BE71</f>
        <v>5208.33333333333</v>
      </c>
      <c r="DF16" s="1957" t="n">
        <f aca="false">Revenue!BF71</f>
        <v>5208.33333333333</v>
      </c>
      <c r="DG16" s="1957" t="n">
        <f aca="false">Revenue!BG71</f>
        <v>5208.33333333333</v>
      </c>
      <c r="DH16" s="1957" t="n">
        <f aca="false">Revenue!BH71</f>
        <v>5208.33333333333</v>
      </c>
      <c r="DI16" s="1957" t="n">
        <f aca="false">Revenue!BI71</f>
        <v>5208.33333333333</v>
      </c>
      <c r="DJ16" s="1466"/>
      <c r="DK16" s="1163"/>
      <c r="DL16" s="1958"/>
      <c r="DM16" s="2051" t="n">
        <v>0</v>
      </c>
      <c r="DN16" s="2052" t="n">
        <v>0</v>
      </c>
      <c r="DO16" s="2052" t="n">
        <v>0</v>
      </c>
      <c r="DP16" s="2052" t="n">
        <v>0</v>
      </c>
      <c r="DQ16" s="2052" t="n">
        <v>0</v>
      </c>
      <c r="DR16" s="2052" t="n">
        <v>0</v>
      </c>
      <c r="DS16" s="2052" t="n">
        <v>0</v>
      </c>
      <c r="DT16" s="2052" t="n">
        <v>0</v>
      </c>
      <c r="DU16" s="2052" t="n">
        <v>0</v>
      </c>
      <c r="DV16" s="2052" t="n">
        <v>0</v>
      </c>
      <c r="DW16" s="2052" t="n">
        <v>0</v>
      </c>
      <c r="DX16" s="2053" t="n">
        <v>0</v>
      </c>
      <c r="DY16" s="1893"/>
      <c r="DZ16" s="2054" t="n">
        <v>0</v>
      </c>
      <c r="EA16" s="2055" t="n">
        <v>0</v>
      </c>
      <c r="EB16" s="2056" t="n">
        <v>0</v>
      </c>
      <c r="EC16" s="2056" t="n">
        <v>0</v>
      </c>
      <c r="ED16" s="2056" t="n">
        <v>0</v>
      </c>
      <c r="EE16" s="2056" t="n">
        <v>0</v>
      </c>
      <c r="EF16" s="2056" t="n">
        <v>0</v>
      </c>
      <c r="EG16" s="2056" t="n">
        <v>0</v>
      </c>
      <c r="EH16" s="2056" t="n">
        <v>0</v>
      </c>
      <c r="EI16" s="2056" t="n">
        <v>0</v>
      </c>
      <c r="EJ16" s="2056" t="n">
        <v>0</v>
      </c>
      <c r="EK16" s="2056" t="n">
        <v>0</v>
      </c>
      <c r="EL16" s="2057" t="n">
        <v>0</v>
      </c>
      <c r="EM16" s="1893"/>
      <c r="EN16" s="1966" t="n">
        <v>0</v>
      </c>
      <c r="EO16" s="1979" t="n">
        <v>0</v>
      </c>
      <c r="EP16" s="1980" t="n">
        <v>0</v>
      </c>
      <c r="EQ16" s="1980" t="n">
        <v>0</v>
      </c>
      <c r="ER16" s="1980" t="n">
        <v>0</v>
      </c>
      <c r="ES16" s="1980" t="n">
        <v>0</v>
      </c>
      <c r="ET16" s="1980" t="n">
        <v>0</v>
      </c>
      <c r="EU16" s="1980" t="n">
        <v>0</v>
      </c>
      <c r="EV16" s="1980" t="n">
        <v>0</v>
      </c>
      <c r="EW16" s="1980" t="n">
        <v>0</v>
      </c>
      <c r="EX16" s="1980" t="n">
        <v>0</v>
      </c>
      <c r="EY16" s="1980" t="n">
        <v>0</v>
      </c>
      <c r="EZ16" s="1981" t="n">
        <v>0</v>
      </c>
      <c r="FA16" s="1893"/>
      <c r="FB16" s="1967" t="n">
        <v>0</v>
      </c>
      <c r="FC16" s="2058" t="n">
        <v>0</v>
      </c>
      <c r="FD16" s="2059" t="n">
        <v>0</v>
      </c>
      <c r="FE16" s="2059" t="n">
        <v>0</v>
      </c>
      <c r="FF16" s="2059" t="n">
        <v>0</v>
      </c>
      <c r="FG16" s="2059" t="n">
        <v>0</v>
      </c>
      <c r="FH16" s="2059" t="n">
        <v>0</v>
      </c>
      <c r="FI16" s="2059" t="n">
        <v>0</v>
      </c>
      <c r="FJ16" s="2059" t="n">
        <v>0</v>
      </c>
      <c r="FK16" s="2059" t="n">
        <v>0</v>
      </c>
      <c r="FL16" s="2059" t="n">
        <v>0</v>
      </c>
      <c r="FM16" s="2059" t="n">
        <v>0</v>
      </c>
      <c r="FN16" s="2060" t="n">
        <v>0</v>
      </c>
      <c r="FO16" s="1466"/>
      <c r="FP16" s="1896"/>
      <c r="FQ16" s="1936" t="str">
        <f aca="false">'P&amp;L'!A36</f>
        <v/>
      </c>
      <c r="FR16" s="1971" t="n">
        <f aca="false">'P&amp;L'!N36</f>
        <v>0</v>
      </c>
      <c r="FS16" s="1972" t="n">
        <f aca="false">'P&amp;L'!O36</f>
        <v>0</v>
      </c>
      <c r="FT16" s="1972" t="n">
        <f aca="false">'P&amp;L'!P36</f>
        <v>0</v>
      </c>
      <c r="FU16" s="1972" t="n">
        <f aca="false">'P&amp;L'!Q36</f>
        <v>0</v>
      </c>
      <c r="FV16" s="1972" t="n">
        <f aca="false">'P&amp;L'!R36</f>
        <v>0</v>
      </c>
      <c r="FW16" s="1972" t="n">
        <f aca="false">'P&amp;L'!S36</f>
        <v>0</v>
      </c>
      <c r="FX16" s="1972" t="n">
        <f aca="false">'P&amp;L'!T36</f>
        <v>0</v>
      </c>
      <c r="FY16" s="1972" t="n">
        <f aca="false">'P&amp;L'!U36</f>
        <v>0</v>
      </c>
      <c r="FZ16" s="1972" t="n">
        <f aca="false">'P&amp;L'!V36</f>
        <v>0</v>
      </c>
      <c r="GA16" s="1972" t="n">
        <f aca="false">'P&amp;L'!W36</f>
        <v>0</v>
      </c>
      <c r="GB16" s="1972" t="n">
        <f aca="false">'P&amp;L'!X36</f>
        <v>0</v>
      </c>
      <c r="GC16" s="1973" t="n">
        <f aca="false">'P&amp;L'!Y36</f>
        <v>0</v>
      </c>
      <c r="GD16" s="1893"/>
      <c r="GE16" s="1940" t="str">
        <f aca="false">FQ16</f>
        <v/>
      </c>
      <c r="GF16" s="1975" t="n">
        <f aca="false">'P&amp;L'!Z36</f>
        <v>0</v>
      </c>
      <c r="GG16" s="1976" t="n">
        <f aca="false">'P&amp;L'!AA36</f>
        <v>0</v>
      </c>
      <c r="GH16" s="1976" t="n">
        <f aca="false">'P&amp;L'!AB36</f>
        <v>0</v>
      </c>
      <c r="GI16" s="1976" t="n">
        <f aca="false">'P&amp;L'!AC36</f>
        <v>0</v>
      </c>
      <c r="GJ16" s="1976" t="n">
        <f aca="false">'P&amp;L'!AD36</f>
        <v>0</v>
      </c>
      <c r="GK16" s="1976" t="n">
        <f aca="false">'P&amp;L'!AE36</f>
        <v>0</v>
      </c>
      <c r="GL16" s="1976" t="n">
        <f aca="false">'P&amp;L'!AF36</f>
        <v>0</v>
      </c>
      <c r="GM16" s="1976" t="n">
        <f aca="false">'P&amp;L'!AG36</f>
        <v>0</v>
      </c>
      <c r="GN16" s="1976" t="n">
        <f aca="false">'P&amp;L'!AH36</f>
        <v>0</v>
      </c>
      <c r="GO16" s="1976" t="n">
        <f aca="false">'P&amp;L'!AI36</f>
        <v>0</v>
      </c>
      <c r="GP16" s="1976" t="n">
        <f aca="false">'P&amp;L'!AJ36</f>
        <v>0</v>
      </c>
      <c r="GQ16" s="1977" t="n">
        <f aca="false">'P&amp;L'!AK36</f>
        <v>0</v>
      </c>
      <c r="GR16" s="1893"/>
      <c r="GS16" s="1944" t="str">
        <f aca="false">GE16</f>
        <v/>
      </c>
      <c r="GT16" s="1979" t="n">
        <f aca="false">'P&amp;L'!AL36</f>
        <v>0</v>
      </c>
      <c r="GU16" s="1980" t="n">
        <f aca="false">'P&amp;L'!AM36</f>
        <v>0</v>
      </c>
      <c r="GV16" s="1980" t="n">
        <f aca="false">'P&amp;L'!AN36</f>
        <v>0</v>
      </c>
      <c r="GW16" s="1980" t="n">
        <f aca="false">'P&amp;L'!AO36</f>
        <v>0</v>
      </c>
      <c r="GX16" s="1980" t="n">
        <f aca="false">'P&amp;L'!AP36</f>
        <v>0</v>
      </c>
      <c r="GY16" s="1980" t="n">
        <f aca="false">'P&amp;L'!AQ36</f>
        <v>0</v>
      </c>
      <c r="GZ16" s="1980" t="n">
        <f aca="false">'P&amp;L'!AR36</f>
        <v>0</v>
      </c>
      <c r="HA16" s="1980" t="n">
        <f aca="false">'P&amp;L'!AS36</f>
        <v>0</v>
      </c>
      <c r="HB16" s="1980" t="n">
        <f aca="false">'P&amp;L'!AT36</f>
        <v>0</v>
      </c>
      <c r="HC16" s="1980" t="n">
        <f aca="false">'P&amp;L'!AU36</f>
        <v>0</v>
      </c>
      <c r="HD16" s="1980" t="n">
        <f aca="false">'P&amp;L'!AV36</f>
        <v>0</v>
      </c>
      <c r="HE16" s="1981" t="n">
        <f aca="false">'P&amp;L'!AW36</f>
        <v>0</v>
      </c>
      <c r="HF16" s="1896"/>
      <c r="HG16" s="1948" t="str">
        <f aca="false">GS16</f>
        <v/>
      </c>
      <c r="HH16" s="1983" t="n">
        <f aca="false">'P&amp;L'!AX36</f>
        <v>0</v>
      </c>
      <c r="HI16" s="1984" t="n">
        <f aca="false">'P&amp;L'!AY36</f>
        <v>0</v>
      </c>
      <c r="HJ16" s="1984" t="n">
        <f aca="false">'P&amp;L'!AZ36</f>
        <v>0</v>
      </c>
      <c r="HK16" s="1984" t="n">
        <f aca="false">'P&amp;L'!BA36</f>
        <v>0</v>
      </c>
      <c r="HL16" s="1984" t="n">
        <f aca="false">'P&amp;L'!BB36</f>
        <v>0</v>
      </c>
      <c r="HM16" s="1984" t="n">
        <f aca="false">'P&amp;L'!BC36</f>
        <v>0</v>
      </c>
      <c r="HN16" s="1984" t="n">
        <f aca="false">'P&amp;L'!BD36</f>
        <v>0</v>
      </c>
      <c r="HO16" s="1984" t="n">
        <f aca="false">'P&amp;L'!BE36</f>
        <v>0</v>
      </c>
      <c r="HP16" s="1984" t="n">
        <f aca="false">'P&amp;L'!BF36</f>
        <v>0</v>
      </c>
      <c r="HQ16" s="1984" t="n">
        <f aca="false">'P&amp;L'!BG36</f>
        <v>0</v>
      </c>
      <c r="HR16" s="1984" t="n">
        <f aca="false">'P&amp;L'!BH36</f>
        <v>0</v>
      </c>
      <c r="HS16" s="1985" t="n">
        <f aca="false">'P&amp;L'!BI36</f>
        <v>0</v>
      </c>
    </row>
    <row r="17" customFormat="false" ht="10.5" hidden="false" customHeight="true" outlineLevel="0" collapsed="false">
      <c r="A17" s="1641"/>
      <c r="B17" s="1936" t="str">
        <f aca="false">Personnel!A17</f>
        <v>Trades</v>
      </c>
      <c r="C17" s="1971" t="n">
        <f aca="false">Personnel!P17</f>
        <v>327600</v>
      </c>
      <c r="D17" s="1972" t="n">
        <f aca="false">Personnel!Q17</f>
        <v>327600</v>
      </c>
      <c r="E17" s="1972" t="n">
        <f aca="false">Personnel!R17</f>
        <v>436800</v>
      </c>
      <c r="F17" s="1972" t="n">
        <f aca="false">Personnel!S17</f>
        <v>546000</v>
      </c>
      <c r="G17" s="1972" t="n">
        <f aca="false">Personnel!T17</f>
        <v>655200</v>
      </c>
      <c r="H17" s="1972" t="n">
        <f aca="false">Personnel!U17</f>
        <v>764400</v>
      </c>
      <c r="I17" s="1972" t="n">
        <f aca="false">Personnel!V17</f>
        <v>873600</v>
      </c>
      <c r="J17" s="1972" t="n">
        <f aca="false">Personnel!W17</f>
        <v>873600</v>
      </c>
      <c r="K17" s="1972" t="n">
        <f aca="false">Personnel!X17</f>
        <v>873600</v>
      </c>
      <c r="L17" s="1972" t="n">
        <f aca="false">Personnel!Y17</f>
        <v>873600</v>
      </c>
      <c r="M17" s="1972" t="n">
        <f aca="false">Personnel!Z17</f>
        <v>873600</v>
      </c>
      <c r="N17" s="1973" t="n">
        <f aca="false">Personnel!AA17</f>
        <v>873600</v>
      </c>
      <c r="O17" s="1882"/>
      <c r="P17" s="1940" t="str">
        <f aca="false">B17</f>
        <v>Trades</v>
      </c>
      <c r="Q17" s="1975" t="n">
        <f aca="false">Personnel!AB17</f>
        <v>917280</v>
      </c>
      <c r="R17" s="1976" t="n">
        <f aca="false">Personnel!AC17</f>
        <v>917280</v>
      </c>
      <c r="S17" s="1976" t="n">
        <f aca="false">Personnel!AD17</f>
        <v>917280</v>
      </c>
      <c r="T17" s="1976" t="n">
        <f aca="false">Personnel!AE17</f>
        <v>917280</v>
      </c>
      <c r="U17" s="1976" t="n">
        <f aca="false">Personnel!AF17</f>
        <v>917280</v>
      </c>
      <c r="V17" s="1976" t="n">
        <f aca="false">Personnel!AG17</f>
        <v>917280</v>
      </c>
      <c r="W17" s="1976" t="n">
        <f aca="false">Personnel!AH17</f>
        <v>917280</v>
      </c>
      <c r="X17" s="1976" t="n">
        <f aca="false">Personnel!AI17</f>
        <v>917280</v>
      </c>
      <c r="Y17" s="1976" t="n">
        <f aca="false">Personnel!AJ17</f>
        <v>917280</v>
      </c>
      <c r="Z17" s="1976" t="n">
        <f aca="false">Personnel!AK17</f>
        <v>917280</v>
      </c>
      <c r="AA17" s="1976" t="n">
        <f aca="false">Personnel!AL17</f>
        <v>917280</v>
      </c>
      <c r="AB17" s="1977" t="n">
        <f aca="false">Personnel!AM17</f>
        <v>917280</v>
      </c>
      <c r="AC17" s="1882"/>
      <c r="AD17" s="1944" t="str">
        <f aca="false">P17</f>
        <v>Trades</v>
      </c>
      <c r="AE17" s="1979" t="n">
        <f aca="false">Personnel!AN17</f>
        <v>963144</v>
      </c>
      <c r="AF17" s="1980" t="n">
        <f aca="false">Personnel!AO17</f>
        <v>963144</v>
      </c>
      <c r="AG17" s="1980" t="n">
        <f aca="false">Personnel!AP17</f>
        <v>963144</v>
      </c>
      <c r="AH17" s="1980" t="n">
        <f aca="false">Personnel!AQ17</f>
        <v>963144</v>
      </c>
      <c r="AI17" s="1980" t="n">
        <f aca="false">Personnel!AR17</f>
        <v>963144</v>
      </c>
      <c r="AJ17" s="1980" t="n">
        <f aca="false">Personnel!AS17</f>
        <v>963144</v>
      </c>
      <c r="AK17" s="1980" t="n">
        <f aca="false">Personnel!AT17</f>
        <v>963144</v>
      </c>
      <c r="AL17" s="1980" t="n">
        <f aca="false">Personnel!AU17</f>
        <v>963144</v>
      </c>
      <c r="AM17" s="1980" t="n">
        <f aca="false">Personnel!AV17</f>
        <v>963144</v>
      </c>
      <c r="AN17" s="1980" t="n">
        <f aca="false">Personnel!AW17</f>
        <v>963144</v>
      </c>
      <c r="AO17" s="1980" t="n">
        <f aca="false">Personnel!AX17</f>
        <v>963144</v>
      </c>
      <c r="AP17" s="1981" t="n">
        <f aca="false">Personnel!AY17</f>
        <v>963144</v>
      </c>
      <c r="AQ17" s="1882"/>
      <c r="AR17" s="1948" t="str">
        <f aca="false">AD17</f>
        <v>Trades</v>
      </c>
      <c r="AS17" s="1983" t="n">
        <f aca="false">Personnel!AZ17</f>
        <v>1011301.2</v>
      </c>
      <c r="AT17" s="1984" t="n">
        <f aca="false">Personnel!BA17</f>
        <v>1011301.2</v>
      </c>
      <c r="AU17" s="1984" t="n">
        <f aca="false">Personnel!BB17</f>
        <v>1011301.2</v>
      </c>
      <c r="AV17" s="1984" t="n">
        <f aca="false">Personnel!BC17</f>
        <v>1011301.2</v>
      </c>
      <c r="AW17" s="1984" t="n">
        <f aca="false">Personnel!BD17</f>
        <v>1011301.2</v>
      </c>
      <c r="AX17" s="1984" t="n">
        <f aca="false">Personnel!BE17</f>
        <v>1011301.2</v>
      </c>
      <c r="AY17" s="1984" t="n">
        <f aca="false">Personnel!BF17</f>
        <v>1011301.2</v>
      </c>
      <c r="AZ17" s="1984" t="n">
        <f aca="false">Personnel!BG17</f>
        <v>1011301.2</v>
      </c>
      <c r="BA17" s="1984" t="n">
        <f aca="false">Personnel!BH17</f>
        <v>1011301.2</v>
      </c>
      <c r="BB17" s="1984" t="n">
        <f aca="false">Personnel!BI17</f>
        <v>1011301.2</v>
      </c>
      <c r="BC17" s="1984" t="n">
        <f aca="false">Personnel!BJ17</f>
        <v>1011301.2</v>
      </c>
      <c r="BD17" s="1985" t="n">
        <f aca="false">Personnel!BK17</f>
        <v>1011301.2</v>
      </c>
      <c r="BE17" s="1466"/>
      <c r="BF17" s="1885"/>
      <c r="BG17" s="1915" t="str">
        <f aca="false">Revenue!A104</f>
        <v>CS-48</v>
      </c>
      <c r="BH17" s="1916" t="n">
        <f aca="false">Revenue!N104</f>
        <v>56998.6607142855</v>
      </c>
      <c r="BI17" s="1916" t="n">
        <f aca="false">Revenue!O104</f>
        <v>63331.8452380953</v>
      </c>
      <c r="BJ17" s="1916" t="n">
        <f aca="false">Revenue!P104</f>
        <v>69665.0297619047</v>
      </c>
      <c r="BK17" s="1916" t="n">
        <f aca="false">Revenue!Q104</f>
        <v>75998.2142857145</v>
      </c>
      <c r="BL17" s="1916" t="n">
        <f aca="false">Revenue!R104</f>
        <v>82331.3988095239</v>
      </c>
      <c r="BM17" s="1916" t="n">
        <f aca="false">Revenue!S104</f>
        <v>88664.5833333332</v>
      </c>
      <c r="BN17" s="1916" t="n">
        <f aca="false">Revenue!T104</f>
        <v>94997.767857143</v>
      </c>
      <c r="BO17" s="1916" t="n">
        <f aca="false">Revenue!U104</f>
        <v>101330.952380952</v>
      </c>
      <c r="BP17" s="1916" t="n">
        <f aca="false">Revenue!V104</f>
        <v>107664.136904762</v>
      </c>
      <c r="BQ17" s="1916" t="n">
        <f aca="false">Revenue!W104</f>
        <v>113997.321428571</v>
      </c>
      <c r="BR17" s="1916" t="n">
        <f aca="false">Revenue!X104</f>
        <v>120330.505952381</v>
      </c>
      <c r="BS17" s="1915" t="n">
        <f aca="false">Revenue!Y104</f>
        <v>126663.690476191</v>
      </c>
      <c r="BT17" s="1888"/>
      <c r="BU17" s="1952" t="str">
        <f aca="false">BG17</f>
        <v>CS-48</v>
      </c>
      <c r="BV17" s="1952" t="n">
        <f aca="false">Revenue!Z72</f>
        <v>5208.33333333333</v>
      </c>
      <c r="BW17" s="1952" t="n">
        <f aca="false">Revenue!AA72</f>
        <v>5208.33333333333</v>
      </c>
      <c r="BX17" s="1953" t="n">
        <f aca="false">Revenue!AB72</f>
        <v>5208.33333333333</v>
      </c>
      <c r="BY17" s="1952" t="n">
        <f aca="false">Revenue!AC72</f>
        <v>5208.33333333333</v>
      </c>
      <c r="BZ17" s="1952" t="n">
        <f aca="false">Revenue!AD72</f>
        <v>5208.33333333333</v>
      </c>
      <c r="CA17" s="1952" t="n">
        <f aca="false">Revenue!AE72</f>
        <v>5208.33333333333</v>
      </c>
      <c r="CB17" s="1952" t="n">
        <f aca="false">Revenue!AF72</f>
        <v>5208.33333333333</v>
      </c>
      <c r="CC17" s="1952" t="n">
        <f aca="false">Revenue!AG72</f>
        <v>5208.33333333333</v>
      </c>
      <c r="CD17" s="1952" t="n">
        <f aca="false">Revenue!AH72</f>
        <v>5208.33333333333</v>
      </c>
      <c r="CE17" s="1952" t="n">
        <f aca="false">Revenue!AI72</f>
        <v>5208.33333333333</v>
      </c>
      <c r="CF17" s="1952" t="n">
        <f aca="false">Revenue!AJ72</f>
        <v>5208.33333333333</v>
      </c>
      <c r="CG17" s="1952" t="n">
        <f aca="false">Revenue!AK72</f>
        <v>5208.33333333333</v>
      </c>
      <c r="CH17" s="1891"/>
      <c r="CI17" s="1954" t="str">
        <f aca="false">BU17</f>
        <v>CS-48</v>
      </c>
      <c r="CJ17" s="1955" t="n">
        <f aca="false">Revenue!AL72</f>
        <v>5208.33333333333</v>
      </c>
      <c r="CK17" s="1955" t="n">
        <f aca="false">Revenue!AM72</f>
        <v>5208.33333333333</v>
      </c>
      <c r="CL17" s="1955" t="n">
        <f aca="false">Revenue!AN72</f>
        <v>5208.33333333333</v>
      </c>
      <c r="CM17" s="1955" t="n">
        <f aca="false">Revenue!AO72</f>
        <v>5208.33333333333</v>
      </c>
      <c r="CN17" s="1955" t="n">
        <f aca="false">Revenue!AP72</f>
        <v>5208.33333333333</v>
      </c>
      <c r="CO17" s="1955" t="n">
        <f aca="false">Revenue!AQ72</f>
        <v>5208.33333333333</v>
      </c>
      <c r="CP17" s="1955" t="n">
        <f aca="false">Revenue!AR72</f>
        <v>5208.33333333333</v>
      </c>
      <c r="CQ17" s="1955" t="n">
        <f aca="false">Revenue!AS72</f>
        <v>5208.33333333333</v>
      </c>
      <c r="CR17" s="1955" t="n">
        <f aca="false">Revenue!AT72</f>
        <v>5208.33333333333</v>
      </c>
      <c r="CS17" s="1955" t="n">
        <f aca="false">Revenue!AU72</f>
        <v>5208.33333333333</v>
      </c>
      <c r="CT17" s="1955" t="n">
        <f aca="false">Revenue!AV72</f>
        <v>5208.33333333333</v>
      </c>
      <c r="CU17" s="1955" t="n">
        <f aca="false">Revenue!AW72</f>
        <v>5208.33333333333</v>
      </c>
      <c r="CV17" s="1888"/>
      <c r="CW17" s="1956" t="str">
        <f aca="false">CI17</f>
        <v>CS-48</v>
      </c>
      <c r="CX17" s="1957" t="n">
        <f aca="false">Revenue!AX72</f>
        <v>5208.33333333333</v>
      </c>
      <c r="CY17" s="1957" t="n">
        <f aca="false">Revenue!AY72</f>
        <v>5208.33333333333</v>
      </c>
      <c r="CZ17" s="1957" t="n">
        <f aca="false">Revenue!AZ72</f>
        <v>5208.33333333333</v>
      </c>
      <c r="DA17" s="1957" t="n">
        <f aca="false">Revenue!BA72</f>
        <v>5208.33333333333</v>
      </c>
      <c r="DB17" s="1957" t="n">
        <f aca="false">Revenue!BB72</f>
        <v>5208.33333333333</v>
      </c>
      <c r="DC17" s="1957" t="n">
        <f aca="false">Revenue!BC72</f>
        <v>5208.33333333333</v>
      </c>
      <c r="DD17" s="1957" t="n">
        <f aca="false">Revenue!BD72</f>
        <v>5208.33333333333</v>
      </c>
      <c r="DE17" s="1957" t="n">
        <f aca="false">Revenue!BE72</f>
        <v>5208.33333333333</v>
      </c>
      <c r="DF17" s="1957" t="n">
        <f aca="false">Revenue!BF72</f>
        <v>5208.33333333333</v>
      </c>
      <c r="DG17" s="1957" t="n">
        <f aca="false">Revenue!BG72</f>
        <v>5208.33333333333</v>
      </c>
      <c r="DH17" s="1957" t="n">
        <f aca="false">Revenue!BH72</f>
        <v>5208.33333333333</v>
      </c>
      <c r="DI17" s="1957" t="n">
        <f aca="false">Revenue!BI72</f>
        <v>5208.33333333333</v>
      </c>
      <c r="DJ17" s="1466"/>
      <c r="DK17" s="1163"/>
      <c r="DL17" s="1958"/>
      <c r="DM17" s="2051" t="n">
        <v>0</v>
      </c>
      <c r="DN17" s="2052" t="n">
        <v>0</v>
      </c>
      <c r="DO17" s="2052" t="n">
        <v>0</v>
      </c>
      <c r="DP17" s="2052" t="n">
        <v>0</v>
      </c>
      <c r="DQ17" s="2052" t="n">
        <v>0</v>
      </c>
      <c r="DR17" s="2052" t="n">
        <v>0</v>
      </c>
      <c r="DS17" s="2052" t="n">
        <v>0</v>
      </c>
      <c r="DT17" s="2052" t="n">
        <v>0</v>
      </c>
      <c r="DU17" s="2052" t="n">
        <v>0</v>
      </c>
      <c r="DV17" s="2052" t="n">
        <v>0</v>
      </c>
      <c r="DW17" s="2052" t="n">
        <v>0</v>
      </c>
      <c r="DX17" s="2053" t="n">
        <v>0</v>
      </c>
      <c r="DY17" s="1893"/>
      <c r="DZ17" s="2054" t="n">
        <v>0</v>
      </c>
      <c r="EA17" s="2055" t="n">
        <v>0</v>
      </c>
      <c r="EB17" s="2056" t="n">
        <v>0</v>
      </c>
      <c r="EC17" s="2056" t="n">
        <v>0</v>
      </c>
      <c r="ED17" s="2056" t="n">
        <v>0</v>
      </c>
      <c r="EE17" s="2056" t="n">
        <v>0</v>
      </c>
      <c r="EF17" s="2056" t="n">
        <v>0</v>
      </c>
      <c r="EG17" s="2056" t="n">
        <v>0</v>
      </c>
      <c r="EH17" s="2056" t="n">
        <v>0</v>
      </c>
      <c r="EI17" s="2056" t="n">
        <v>0</v>
      </c>
      <c r="EJ17" s="2056" t="n">
        <v>0</v>
      </c>
      <c r="EK17" s="2056" t="n">
        <v>0</v>
      </c>
      <c r="EL17" s="2057" t="n">
        <v>0</v>
      </c>
      <c r="EM17" s="1893"/>
      <c r="EN17" s="1966" t="n">
        <v>0</v>
      </c>
      <c r="EO17" s="1979" t="n">
        <v>0</v>
      </c>
      <c r="EP17" s="1980" t="n">
        <v>0</v>
      </c>
      <c r="EQ17" s="1980" t="n">
        <v>0</v>
      </c>
      <c r="ER17" s="1980" t="n">
        <v>0</v>
      </c>
      <c r="ES17" s="1980" t="n">
        <v>0</v>
      </c>
      <c r="ET17" s="1980" t="n">
        <v>0</v>
      </c>
      <c r="EU17" s="1980" t="n">
        <v>0</v>
      </c>
      <c r="EV17" s="1980" t="n">
        <v>0</v>
      </c>
      <c r="EW17" s="1980" t="n">
        <v>0</v>
      </c>
      <c r="EX17" s="1980" t="n">
        <v>0</v>
      </c>
      <c r="EY17" s="1980" t="n">
        <v>0</v>
      </c>
      <c r="EZ17" s="1981" t="n">
        <v>0</v>
      </c>
      <c r="FA17" s="1893"/>
      <c r="FB17" s="1967" t="n">
        <v>0</v>
      </c>
      <c r="FC17" s="2058" t="n">
        <v>0</v>
      </c>
      <c r="FD17" s="2059" t="n">
        <v>0</v>
      </c>
      <c r="FE17" s="2059" t="n">
        <v>0</v>
      </c>
      <c r="FF17" s="2059" t="n">
        <v>0</v>
      </c>
      <c r="FG17" s="2059" t="n">
        <v>0</v>
      </c>
      <c r="FH17" s="2059" t="n">
        <v>0</v>
      </c>
      <c r="FI17" s="2059" t="n">
        <v>0</v>
      </c>
      <c r="FJ17" s="2059" t="n">
        <v>0</v>
      </c>
      <c r="FK17" s="2059" t="n">
        <v>0</v>
      </c>
      <c r="FL17" s="2059" t="n">
        <v>0</v>
      </c>
      <c r="FM17" s="2059" t="n">
        <v>0</v>
      </c>
      <c r="FN17" s="2060" t="n">
        <v>0</v>
      </c>
      <c r="FO17" s="1466"/>
      <c r="FP17" s="1896"/>
      <c r="FQ17" s="1936" t="str">
        <f aca="false">'P&amp;L'!A37</f>
        <v/>
      </c>
      <c r="FR17" s="1971" t="n">
        <f aca="false">'P&amp;L'!N37</f>
        <v>0</v>
      </c>
      <c r="FS17" s="1972" t="n">
        <f aca="false">'P&amp;L'!O37</f>
        <v>0</v>
      </c>
      <c r="FT17" s="1972" t="n">
        <f aca="false">'P&amp;L'!P37</f>
        <v>0</v>
      </c>
      <c r="FU17" s="1972" t="n">
        <f aca="false">'P&amp;L'!Q37</f>
        <v>0</v>
      </c>
      <c r="FV17" s="1972" t="n">
        <f aca="false">'P&amp;L'!R37</f>
        <v>0</v>
      </c>
      <c r="FW17" s="1972" t="n">
        <f aca="false">'P&amp;L'!S37</f>
        <v>0</v>
      </c>
      <c r="FX17" s="1972" t="n">
        <f aca="false">'P&amp;L'!T37</f>
        <v>0</v>
      </c>
      <c r="FY17" s="1972" t="n">
        <f aca="false">'P&amp;L'!U37</f>
        <v>0</v>
      </c>
      <c r="FZ17" s="1972" t="n">
        <f aca="false">'P&amp;L'!V37</f>
        <v>0</v>
      </c>
      <c r="GA17" s="1972" t="n">
        <f aca="false">'P&amp;L'!W37</f>
        <v>0</v>
      </c>
      <c r="GB17" s="1972" t="n">
        <f aca="false">'P&amp;L'!X37</f>
        <v>0</v>
      </c>
      <c r="GC17" s="1973" t="n">
        <f aca="false">'P&amp;L'!Y37</f>
        <v>0</v>
      </c>
      <c r="GD17" s="1893"/>
      <c r="GE17" s="1940" t="str">
        <f aca="false">FQ17</f>
        <v/>
      </c>
      <c r="GF17" s="1975" t="n">
        <f aca="false">'P&amp;L'!Z37</f>
        <v>0</v>
      </c>
      <c r="GG17" s="1976" t="n">
        <f aca="false">'P&amp;L'!AA37</f>
        <v>0</v>
      </c>
      <c r="GH17" s="1976" t="n">
        <f aca="false">'P&amp;L'!AB37</f>
        <v>0</v>
      </c>
      <c r="GI17" s="1976" t="n">
        <f aca="false">'P&amp;L'!AC37</f>
        <v>0</v>
      </c>
      <c r="GJ17" s="1976" t="n">
        <f aca="false">'P&amp;L'!AD37</f>
        <v>0</v>
      </c>
      <c r="GK17" s="1976" t="n">
        <f aca="false">'P&amp;L'!AE37</f>
        <v>0</v>
      </c>
      <c r="GL17" s="1976" t="n">
        <f aca="false">'P&amp;L'!AF37</f>
        <v>0</v>
      </c>
      <c r="GM17" s="1976" t="n">
        <f aca="false">'P&amp;L'!AG37</f>
        <v>0</v>
      </c>
      <c r="GN17" s="1976" t="n">
        <f aca="false">'P&amp;L'!AH37</f>
        <v>0</v>
      </c>
      <c r="GO17" s="1976" t="n">
        <f aca="false">'P&amp;L'!AI37</f>
        <v>0</v>
      </c>
      <c r="GP17" s="1976" t="n">
        <f aca="false">'P&amp;L'!AJ37</f>
        <v>0</v>
      </c>
      <c r="GQ17" s="1977" t="n">
        <f aca="false">'P&amp;L'!AK37</f>
        <v>0</v>
      </c>
      <c r="GR17" s="1893"/>
      <c r="GS17" s="1944" t="str">
        <f aca="false">GE17</f>
        <v/>
      </c>
      <c r="GT17" s="1979" t="n">
        <f aca="false">'P&amp;L'!AL37</f>
        <v>0</v>
      </c>
      <c r="GU17" s="1980" t="n">
        <f aca="false">'P&amp;L'!AM37</f>
        <v>0</v>
      </c>
      <c r="GV17" s="1980" t="n">
        <f aca="false">'P&amp;L'!AN37</f>
        <v>0</v>
      </c>
      <c r="GW17" s="1980" t="n">
        <f aca="false">'P&amp;L'!AO37</f>
        <v>0</v>
      </c>
      <c r="GX17" s="1980" t="n">
        <f aca="false">'P&amp;L'!AP37</f>
        <v>0</v>
      </c>
      <c r="GY17" s="1980" t="n">
        <f aca="false">'P&amp;L'!AQ37</f>
        <v>0</v>
      </c>
      <c r="GZ17" s="1980" t="n">
        <f aca="false">'P&amp;L'!AR37</f>
        <v>0</v>
      </c>
      <c r="HA17" s="1980" t="n">
        <f aca="false">'P&amp;L'!AS37</f>
        <v>0</v>
      </c>
      <c r="HB17" s="1980" t="n">
        <f aca="false">'P&amp;L'!AT37</f>
        <v>0</v>
      </c>
      <c r="HC17" s="1980" t="n">
        <f aca="false">'P&amp;L'!AU37</f>
        <v>0</v>
      </c>
      <c r="HD17" s="1980" t="n">
        <f aca="false">'P&amp;L'!AV37</f>
        <v>0</v>
      </c>
      <c r="HE17" s="1981" t="n">
        <f aca="false">'P&amp;L'!AW37</f>
        <v>0</v>
      </c>
      <c r="HF17" s="1896"/>
      <c r="HG17" s="1948" t="str">
        <f aca="false">GS17</f>
        <v/>
      </c>
      <c r="HH17" s="1983" t="n">
        <f aca="false">'P&amp;L'!AX37</f>
        <v>0</v>
      </c>
      <c r="HI17" s="1984" t="n">
        <f aca="false">'P&amp;L'!AY37</f>
        <v>0</v>
      </c>
      <c r="HJ17" s="1984" t="n">
        <f aca="false">'P&amp;L'!AZ37</f>
        <v>0</v>
      </c>
      <c r="HK17" s="1984" t="n">
        <f aca="false">'P&amp;L'!BA37</f>
        <v>0</v>
      </c>
      <c r="HL17" s="1984" t="n">
        <f aca="false">'P&amp;L'!BB37</f>
        <v>0</v>
      </c>
      <c r="HM17" s="1984" t="n">
        <f aca="false">'P&amp;L'!BC37</f>
        <v>0</v>
      </c>
      <c r="HN17" s="1984" t="n">
        <f aca="false">'P&amp;L'!BD37</f>
        <v>0</v>
      </c>
      <c r="HO17" s="1984" t="n">
        <f aca="false">'P&amp;L'!BE37</f>
        <v>0</v>
      </c>
      <c r="HP17" s="1984" t="n">
        <f aca="false">'P&amp;L'!BF37</f>
        <v>0</v>
      </c>
      <c r="HQ17" s="1984" t="n">
        <f aca="false">'P&amp;L'!BG37</f>
        <v>0</v>
      </c>
      <c r="HR17" s="1984" t="n">
        <f aca="false">'P&amp;L'!BH37</f>
        <v>0</v>
      </c>
      <c r="HS17" s="1985" t="n">
        <f aca="false">'P&amp;L'!BI37</f>
        <v>0</v>
      </c>
    </row>
    <row r="18" customFormat="false" ht="10.5" hidden="false" customHeight="true" outlineLevel="0" collapsed="false">
      <c r="A18" s="1641"/>
      <c r="B18" s="1936" t="str">
        <f aca="false">Personnel!A18</f>
        <v>Admin</v>
      </c>
      <c r="C18" s="1971" t="n">
        <f aca="false">Personnel!P18</f>
        <v>87499.958</v>
      </c>
      <c r="D18" s="1972" t="n">
        <f aca="false">Personnel!Q18</f>
        <v>87499.958</v>
      </c>
      <c r="E18" s="1972" t="n">
        <f aca="false">Personnel!R18</f>
        <v>87499.958</v>
      </c>
      <c r="F18" s="1972" t="n">
        <f aca="false">Personnel!S18</f>
        <v>87499.958</v>
      </c>
      <c r="G18" s="1972" t="n">
        <f aca="false">Personnel!T18</f>
        <v>87499.958</v>
      </c>
      <c r="H18" s="1972" t="n">
        <f aca="false">Personnel!U18</f>
        <v>87499.958</v>
      </c>
      <c r="I18" s="1972" t="n">
        <f aca="false">Personnel!V18</f>
        <v>87499.958</v>
      </c>
      <c r="J18" s="1972" t="n">
        <f aca="false">Personnel!W18</f>
        <v>87499.958</v>
      </c>
      <c r="K18" s="1972" t="n">
        <f aca="false">Personnel!X18</f>
        <v>87499.958</v>
      </c>
      <c r="L18" s="1972" t="n">
        <f aca="false">Personnel!Y18</f>
        <v>87499.958</v>
      </c>
      <c r="M18" s="1972" t="n">
        <f aca="false">Personnel!Z18</f>
        <v>87499.958</v>
      </c>
      <c r="N18" s="1973" t="n">
        <f aca="false">Personnel!AA18</f>
        <v>87499.958</v>
      </c>
      <c r="O18" s="1882"/>
      <c r="P18" s="1940" t="str">
        <f aca="false">B18</f>
        <v>Admin</v>
      </c>
      <c r="Q18" s="1975" t="n">
        <f aca="false">Personnel!AB18</f>
        <v>137812.43385</v>
      </c>
      <c r="R18" s="1976" t="n">
        <f aca="false">Personnel!AC18</f>
        <v>137812.43385</v>
      </c>
      <c r="S18" s="1976" t="n">
        <f aca="false">Personnel!AD18</f>
        <v>137812.43385</v>
      </c>
      <c r="T18" s="1976" t="n">
        <f aca="false">Personnel!AE18</f>
        <v>137812.43385</v>
      </c>
      <c r="U18" s="1976" t="n">
        <f aca="false">Personnel!AF18</f>
        <v>137812.43385</v>
      </c>
      <c r="V18" s="1976" t="n">
        <f aca="false">Personnel!AG18</f>
        <v>137812.43385</v>
      </c>
      <c r="W18" s="1976" t="n">
        <f aca="false">Personnel!AH18</f>
        <v>137812.43385</v>
      </c>
      <c r="X18" s="1976" t="n">
        <f aca="false">Personnel!AI18</f>
        <v>137812.43385</v>
      </c>
      <c r="Y18" s="1976" t="n">
        <f aca="false">Personnel!AJ18</f>
        <v>137812.43385</v>
      </c>
      <c r="Z18" s="1976" t="n">
        <f aca="false">Personnel!AK18</f>
        <v>137812.43385</v>
      </c>
      <c r="AA18" s="1976" t="n">
        <f aca="false">Personnel!AL18</f>
        <v>137812.43385</v>
      </c>
      <c r="AB18" s="1977" t="n">
        <f aca="false">Personnel!AM18</f>
        <v>137812.43385</v>
      </c>
      <c r="AC18" s="1882"/>
      <c r="AD18" s="1944" t="str">
        <f aca="false">P18</f>
        <v>Admin</v>
      </c>
      <c r="AE18" s="1979" t="n">
        <f aca="false">Personnel!AN18</f>
        <v>144703.0555425</v>
      </c>
      <c r="AF18" s="1980" t="n">
        <f aca="false">Personnel!AO18</f>
        <v>144703.0555425</v>
      </c>
      <c r="AG18" s="1980" t="n">
        <f aca="false">Personnel!AP18</f>
        <v>144703.0555425</v>
      </c>
      <c r="AH18" s="1980" t="n">
        <f aca="false">Personnel!AQ18</f>
        <v>144703.0555425</v>
      </c>
      <c r="AI18" s="1980" t="n">
        <f aca="false">Personnel!AR18</f>
        <v>144703.0555425</v>
      </c>
      <c r="AJ18" s="1980" t="n">
        <f aca="false">Personnel!AS18</f>
        <v>144703.0555425</v>
      </c>
      <c r="AK18" s="1980" t="n">
        <f aca="false">Personnel!AT18</f>
        <v>144703.0555425</v>
      </c>
      <c r="AL18" s="1980" t="n">
        <f aca="false">Personnel!AU18</f>
        <v>144703.0555425</v>
      </c>
      <c r="AM18" s="1980" t="n">
        <f aca="false">Personnel!AV18</f>
        <v>144703.0555425</v>
      </c>
      <c r="AN18" s="1980" t="n">
        <f aca="false">Personnel!AW18</f>
        <v>144703.0555425</v>
      </c>
      <c r="AO18" s="1980" t="n">
        <f aca="false">Personnel!AX18</f>
        <v>144703.0555425</v>
      </c>
      <c r="AP18" s="1981" t="n">
        <f aca="false">Personnel!AY18</f>
        <v>144703.0555425</v>
      </c>
      <c r="AQ18" s="1882"/>
      <c r="AR18" s="1948" t="str">
        <f aca="false">AD18</f>
        <v>Admin</v>
      </c>
      <c r="AS18" s="1983" t="n">
        <f aca="false">Personnel!AZ18</f>
        <v>151938.208319625</v>
      </c>
      <c r="AT18" s="1984" t="n">
        <f aca="false">Personnel!BA18</f>
        <v>151938.208319625</v>
      </c>
      <c r="AU18" s="1984" t="n">
        <f aca="false">Personnel!BB18</f>
        <v>151938.208319625</v>
      </c>
      <c r="AV18" s="1984" t="n">
        <f aca="false">Personnel!BC18</f>
        <v>151938.208319625</v>
      </c>
      <c r="AW18" s="1984" t="n">
        <f aca="false">Personnel!BD18</f>
        <v>151938.208319625</v>
      </c>
      <c r="AX18" s="1984" t="n">
        <f aca="false">Personnel!BE18</f>
        <v>151938.208319625</v>
      </c>
      <c r="AY18" s="1984" t="n">
        <f aca="false">Personnel!BF18</f>
        <v>151938.208319625</v>
      </c>
      <c r="AZ18" s="1984" t="n">
        <f aca="false">Personnel!BG18</f>
        <v>151938.208319625</v>
      </c>
      <c r="BA18" s="1984" t="n">
        <f aca="false">Personnel!BH18</f>
        <v>151938.208319625</v>
      </c>
      <c r="BB18" s="1984" t="n">
        <f aca="false">Personnel!BI18</f>
        <v>151938.208319625</v>
      </c>
      <c r="BC18" s="1984" t="n">
        <f aca="false">Personnel!BJ18</f>
        <v>151938.208319625</v>
      </c>
      <c r="BD18" s="1985" t="n">
        <f aca="false">Personnel!BK18</f>
        <v>151938.208319625</v>
      </c>
      <c r="BE18" s="1466"/>
      <c r="BF18" s="1885"/>
      <c r="BG18" s="2061"/>
      <c r="BH18" s="2062"/>
      <c r="BI18" s="2062"/>
      <c r="BJ18" s="2062"/>
      <c r="BK18" s="2062"/>
      <c r="BL18" s="2062"/>
      <c r="BM18" s="2062"/>
      <c r="BN18" s="2062"/>
      <c r="BO18" s="2062"/>
      <c r="BP18" s="2062"/>
      <c r="BQ18" s="2062"/>
      <c r="BR18" s="2062"/>
      <c r="BS18" s="2061"/>
      <c r="BT18" s="1888"/>
      <c r="BU18" s="2061"/>
      <c r="BV18" s="2061"/>
      <c r="BW18" s="2061"/>
      <c r="BX18" s="2063"/>
      <c r="BY18" s="2061"/>
      <c r="BZ18" s="2061"/>
      <c r="CA18" s="2061"/>
      <c r="CB18" s="2061"/>
      <c r="CC18" s="2061"/>
      <c r="CD18" s="2061"/>
      <c r="CE18" s="2061"/>
      <c r="CF18" s="2061"/>
      <c r="CG18" s="2061"/>
      <c r="CH18" s="1891"/>
      <c r="CI18" s="2061"/>
      <c r="CJ18" s="2062"/>
      <c r="CK18" s="2062"/>
      <c r="CL18" s="2062"/>
      <c r="CM18" s="2062"/>
      <c r="CN18" s="2062"/>
      <c r="CO18" s="2062"/>
      <c r="CP18" s="2062"/>
      <c r="CQ18" s="2062"/>
      <c r="CR18" s="2062"/>
      <c r="CS18" s="2062"/>
      <c r="CT18" s="2062"/>
      <c r="CU18" s="2062"/>
      <c r="CV18" s="1888"/>
      <c r="CW18" s="2062"/>
      <c r="CX18" s="2061"/>
      <c r="CY18" s="2061"/>
      <c r="CZ18" s="2061"/>
      <c r="DA18" s="2061"/>
      <c r="DB18" s="2061"/>
      <c r="DC18" s="2061"/>
      <c r="DD18" s="2061"/>
      <c r="DE18" s="2061"/>
      <c r="DF18" s="2061"/>
      <c r="DG18" s="2061"/>
      <c r="DH18" s="2061"/>
      <c r="DI18" s="2061"/>
      <c r="DJ18" s="1466"/>
      <c r="DK18" s="1163"/>
      <c r="DL18" s="1958"/>
      <c r="DM18" s="2051" t="n">
        <v>0</v>
      </c>
      <c r="DN18" s="2052" t="n">
        <v>0</v>
      </c>
      <c r="DO18" s="2052" t="n">
        <v>0</v>
      </c>
      <c r="DP18" s="2052" t="n">
        <v>0</v>
      </c>
      <c r="DQ18" s="2052" t="n">
        <v>0</v>
      </c>
      <c r="DR18" s="2052" t="n">
        <v>0</v>
      </c>
      <c r="DS18" s="2052" t="n">
        <v>0</v>
      </c>
      <c r="DT18" s="2052" t="n">
        <v>0</v>
      </c>
      <c r="DU18" s="2052" t="n">
        <v>0</v>
      </c>
      <c r="DV18" s="2052" t="n">
        <v>0</v>
      </c>
      <c r="DW18" s="2052" t="n">
        <v>0</v>
      </c>
      <c r="DX18" s="2053" t="n">
        <v>0</v>
      </c>
      <c r="DY18" s="1893"/>
      <c r="DZ18" s="2054" t="n">
        <v>0</v>
      </c>
      <c r="EA18" s="2055" t="n">
        <v>0</v>
      </c>
      <c r="EB18" s="2056" t="n">
        <v>0</v>
      </c>
      <c r="EC18" s="2056" t="n">
        <v>0</v>
      </c>
      <c r="ED18" s="2056" t="n">
        <v>0</v>
      </c>
      <c r="EE18" s="2056" t="n">
        <v>0</v>
      </c>
      <c r="EF18" s="2056" t="n">
        <v>0</v>
      </c>
      <c r="EG18" s="2056" t="n">
        <v>0</v>
      </c>
      <c r="EH18" s="2056" t="n">
        <v>0</v>
      </c>
      <c r="EI18" s="2056" t="n">
        <v>0</v>
      </c>
      <c r="EJ18" s="2056" t="n">
        <v>0</v>
      </c>
      <c r="EK18" s="2056" t="n">
        <v>0</v>
      </c>
      <c r="EL18" s="2057" t="n">
        <v>0</v>
      </c>
      <c r="EM18" s="1893"/>
      <c r="EN18" s="1966" t="n">
        <v>0</v>
      </c>
      <c r="EO18" s="1979" t="n">
        <v>0</v>
      </c>
      <c r="EP18" s="1980" t="n">
        <v>0</v>
      </c>
      <c r="EQ18" s="1980" t="n">
        <v>0</v>
      </c>
      <c r="ER18" s="1980" t="n">
        <v>0</v>
      </c>
      <c r="ES18" s="1980" t="n">
        <v>0</v>
      </c>
      <c r="ET18" s="1980" t="n">
        <v>0</v>
      </c>
      <c r="EU18" s="1980" t="n">
        <v>0</v>
      </c>
      <c r="EV18" s="1980" t="n">
        <v>0</v>
      </c>
      <c r="EW18" s="1980" t="n">
        <v>0</v>
      </c>
      <c r="EX18" s="1980" t="n">
        <v>0</v>
      </c>
      <c r="EY18" s="1980" t="n">
        <v>0</v>
      </c>
      <c r="EZ18" s="1981" t="n">
        <v>0</v>
      </c>
      <c r="FA18" s="1893"/>
      <c r="FB18" s="1967" t="n">
        <v>0</v>
      </c>
      <c r="FC18" s="2058" t="n">
        <v>0</v>
      </c>
      <c r="FD18" s="2059" t="n">
        <v>0</v>
      </c>
      <c r="FE18" s="2059" t="n">
        <v>0</v>
      </c>
      <c r="FF18" s="2059" t="n">
        <v>0</v>
      </c>
      <c r="FG18" s="2059" t="n">
        <v>0</v>
      </c>
      <c r="FH18" s="2059" t="n">
        <v>0</v>
      </c>
      <c r="FI18" s="2059" t="n">
        <v>0</v>
      </c>
      <c r="FJ18" s="2059" t="n">
        <v>0</v>
      </c>
      <c r="FK18" s="2059" t="n">
        <v>0</v>
      </c>
      <c r="FL18" s="2059" t="n">
        <v>0</v>
      </c>
      <c r="FM18" s="2059" t="n">
        <v>0</v>
      </c>
      <c r="FN18" s="2060" t="n">
        <v>0</v>
      </c>
      <c r="FO18" s="1466"/>
      <c r="FP18" s="1896"/>
      <c r="FQ18" s="1936" t="str">
        <f aca="false">'Tables 5Y'!CK18</f>
        <v>Depreciation</v>
      </c>
      <c r="FR18" s="1971" t="n">
        <f aca="false">'P&amp;L'!N38</f>
        <v>187748.5</v>
      </c>
      <c r="FS18" s="1972" t="n">
        <f aca="false">'P&amp;L'!O38</f>
        <v>191631.96</v>
      </c>
      <c r="FT18" s="1972" t="n">
        <f aca="false">'P&amp;L'!P38</f>
        <v>195515.42</v>
      </c>
      <c r="FU18" s="1972" t="n">
        <f aca="false">'P&amp;L'!Q38</f>
        <v>195515.42</v>
      </c>
      <c r="FV18" s="1972" t="n">
        <f aca="false">'P&amp;L'!R38</f>
        <v>195515.42</v>
      </c>
      <c r="FW18" s="1972" t="n">
        <f aca="false">'P&amp;L'!S38</f>
        <v>195515.42</v>
      </c>
      <c r="FX18" s="1972" t="n">
        <f aca="false">'P&amp;L'!T38</f>
        <v>195515.42</v>
      </c>
      <c r="FY18" s="1972" t="n">
        <f aca="false">'P&amp;L'!U38</f>
        <v>195515.42</v>
      </c>
      <c r="FZ18" s="1972" t="n">
        <f aca="false">'P&amp;L'!V38</f>
        <v>195515.42</v>
      </c>
      <c r="GA18" s="1972" t="n">
        <f aca="false">'P&amp;L'!W38</f>
        <v>195515.42</v>
      </c>
      <c r="GB18" s="1972" t="n">
        <f aca="false">'P&amp;L'!X38</f>
        <v>195515.42</v>
      </c>
      <c r="GC18" s="1973" t="n">
        <f aca="false">'P&amp;L'!Y38</f>
        <v>195515.42</v>
      </c>
      <c r="GD18" s="1893"/>
      <c r="GE18" s="1940" t="str">
        <f aca="false">FQ18</f>
        <v>Depreciation</v>
      </c>
      <c r="GF18" s="1975" t="n">
        <f aca="false">'P&amp;L'!Z38</f>
        <v>195515.42</v>
      </c>
      <c r="GG18" s="1976" t="n">
        <f aca="false">'P&amp;L'!AA38</f>
        <v>195515.42</v>
      </c>
      <c r="GH18" s="1976" t="n">
        <f aca="false">'P&amp;L'!AB38</f>
        <v>195515.42</v>
      </c>
      <c r="GI18" s="1976" t="n">
        <f aca="false">'P&amp;L'!AC38</f>
        <v>195515.42</v>
      </c>
      <c r="GJ18" s="1976" t="n">
        <f aca="false">'P&amp;L'!AD38</f>
        <v>195515.42</v>
      </c>
      <c r="GK18" s="1976" t="n">
        <f aca="false">'P&amp;L'!AE38</f>
        <v>195515.42</v>
      </c>
      <c r="GL18" s="1976" t="n">
        <f aca="false">'P&amp;L'!AF38</f>
        <v>195515.42</v>
      </c>
      <c r="GM18" s="1976" t="n">
        <f aca="false">'P&amp;L'!AG38</f>
        <v>195515.42</v>
      </c>
      <c r="GN18" s="1976" t="n">
        <f aca="false">'P&amp;L'!AH38</f>
        <v>195515.42</v>
      </c>
      <c r="GO18" s="1976" t="n">
        <f aca="false">'P&amp;L'!AI38</f>
        <v>195515.42</v>
      </c>
      <c r="GP18" s="1976" t="n">
        <f aca="false">'P&amp;L'!AJ38</f>
        <v>195515.42</v>
      </c>
      <c r="GQ18" s="1977" t="n">
        <f aca="false">'P&amp;L'!AK38</f>
        <v>195515.42</v>
      </c>
      <c r="GR18" s="1893"/>
      <c r="GS18" s="1944" t="str">
        <f aca="false">GE18</f>
        <v>Depreciation</v>
      </c>
      <c r="GT18" s="1979" t="n">
        <f aca="false">'P&amp;L'!AL38</f>
        <v>195515.42</v>
      </c>
      <c r="GU18" s="1980" t="n">
        <f aca="false">'P&amp;L'!AM38</f>
        <v>195515.42</v>
      </c>
      <c r="GV18" s="1980" t="n">
        <f aca="false">'P&amp;L'!AN38</f>
        <v>195515.42</v>
      </c>
      <c r="GW18" s="1980" t="n">
        <f aca="false">'P&amp;L'!AO38</f>
        <v>195515.42</v>
      </c>
      <c r="GX18" s="1980" t="n">
        <f aca="false">'P&amp;L'!AP38</f>
        <v>195515.42</v>
      </c>
      <c r="GY18" s="1980" t="n">
        <f aca="false">'P&amp;L'!AQ38</f>
        <v>195515.42</v>
      </c>
      <c r="GZ18" s="1980" t="n">
        <f aca="false">'P&amp;L'!AR38</f>
        <v>195515.42</v>
      </c>
      <c r="HA18" s="1980" t="n">
        <f aca="false">'P&amp;L'!AS38</f>
        <v>195515.42</v>
      </c>
      <c r="HB18" s="1980" t="n">
        <f aca="false">'P&amp;L'!AT38</f>
        <v>195515.42</v>
      </c>
      <c r="HC18" s="1980" t="n">
        <f aca="false">'P&amp;L'!AU38</f>
        <v>195515.42</v>
      </c>
      <c r="HD18" s="1980" t="n">
        <f aca="false">'P&amp;L'!AV38</f>
        <v>195515.42</v>
      </c>
      <c r="HE18" s="1981" t="n">
        <f aca="false">'P&amp;L'!AW38</f>
        <v>195515.42</v>
      </c>
      <c r="HF18" s="1896"/>
      <c r="HG18" s="1948" t="str">
        <f aca="false">GS18</f>
        <v>Depreciation</v>
      </c>
      <c r="HH18" s="1983" t="n">
        <f aca="false">'P&amp;L'!AX38</f>
        <v>195515.42</v>
      </c>
      <c r="HI18" s="1984" t="n">
        <f aca="false">'P&amp;L'!AY38</f>
        <v>195515.42</v>
      </c>
      <c r="HJ18" s="1984" t="n">
        <f aca="false">'P&amp;L'!AZ38</f>
        <v>195515.42</v>
      </c>
      <c r="HK18" s="1984" t="n">
        <f aca="false">'P&amp;L'!BA38</f>
        <v>195515.42</v>
      </c>
      <c r="HL18" s="1984" t="n">
        <f aca="false">'P&amp;L'!BB38</f>
        <v>195515.42</v>
      </c>
      <c r="HM18" s="1984" t="n">
        <f aca="false">'P&amp;L'!BC38</f>
        <v>195515.42</v>
      </c>
      <c r="HN18" s="1984" t="n">
        <f aca="false">'P&amp;L'!BD38</f>
        <v>195515.42</v>
      </c>
      <c r="HO18" s="1984" t="n">
        <f aca="false">'P&amp;L'!BE38</f>
        <v>195515.42</v>
      </c>
      <c r="HP18" s="1984" t="n">
        <f aca="false">'P&amp;L'!BF38</f>
        <v>195515.42</v>
      </c>
      <c r="HQ18" s="1984" t="n">
        <f aca="false">'P&amp;L'!BG38</f>
        <v>195515.42</v>
      </c>
      <c r="HR18" s="1984" t="n">
        <f aca="false">'P&amp;L'!BH38</f>
        <v>195515.42</v>
      </c>
      <c r="HS18" s="1985" t="n">
        <f aca="false">'P&amp;L'!BI38</f>
        <v>195515.42</v>
      </c>
    </row>
    <row r="19" customFormat="false" ht="10.5" hidden="false" customHeight="true" outlineLevel="0" collapsed="false">
      <c r="A19" s="1641"/>
      <c r="B19" s="1936" t="str">
        <f aca="false">Personnel!A19</f>
        <v>Trades -2</v>
      </c>
      <c r="C19" s="1971" t="n">
        <f aca="false">Personnel!P19</f>
        <v>118300</v>
      </c>
      <c r="D19" s="1972" t="n">
        <f aca="false">Personnel!Q19</f>
        <v>236600</v>
      </c>
      <c r="E19" s="1972" t="n">
        <f aca="false">Personnel!R19</f>
        <v>354900</v>
      </c>
      <c r="F19" s="1972" t="n">
        <f aca="false">Personnel!S19</f>
        <v>473200</v>
      </c>
      <c r="G19" s="1972" t="n">
        <f aca="false">Personnel!T19</f>
        <v>591500</v>
      </c>
      <c r="H19" s="1972" t="n">
        <f aca="false">Personnel!U19</f>
        <v>709800</v>
      </c>
      <c r="I19" s="1972" t="n">
        <f aca="false">Personnel!V19</f>
        <v>828100</v>
      </c>
      <c r="J19" s="1972" t="n">
        <f aca="false">Personnel!W19</f>
        <v>946400</v>
      </c>
      <c r="K19" s="1972" t="n">
        <f aca="false">Personnel!X19</f>
        <v>946400</v>
      </c>
      <c r="L19" s="1972" t="n">
        <f aca="false">Personnel!Y19</f>
        <v>946400</v>
      </c>
      <c r="M19" s="1972" t="n">
        <f aca="false">Personnel!Z19</f>
        <v>946400</v>
      </c>
      <c r="N19" s="1973" t="n">
        <f aca="false">Personnel!AA19</f>
        <v>946400</v>
      </c>
      <c r="O19" s="1882"/>
      <c r="P19" s="1940" t="str">
        <f aca="false">B19</f>
        <v>Trades -2</v>
      </c>
      <c r="Q19" s="1975" t="n">
        <f aca="false">Personnel!AB19</f>
        <v>993720</v>
      </c>
      <c r="R19" s="1976" t="n">
        <f aca="false">Personnel!AC19</f>
        <v>993720</v>
      </c>
      <c r="S19" s="1976" t="n">
        <f aca="false">Personnel!AD19</f>
        <v>993720</v>
      </c>
      <c r="T19" s="1976" t="n">
        <f aca="false">Personnel!AE19</f>
        <v>993720</v>
      </c>
      <c r="U19" s="1976" t="n">
        <f aca="false">Personnel!AF19</f>
        <v>993720</v>
      </c>
      <c r="V19" s="1976" t="n">
        <f aca="false">Personnel!AG19</f>
        <v>993720</v>
      </c>
      <c r="W19" s="1976" t="n">
        <f aca="false">Personnel!AH19</f>
        <v>993720</v>
      </c>
      <c r="X19" s="1976" t="n">
        <f aca="false">Personnel!AI19</f>
        <v>993720</v>
      </c>
      <c r="Y19" s="1976" t="n">
        <f aca="false">Personnel!AJ19</f>
        <v>993720</v>
      </c>
      <c r="Z19" s="1976" t="n">
        <f aca="false">Personnel!AK19</f>
        <v>993720</v>
      </c>
      <c r="AA19" s="1976" t="n">
        <f aca="false">Personnel!AL19</f>
        <v>993720</v>
      </c>
      <c r="AB19" s="1977" t="n">
        <f aca="false">Personnel!AM19</f>
        <v>993720</v>
      </c>
      <c r="AC19" s="1882"/>
      <c r="AD19" s="1944" t="str">
        <f aca="false">P19</f>
        <v>Trades -2</v>
      </c>
      <c r="AE19" s="1979" t="n">
        <f aca="false">Personnel!AN19</f>
        <v>1043406</v>
      </c>
      <c r="AF19" s="1980" t="n">
        <f aca="false">Personnel!AO19</f>
        <v>1043406</v>
      </c>
      <c r="AG19" s="1980" t="n">
        <f aca="false">Personnel!AP19</f>
        <v>1043406</v>
      </c>
      <c r="AH19" s="1980" t="n">
        <f aca="false">Personnel!AQ19</f>
        <v>1043406</v>
      </c>
      <c r="AI19" s="1980" t="n">
        <f aca="false">Personnel!AR19</f>
        <v>1043406</v>
      </c>
      <c r="AJ19" s="1980" t="n">
        <f aca="false">Personnel!AS19</f>
        <v>1043406</v>
      </c>
      <c r="AK19" s="1980" t="n">
        <f aca="false">Personnel!AT19</f>
        <v>1043406</v>
      </c>
      <c r="AL19" s="1980" t="n">
        <f aca="false">Personnel!AU19</f>
        <v>1043406</v>
      </c>
      <c r="AM19" s="1980" t="n">
        <f aca="false">Personnel!AV19</f>
        <v>1043406</v>
      </c>
      <c r="AN19" s="1980" t="n">
        <f aca="false">Personnel!AW19</f>
        <v>1043406</v>
      </c>
      <c r="AO19" s="1980" t="n">
        <f aca="false">Personnel!AX19</f>
        <v>1043406</v>
      </c>
      <c r="AP19" s="1981" t="n">
        <f aca="false">Personnel!AY19</f>
        <v>1043406</v>
      </c>
      <c r="AQ19" s="1882"/>
      <c r="AR19" s="1948" t="str">
        <f aca="false">AD19</f>
        <v>Trades -2</v>
      </c>
      <c r="AS19" s="1983" t="n">
        <f aca="false">Personnel!AZ19</f>
        <v>1095576.3</v>
      </c>
      <c r="AT19" s="1984" t="n">
        <f aca="false">Personnel!BA19</f>
        <v>1095576.3</v>
      </c>
      <c r="AU19" s="1984" t="n">
        <f aca="false">Personnel!BB19</f>
        <v>1095576.3</v>
      </c>
      <c r="AV19" s="1984" t="n">
        <f aca="false">Personnel!BC19</f>
        <v>1095576.3</v>
      </c>
      <c r="AW19" s="1984" t="n">
        <f aca="false">Personnel!BD19</f>
        <v>1095576.3</v>
      </c>
      <c r="AX19" s="1984" t="n">
        <f aca="false">Personnel!BE19</f>
        <v>1095576.3</v>
      </c>
      <c r="AY19" s="1984" t="n">
        <f aca="false">Personnel!BF19</f>
        <v>1095576.3</v>
      </c>
      <c r="AZ19" s="1984" t="n">
        <f aca="false">Personnel!BG19</f>
        <v>1095576.3</v>
      </c>
      <c r="BA19" s="1984" t="n">
        <f aca="false">Personnel!BH19</f>
        <v>1095576.3</v>
      </c>
      <c r="BB19" s="1984" t="n">
        <f aca="false">Personnel!BI19</f>
        <v>1095576.3</v>
      </c>
      <c r="BC19" s="1984" t="n">
        <f aca="false">Personnel!BJ19</f>
        <v>1095576.3</v>
      </c>
      <c r="BD19" s="1985" t="n">
        <f aca="false">Personnel!BK19</f>
        <v>1095576.3</v>
      </c>
      <c r="BE19" s="1466"/>
      <c r="BF19" s="1885"/>
      <c r="BG19" s="1915" t="str">
        <f aca="false">Revenue!A106</f>
        <v>SS-1</v>
      </c>
      <c r="BH19" s="1916" t="n">
        <f aca="false">Revenue!N106</f>
        <v>25991.3892857143</v>
      </c>
      <c r="BI19" s="1916" t="n">
        <f aca="false">Revenue!O106</f>
        <v>28879.3214285715</v>
      </c>
      <c r="BJ19" s="1916" t="n">
        <f aca="false">Revenue!P106</f>
        <v>31767.2535714286</v>
      </c>
      <c r="BK19" s="1916" t="n">
        <f aca="false">Revenue!Q106</f>
        <v>34655.1857142857</v>
      </c>
      <c r="BL19" s="1916" t="n">
        <f aca="false">Revenue!R106</f>
        <v>37543.1178571429</v>
      </c>
      <c r="BM19" s="1916" t="n">
        <f aca="false">Revenue!S106</f>
        <v>40431.05</v>
      </c>
      <c r="BN19" s="1916" t="n">
        <f aca="false">Revenue!T106</f>
        <v>43318.982142857</v>
      </c>
      <c r="BO19" s="1916" t="n">
        <f aca="false">Revenue!U106</f>
        <v>46206.9142857145</v>
      </c>
      <c r="BP19" s="1916" t="n">
        <f aca="false">Revenue!V106</f>
        <v>49094.8464285715</v>
      </c>
      <c r="BQ19" s="1916" t="n">
        <f aca="false">Revenue!W106</f>
        <v>51982.7785714285</v>
      </c>
      <c r="BR19" s="1916" t="n">
        <f aca="false">Revenue!X106</f>
        <v>54870.7107142855</v>
      </c>
      <c r="BS19" s="1915" t="n">
        <f aca="false">Revenue!Y106</f>
        <v>57758.642857143</v>
      </c>
      <c r="BT19" s="1888"/>
      <c r="BU19" s="1952" t="str">
        <f aca="false">BG19</f>
        <v>SS-1</v>
      </c>
      <c r="BV19" s="1952" t="n">
        <f aca="false">Revenue!Z74</f>
        <v>2375</v>
      </c>
      <c r="BW19" s="1952" t="n">
        <f aca="false">Revenue!AA74</f>
        <v>2375</v>
      </c>
      <c r="BX19" s="1953" t="n">
        <f aca="false">Revenue!AB74</f>
        <v>2375</v>
      </c>
      <c r="BY19" s="1952" t="n">
        <f aca="false">Revenue!AC74</f>
        <v>2375</v>
      </c>
      <c r="BZ19" s="1952" t="n">
        <f aca="false">Revenue!AD74</f>
        <v>2375</v>
      </c>
      <c r="CA19" s="1952" t="n">
        <f aca="false">Revenue!AE74</f>
        <v>2375</v>
      </c>
      <c r="CB19" s="1952" t="n">
        <f aca="false">Revenue!AF74</f>
        <v>2375</v>
      </c>
      <c r="CC19" s="1952" t="n">
        <f aca="false">Revenue!AG74</f>
        <v>2375</v>
      </c>
      <c r="CD19" s="1952" t="n">
        <f aca="false">Revenue!AH74</f>
        <v>2375</v>
      </c>
      <c r="CE19" s="1952" t="n">
        <f aca="false">Revenue!AI74</f>
        <v>2375</v>
      </c>
      <c r="CF19" s="1952" t="n">
        <f aca="false">Revenue!AJ74</f>
        <v>2375</v>
      </c>
      <c r="CG19" s="1952" t="n">
        <f aca="false">Revenue!AK74</f>
        <v>2375</v>
      </c>
      <c r="CH19" s="1891"/>
      <c r="CI19" s="1954" t="str">
        <f aca="false">BU19</f>
        <v>SS-1</v>
      </c>
      <c r="CJ19" s="1955" t="n">
        <f aca="false">Revenue!AL74</f>
        <v>2375</v>
      </c>
      <c r="CK19" s="1955" t="n">
        <f aca="false">Revenue!AM74</f>
        <v>2375</v>
      </c>
      <c r="CL19" s="1955" t="n">
        <f aca="false">Revenue!AN74</f>
        <v>2375</v>
      </c>
      <c r="CM19" s="1955" t="n">
        <f aca="false">Revenue!AO74</f>
        <v>2375</v>
      </c>
      <c r="CN19" s="1955" t="n">
        <f aca="false">Revenue!AP74</f>
        <v>2375</v>
      </c>
      <c r="CO19" s="1955" t="n">
        <f aca="false">Revenue!AQ74</f>
        <v>2375</v>
      </c>
      <c r="CP19" s="1955" t="n">
        <f aca="false">Revenue!AR74</f>
        <v>2375</v>
      </c>
      <c r="CQ19" s="1955" t="n">
        <f aca="false">Revenue!AS74</f>
        <v>2375</v>
      </c>
      <c r="CR19" s="1955" t="n">
        <f aca="false">Revenue!AT74</f>
        <v>2375</v>
      </c>
      <c r="CS19" s="1955" t="n">
        <f aca="false">Revenue!AU74</f>
        <v>2375</v>
      </c>
      <c r="CT19" s="1955" t="n">
        <f aca="false">Revenue!AV74</f>
        <v>2375</v>
      </c>
      <c r="CU19" s="1955" t="n">
        <f aca="false">Revenue!AW74</f>
        <v>2375</v>
      </c>
      <c r="CV19" s="1888"/>
      <c r="CW19" s="1956" t="str">
        <f aca="false">CI19</f>
        <v>SS-1</v>
      </c>
      <c r="CX19" s="1957" t="n">
        <f aca="false">Revenue!AX74</f>
        <v>2375</v>
      </c>
      <c r="CY19" s="1957" t="n">
        <f aca="false">Revenue!AY74</f>
        <v>2375</v>
      </c>
      <c r="CZ19" s="1957" t="n">
        <f aca="false">Revenue!AZ74</f>
        <v>2375</v>
      </c>
      <c r="DA19" s="1957" t="n">
        <f aca="false">Revenue!BA74</f>
        <v>2375</v>
      </c>
      <c r="DB19" s="1957" t="n">
        <f aca="false">Revenue!BB74</f>
        <v>2375</v>
      </c>
      <c r="DC19" s="1957" t="n">
        <f aca="false">Revenue!BC74</f>
        <v>2375</v>
      </c>
      <c r="DD19" s="1957" t="n">
        <f aca="false">Revenue!BD74</f>
        <v>2375</v>
      </c>
      <c r="DE19" s="1957" t="n">
        <f aca="false">Revenue!BE74</f>
        <v>2375</v>
      </c>
      <c r="DF19" s="1957" t="n">
        <f aca="false">Revenue!BF74</f>
        <v>2375</v>
      </c>
      <c r="DG19" s="1957" t="n">
        <f aca="false">Revenue!BG74</f>
        <v>2375</v>
      </c>
      <c r="DH19" s="1957" t="n">
        <f aca="false">Revenue!BH74</f>
        <v>2375</v>
      </c>
      <c r="DI19" s="1957" t="n">
        <f aca="false">Revenue!BI74</f>
        <v>2375</v>
      </c>
      <c r="DJ19" s="1466"/>
      <c r="DK19" s="1163"/>
      <c r="DL19" s="1958"/>
      <c r="DM19" s="2051" t="n">
        <v>0</v>
      </c>
      <c r="DN19" s="2052" t="n">
        <v>0</v>
      </c>
      <c r="DO19" s="2052" t="n">
        <v>0</v>
      </c>
      <c r="DP19" s="2052" t="n">
        <v>0</v>
      </c>
      <c r="DQ19" s="2052" t="n">
        <v>0</v>
      </c>
      <c r="DR19" s="2052" t="n">
        <v>0</v>
      </c>
      <c r="DS19" s="2052" t="n">
        <v>0</v>
      </c>
      <c r="DT19" s="2052" t="n">
        <v>0</v>
      </c>
      <c r="DU19" s="2052" t="n">
        <v>0</v>
      </c>
      <c r="DV19" s="2052" t="n">
        <v>0</v>
      </c>
      <c r="DW19" s="2052" t="n">
        <v>0</v>
      </c>
      <c r="DX19" s="2053" t="n">
        <v>0</v>
      </c>
      <c r="DY19" s="1893"/>
      <c r="DZ19" s="2054" t="n">
        <v>0</v>
      </c>
      <c r="EA19" s="2055" t="n">
        <v>0</v>
      </c>
      <c r="EB19" s="2056" t="n">
        <v>0</v>
      </c>
      <c r="EC19" s="2056" t="n">
        <v>0</v>
      </c>
      <c r="ED19" s="2056" t="n">
        <v>0</v>
      </c>
      <c r="EE19" s="2056" t="n">
        <v>0</v>
      </c>
      <c r="EF19" s="2056" t="n">
        <v>0</v>
      </c>
      <c r="EG19" s="2056" t="n">
        <v>0</v>
      </c>
      <c r="EH19" s="2056" t="n">
        <v>0</v>
      </c>
      <c r="EI19" s="2056" t="n">
        <v>0</v>
      </c>
      <c r="EJ19" s="2056" t="n">
        <v>0</v>
      </c>
      <c r="EK19" s="2056" t="n">
        <v>0</v>
      </c>
      <c r="EL19" s="2057" t="n">
        <v>0</v>
      </c>
      <c r="EM19" s="1893"/>
      <c r="EN19" s="1966" t="n">
        <v>0</v>
      </c>
      <c r="EO19" s="1979" t="n">
        <v>0</v>
      </c>
      <c r="EP19" s="1980" t="n">
        <v>0</v>
      </c>
      <c r="EQ19" s="1980" t="n">
        <v>0</v>
      </c>
      <c r="ER19" s="1980" t="n">
        <v>0</v>
      </c>
      <c r="ES19" s="1980" t="n">
        <v>0</v>
      </c>
      <c r="ET19" s="1980" t="n">
        <v>0</v>
      </c>
      <c r="EU19" s="1980" t="n">
        <v>0</v>
      </c>
      <c r="EV19" s="1980" t="n">
        <v>0</v>
      </c>
      <c r="EW19" s="1980" t="n">
        <v>0</v>
      </c>
      <c r="EX19" s="1980" t="n">
        <v>0</v>
      </c>
      <c r="EY19" s="1980" t="n">
        <v>0</v>
      </c>
      <c r="EZ19" s="1981" t="n">
        <v>0</v>
      </c>
      <c r="FA19" s="1893"/>
      <c r="FB19" s="1967" t="n">
        <v>0</v>
      </c>
      <c r="FC19" s="2058" t="n">
        <v>0</v>
      </c>
      <c r="FD19" s="2059" t="n">
        <v>0</v>
      </c>
      <c r="FE19" s="2059" t="n">
        <v>0</v>
      </c>
      <c r="FF19" s="2059" t="n">
        <v>0</v>
      </c>
      <c r="FG19" s="2059" t="n">
        <v>0</v>
      </c>
      <c r="FH19" s="2059" t="n">
        <v>0</v>
      </c>
      <c r="FI19" s="2059" t="n">
        <v>0</v>
      </c>
      <c r="FJ19" s="2059" t="n">
        <v>0</v>
      </c>
      <c r="FK19" s="2059" t="n">
        <v>0</v>
      </c>
      <c r="FL19" s="2059" t="n">
        <v>0</v>
      </c>
      <c r="FM19" s="2059" t="n">
        <v>0</v>
      </c>
      <c r="FN19" s="2060" t="n">
        <v>0</v>
      </c>
      <c r="FO19" s="1466"/>
      <c r="FP19" s="1896"/>
      <c r="FQ19" s="1936" t="str">
        <f aca="false">'Tables 5Y'!CK19</f>
        <v>Payroll Taxes &amp; Benefits</v>
      </c>
      <c r="FR19" s="1971" t="n">
        <f aca="false">'P&amp;L'!N39</f>
        <v>218693.98278</v>
      </c>
      <c r="FS19" s="1972" t="n">
        <f aca="false">'P&amp;L'!O39</f>
        <v>267196.98278</v>
      </c>
      <c r="FT19" s="1972" t="n">
        <f aca="false">'P&amp;L'!P39</f>
        <v>360471.98278</v>
      </c>
      <c r="FU19" s="1972" t="n">
        <f aca="false">'P&amp;L'!Q39</f>
        <v>453746.98278</v>
      </c>
      <c r="FV19" s="1972" t="n">
        <f aca="false">'P&amp;L'!R39</f>
        <v>547021.98278</v>
      </c>
      <c r="FW19" s="1972" t="n">
        <f aca="false">'P&amp;L'!S39</f>
        <v>640296.98278</v>
      </c>
      <c r="FX19" s="1972" t="n">
        <f aca="false">'P&amp;L'!T39</f>
        <v>733571.98278</v>
      </c>
      <c r="FY19" s="1972" t="n">
        <f aca="false">'P&amp;L'!U39</f>
        <v>782074.98278</v>
      </c>
      <c r="FZ19" s="1972" t="n">
        <f aca="false">'P&amp;L'!V39</f>
        <v>782074.98278</v>
      </c>
      <c r="GA19" s="1972" t="n">
        <f aca="false">'P&amp;L'!W39</f>
        <v>782074.98278</v>
      </c>
      <c r="GB19" s="1972" t="n">
        <f aca="false">'P&amp;L'!X39</f>
        <v>782074.98278</v>
      </c>
      <c r="GC19" s="1973" t="n">
        <f aca="false">'P&amp;L'!Y39</f>
        <v>782074.98278</v>
      </c>
      <c r="GD19" s="1893"/>
      <c r="GE19" s="1940" t="str">
        <f aca="false">FQ19</f>
        <v>Payroll Taxes &amp; Benefits</v>
      </c>
      <c r="GF19" s="1975" t="n">
        <f aca="false">'P&amp;L'!Z39</f>
        <v>840013.0978785</v>
      </c>
      <c r="GG19" s="1976" t="n">
        <f aca="false">'P&amp;L'!AA39</f>
        <v>840013.0978785</v>
      </c>
      <c r="GH19" s="1976" t="n">
        <f aca="false">'P&amp;L'!AB39</f>
        <v>840013.0978785</v>
      </c>
      <c r="GI19" s="1976" t="n">
        <f aca="false">'P&amp;L'!AC39</f>
        <v>840013.0978785</v>
      </c>
      <c r="GJ19" s="1976" t="n">
        <f aca="false">'P&amp;L'!AD39</f>
        <v>840013.0978785</v>
      </c>
      <c r="GK19" s="1976" t="n">
        <f aca="false">'P&amp;L'!AE39</f>
        <v>840013.0978785</v>
      </c>
      <c r="GL19" s="1976" t="n">
        <f aca="false">'P&amp;L'!AF39</f>
        <v>840013.0978785</v>
      </c>
      <c r="GM19" s="1976" t="n">
        <f aca="false">'P&amp;L'!AG39</f>
        <v>840013.0978785</v>
      </c>
      <c r="GN19" s="1976" t="n">
        <f aca="false">'P&amp;L'!AH39</f>
        <v>840013.0978785</v>
      </c>
      <c r="GO19" s="1976" t="n">
        <f aca="false">'P&amp;L'!AI39</f>
        <v>840013.0978785</v>
      </c>
      <c r="GP19" s="1976" t="n">
        <f aca="false">'P&amp;L'!AJ39</f>
        <v>840013.0978785</v>
      </c>
      <c r="GQ19" s="1977" t="n">
        <f aca="false">'P&amp;L'!AK39</f>
        <v>840013.0978785</v>
      </c>
      <c r="GR19" s="1893"/>
      <c r="GS19" s="1944" t="str">
        <f aca="false">GE19</f>
        <v>Payroll Taxes &amp; Benefits</v>
      </c>
      <c r="GT19" s="1979" t="n">
        <f aca="false">'P&amp;L'!AL39</f>
        <v>882013.752772425</v>
      </c>
      <c r="GU19" s="1980" t="n">
        <f aca="false">'P&amp;L'!AM39</f>
        <v>882013.752772425</v>
      </c>
      <c r="GV19" s="1980" t="n">
        <f aca="false">'P&amp;L'!AN39</f>
        <v>882013.752772425</v>
      </c>
      <c r="GW19" s="1980" t="n">
        <f aca="false">'P&amp;L'!AO39</f>
        <v>882013.752772425</v>
      </c>
      <c r="GX19" s="1980" t="n">
        <f aca="false">'P&amp;L'!AP39</f>
        <v>882013.752772425</v>
      </c>
      <c r="GY19" s="1980" t="n">
        <f aca="false">'P&amp;L'!AQ39</f>
        <v>882013.752772425</v>
      </c>
      <c r="GZ19" s="1980" t="n">
        <f aca="false">'P&amp;L'!AR39</f>
        <v>882013.752772425</v>
      </c>
      <c r="HA19" s="1980" t="n">
        <f aca="false">'P&amp;L'!AS39</f>
        <v>882013.752772425</v>
      </c>
      <c r="HB19" s="1980" t="n">
        <f aca="false">'P&amp;L'!AT39</f>
        <v>882013.752772425</v>
      </c>
      <c r="HC19" s="1980" t="n">
        <f aca="false">'P&amp;L'!AU39</f>
        <v>882013.752772425</v>
      </c>
      <c r="HD19" s="1980" t="n">
        <f aca="false">'P&amp;L'!AV39</f>
        <v>882013.752772425</v>
      </c>
      <c r="HE19" s="1981" t="n">
        <f aca="false">'P&amp;L'!AW39</f>
        <v>882013.752772425</v>
      </c>
      <c r="HF19" s="1896"/>
      <c r="HG19" s="1948" t="str">
        <f aca="false">GS19</f>
        <v>Payroll Taxes &amp; Benefits</v>
      </c>
      <c r="HH19" s="1983" t="n">
        <f aca="false">'P&amp;L'!AX39</f>
        <v>926114.440411046</v>
      </c>
      <c r="HI19" s="1984" t="n">
        <f aca="false">'P&amp;L'!AY39</f>
        <v>926114.440411046</v>
      </c>
      <c r="HJ19" s="1984" t="n">
        <f aca="false">'P&amp;L'!AZ39</f>
        <v>926114.440411046</v>
      </c>
      <c r="HK19" s="1984" t="n">
        <f aca="false">'P&amp;L'!BA39</f>
        <v>926114.440411046</v>
      </c>
      <c r="HL19" s="1984" t="n">
        <f aca="false">'P&amp;L'!BB39</f>
        <v>926114.440411046</v>
      </c>
      <c r="HM19" s="1984" t="n">
        <f aca="false">'P&amp;L'!BC39</f>
        <v>926114.440411046</v>
      </c>
      <c r="HN19" s="1984" t="n">
        <f aca="false">'P&amp;L'!BD39</f>
        <v>926114.440411046</v>
      </c>
      <c r="HO19" s="1984" t="n">
        <f aca="false">'P&amp;L'!BE39</f>
        <v>926114.440411046</v>
      </c>
      <c r="HP19" s="1984" t="n">
        <f aca="false">'P&amp;L'!BF39</f>
        <v>926114.440411046</v>
      </c>
      <c r="HQ19" s="1984" t="n">
        <f aca="false">'P&amp;L'!BG39</f>
        <v>926114.440411046</v>
      </c>
      <c r="HR19" s="1984" t="n">
        <f aca="false">'P&amp;L'!BH39</f>
        <v>926114.440411046</v>
      </c>
      <c r="HS19" s="1985" t="n">
        <f aca="false">'P&amp;L'!BI39</f>
        <v>926114.440411046</v>
      </c>
    </row>
    <row r="20" customFormat="false" ht="10.5" hidden="false" customHeight="true" outlineLevel="0" collapsed="false">
      <c r="A20" s="1641"/>
      <c r="B20" s="1936" t="str">
        <f aca="false">Personnel!A20</f>
        <v>Admin-2</v>
      </c>
      <c r="C20" s="1971" t="n">
        <f aca="false">Personnel!P20</f>
        <v>0</v>
      </c>
      <c r="D20" s="1972" t="n">
        <f aca="false">Personnel!Q20</f>
        <v>0</v>
      </c>
      <c r="E20" s="1972" t="n">
        <f aca="false">Personnel!R20</f>
        <v>0</v>
      </c>
      <c r="F20" s="1972" t="n">
        <f aca="false">Personnel!S20</f>
        <v>0</v>
      </c>
      <c r="G20" s="1972" t="n">
        <f aca="false">Personnel!T20</f>
        <v>0</v>
      </c>
      <c r="H20" s="1972" t="n">
        <f aca="false">Personnel!U20</f>
        <v>0</v>
      </c>
      <c r="I20" s="1972" t="n">
        <f aca="false">Personnel!V20</f>
        <v>0</v>
      </c>
      <c r="J20" s="1972" t="n">
        <f aca="false">Personnel!W20</f>
        <v>0</v>
      </c>
      <c r="K20" s="1972" t="n">
        <f aca="false">Personnel!X20</f>
        <v>0</v>
      </c>
      <c r="L20" s="1972" t="n">
        <f aca="false">Personnel!Y20</f>
        <v>0</v>
      </c>
      <c r="M20" s="1972" t="n">
        <f aca="false">Personnel!Z20</f>
        <v>0</v>
      </c>
      <c r="N20" s="1973" t="n">
        <f aca="false">Personnel!AA20</f>
        <v>0</v>
      </c>
      <c r="O20" s="1882"/>
      <c r="P20" s="1940" t="str">
        <f aca="false">B20</f>
        <v>Admin-2</v>
      </c>
      <c r="Q20" s="1975" t="n">
        <f aca="false">Personnel!AB20</f>
        <v>0</v>
      </c>
      <c r="R20" s="1976" t="n">
        <f aca="false">Personnel!AC20</f>
        <v>0</v>
      </c>
      <c r="S20" s="1976" t="n">
        <f aca="false">Personnel!AD20</f>
        <v>0</v>
      </c>
      <c r="T20" s="1976" t="n">
        <f aca="false">Personnel!AE20</f>
        <v>0</v>
      </c>
      <c r="U20" s="1976" t="n">
        <f aca="false">Personnel!AF20</f>
        <v>0</v>
      </c>
      <c r="V20" s="1976" t="n">
        <f aca="false">Personnel!AG20</f>
        <v>0</v>
      </c>
      <c r="W20" s="1976" t="n">
        <f aca="false">Personnel!AH20</f>
        <v>0</v>
      </c>
      <c r="X20" s="1976" t="n">
        <f aca="false">Personnel!AI20</f>
        <v>0</v>
      </c>
      <c r="Y20" s="1976" t="n">
        <f aca="false">Personnel!AJ20</f>
        <v>0</v>
      </c>
      <c r="Z20" s="1976" t="n">
        <f aca="false">Personnel!AK20</f>
        <v>0</v>
      </c>
      <c r="AA20" s="1976" t="n">
        <f aca="false">Personnel!AL20</f>
        <v>0</v>
      </c>
      <c r="AB20" s="1977" t="n">
        <f aca="false">Personnel!AM20</f>
        <v>0</v>
      </c>
      <c r="AC20" s="1882"/>
      <c r="AD20" s="1944" t="str">
        <f aca="false">P20</f>
        <v>Admin-2</v>
      </c>
      <c r="AE20" s="1979" t="n">
        <f aca="false">Personnel!AN20</f>
        <v>0</v>
      </c>
      <c r="AF20" s="1980" t="n">
        <f aca="false">Personnel!AO20</f>
        <v>0</v>
      </c>
      <c r="AG20" s="1980" t="n">
        <f aca="false">Personnel!AP20</f>
        <v>0</v>
      </c>
      <c r="AH20" s="1980" t="n">
        <f aca="false">Personnel!AQ20</f>
        <v>0</v>
      </c>
      <c r="AI20" s="1980" t="n">
        <f aca="false">Personnel!AR20</f>
        <v>0</v>
      </c>
      <c r="AJ20" s="1980" t="n">
        <f aca="false">Personnel!AS20</f>
        <v>0</v>
      </c>
      <c r="AK20" s="1980" t="n">
        <f aca="false">Personnel!AT20</f>
        <v>0</v>
      </c>
      <c r="AL20" s="1980" t="n">
        <f aca="false">Personnel!AU20</f>
        <v>0</v>
      </c>
      <c r="AM20" s="1980" t="n">
        <f aca="false">Personnel!AV20</f>
        <v>0</v>
      </c>
      <c r="AN20" s="1980" t="n">
        <f aca="false">Personnel!AW20</f>
        <v>0</v>
      </c>
      <c r="AO20" s="1980" t="n">
        <f aca="false">Personnel!AX20</f>
        <v>0</v>
      </c>
      <c r="AP20" s="1981" t="n">
        <f aca="false">Personnel!AY20</f>
        <v>0</v>
      </c>
      <c r="AQ20" s="1882"/>
      <c r="AR20" s="1948" t="str">
        <f aca="false">AD20</f>
        <v>Admin-2</v>
      </c>
      <c r="AS20" s="1983" t="n">
        <f aca="false">Personnel!AZ20</f>
        <v>0</v>
      </c>
      <c r="AT20" s="1984" t="n">
        <f aca="false">Personnel!BA20</f>
        <v>0</v>
      </c>
      <c r="AU20" s="1984" t="n">
        <f aca="false">Personnel!BB20</f>
        <v>0</v>
      </c>
      <c r="AV20" s="1984" t="n">
        <f aca="false">Personnel!BC20</f>
        <v>0</v>
      </c>
      <c r="AW20" s="1984" t="n">
        <f aca="false">Personnel!BD20</f>
        <v>0</v>
      </c>
      <c r="AX20" s="1984" t="n">
        <f aca="false">Personnel!BE20</f>
        <v>0</v>
      </c>
      <c r="AY20" s="1984" t="n">
        <f aca="false">Personnel!BF20</f>
        <v>0</v>
      </c>
      <c r="AZ20" s="1984" t="n">
        <f aca="false">Personnel!BG20</f>
        <v>0</v>
      </c>
      <c r="BA20" s="1984" t="n">
        <f aca="false">Personnel!BH20</f>
        <v>0</v>
      </c>
      <c r="BB20" s="1984" t="n">
        <f aca="false">Personnel!BI20</f>
        <v>0</v>
      </c>
      <c r="BC20" s="1984" t="n">
        <f aca="false">Personnel!BJ20</f>
        <v>0</v>
      </c>
      <c r="BD20" s="1985" t="n">
        <f aca="false">Personnel!BK20</f>
        <v>0</v>
      </c>
      <c r="BE20" s="1466"/>
      <c r="BF20" s="1885"/>
      <c r="BG20" s="1915" t="str">
        <f aca="false">Revenue!A107</f>
        <v>SS-1.5</v>
      </c>
      <c r="BH20" s="1916" t="n">
        <f aca="false">Revenue!N107</f>
        <v>34655.1857142857</v>
      </c>
      <c r="BI20" s="1916" t="n">
        <f aca="false">Revenue!O107</f>
        <v>38505.7619047619</v>
      </c>
      <c r="BJ20" s="1916" t="n">
        <f aca="false">Revenue!P107</f>
        <v>42356.3380952381</v>
      </c>
      <c r="BK20" s="1916" t="n">
        <f aca="false">Revenue!Q107</f>
        <v>46206.9142857145</v>
      </c>
      <c r="BL20" s="1916" t="n">
        <f aca="false">Revenue!R107</f>
        <v>50057.4904761906</v>
      </c>
      <c r="BM20" s="1916" t="n">
        <f aca="false">Revenue!S107</f>
        <v>53908.0666666668</v>
      </c>
      <c r="BN20" s="1916" t="n">
        <f aca="false">Revenue!T107</f>
        <v>57758.642857143</v>
      </c>
      <c r="BO20" s="1916" t="n">
        <f aca="false">Revenue!U107</f>
        <v>61609.2190476192</v>
      </c>
      <c r="BP20" s="1916" t="n">
        <f aca="false">Revenue!V107</f>
        <v>65459.7952380953</v>
      </c>
      <c r="BQ20" s="1916" t="n">
        <f aca="false">Revenue!W107</f>
        <v>69310.3714285715</v>
      </c>
      <c r="BR20" s="1916" t="n">
        <f aca="false">Revenue!X107</f>
        <v>73160.9476190477</v>
      </c>
      <c r="BS20" s="1915" t="n">
        <f aca="false">Revenue!Y107</f>
        <v>77011.5238095239</v>
      </c>
      <c r="BT20" s="1888"/>
      <c r="BU20" s="1952" t="str">
        <f aca="false">BG20</f>
        <v>SS-1.5</v>
      </c>
      <c r="BV20" s="1952" t="n">
        <f aca="false">Revenue!Z75</f>
        <v>3166.66666666667</v>
      </c>
      <c r="BW20" s="1952" t="n">
        <f aca="false">Revenue!AA75</f>
        <v>3166.66666666667</v>
      </c>
      <c r="BX20" s="1953" t="n">
        <f aca="false">Revenue!AB75</f>
        <v>3166.66666666667</v>
      </c>
      <c r="BY20" s="1952" t="n">
        <f aca="false">Revenue!AC75</f>
        <v>3166.66666666667</v>
      </c>
      <c r="BZ20" s="1952" t="n">
        <f aca="false">Revenue!AD75</f>
        <v>3166.66666666667</v>
      </c>
      <c r="CA20" s="1952" t="n">
        <f aca="false">Revenue!AE75</f>
        <v>3166.66666666667</v>
      </c>
      <c r="CB20" s="1952" t="n">
        <f aca="false">Revenue!AF75</f>
        <v>3166.66666666667</v>
      </c>
      <c r="CC20" s="1952" t="n">
        <f aca="false">Revenue!AG75</f>
        <v>3166.66666666667</v>
      </c>
      <c r="CD20" s="1952" t="n">
        <f aca="false">Revenue!AH75</f>
        <v>3166.66666666667</v>
      </c>
      <c r="CE20" s="1952" t="n">
        <f aca="false">Revenue!AI75</f>
        <v>3166.66666666667</v>
      </c>
      <c r="CF20" s="1952" t="n">
        <f aca="false">Revenue!AJ75</f>
        <v>3166.66666666667</v>
      </c>
      <c r="CG20" s="1952" t="n">
        <f aca="false">Revenue!AK75</f>
        <v>3166.66666666667</v>
      </c>
      <c r="CH20" s="1891"/>
      <c r="CI20" s="1954" t="str">
        <f aca="false">BU20</f>
        <v>SS-1.5</v>
      </c>
      <c r="CJ20" s="1955" t="n">
        <f aca="false">Revenue!AL75</f>
        <v>3166.66666666667</v>
      </c>
      <c r="CK20" s="1955" t="n">
        <f aca="false">Revenue!AM75</f>
        <v>3166.66666666667</v>
      </c>
      <c r="CL20" s="1955" t="n">
        <f aca="false">Revenue!AN75</f>
        <v>3166.66666666667</v>
      </c>
      <c r="CM20" s="1955" t="n">
        <f aca="false">Revenue!AO75</f>
        <v>3166.66666666667</v>
      </c>
      <c r="CN20" s="1955" t="n">
        <f aca="false">Revenue!AP75</f>
        <v>3166.66666666667</v>
      </c>
      <c r="CO20" s="1955" t="n">
        <f aca="false">Revenue!AQ75</f>
        <v>3166.66666666667</v>
      </c>
      <c r="CP20" s="1955" t="n">
        <f aca="false">Revenue!AR75</f>
        <v>3166.66666666667</v>
      </c>
      <c r="CQ20" s="1955" t="n">
        <f aca="false">Revenue!AS75</f>
        <v>3166.66666666667</v>
      </c>
      <c r="CR20" s="1955" t="n">
        <f aca="false">Revenue!AT75</f>
        <v>3166.66666666667</v>
      </c>
      <c r="CS20" s="1955" t="n">
        <f aca="false">Revenue!AU75</f>
        <v>3166.66666666667</v>
      </c>
      <c r="CT20" s="1955" t="n">
        <f aca="false">Revenue!AV75</f>
        <v>3166.66666666667</v>
      </c>
      <c r="CU20" s="1955" t="n">
        <f aca="false">Revenue!AW75</f>
        <v>3166.66666666667</v>
      </c>
      <c r="CV20" s="1888"/>
      <c r="CW20" s="1956" t="str">
        <f aca="false">CI20</f>
        <v>SS-1.5</v>
      </c>
      <c r="CX20" s="1957" t="n">
        <f aca="false">Revenue!AX75</f>
        <v>3166.66666666667</v>
      </c>
      <c r="CY20" s="1957" t="n">
        <f aca="false">Revenue!AY75</f>
        <v>3166.66666666667</v>
      </c>
      <c r="CZ20" s="1957" t="n">
        <f aca="false">Revenue!AZ75</f>
        <v>3166.66666666667</v>
      </c>
      <c r="DA20" s="1957" t="n">
        <f aca="false">Revenue!BA75</f>
        <v>3166.66666666667</v>
      </c>
      <c r="DB20" s="1957" t="n">
        <f aca="false">Revenue!BB75</f>
        <v>3166.66666666667</v>
      </c>
      <c r="DC20" s="1957" t="n">
        <f aca="false">Revenue!BC75</f>
        <v>3166.66666666667</v>
      </c>
      <c r="DD20" s="1957" t="n">
        <f aca="false">Revenue!BD75</f>
        <v>3166.66666666667</v>
      </c>
      <c r="DE20" s="1957" t="n">
        <f aca="false">Revenue!BE75</f>
        <v>3166.66666666667</v>
      </c>
      <c r="DF20" s="1957" t="n">
        <f aca="false">Revenue!BF75</f>
        <v>3166.66666666667</v>
      </c>
      <c r="DG20" s="1957" t="n">
        <f aca="false">Revenue!BG75</f>
        <v>3166.66666666667</v>
      </c>
      <c r="DH20" s="1957" t="n">
        <f aca="false">Revenue!BH75</f>
        <v>3166.66666666667</v>
      </c>
      <c r="DI20" s="1957" t="n">
        <f aca="false">Revenue!BI75</f>
        <v>3166.66666666667</v>
      </c>
      <c r="DJ20" s="1466"/>
      <c r="DK20" s="1163"/>
      <c r="DL20" s="1958"/>
      <c r="DM20" s="2051" t="n">
        <v>0</v>
      </c>
      <c r="DN20" s="2052" t="n">
        <v>0</v>
      </c>
      <c r="DO20" s="2052" t="n">
        <v>0</v>
      </c>
      <c r="DP20" s="2052" t="n">
        <v>0</v>
      </c>
      <c r="DQ20" s="2052" t="n">
        <v>0</v>
      </c>
      <c r="DR20" s="2052" t="n">
        <v>0</v>
      </c>
      <c r="DS20" s="2052" t="n">
        <v>0</v>
      </c>
      <c r="DT20" s="2052" t="n">
        <v>0</v>
      </c>
      <c r="DU20" s="2052" t="n">
        <v>0</v>
      </c>
      <c r="DV20" s="2052" t="n">
        <v>0</v>
      </c>
      <c r="DW20" s="2052" t="n">
        <v>0</v>
      </c>
      <c r="DX20" s="2053" t="n">
        <v>0</v>
      </c>
      <c r="DY20" s="1893"/>
      <c r="DZ20" s="2054" t="n">
        <v>0</v>
      </c>
      <c r="EA20" s="2055" t="n">
        <v>0</v>
      </c>
      <c r="EB20" s="2056" t="n">
        <v>0</v>
      </c>
      <c r="EC20" s="2056" t="n">
        <v>0</v>
      </c>
      <c r="ED20" s="2056" t="n">
        <v>0</v>
      </c>
      <c r="EE20" s="2056" t="n">
        <v>0</v>
      </c>
      <c r="EF20" s="2056" t="n">
        <v>0</v>
      </c>
      <c r="EG20" s="2056" t="n">
        <v>0</v>
      </c>
      <c r="EH20" s="2056" t="n">
        <v>0</v>
      </c>
      <c r="EI20" s="2056" t="n">
        <v>0</v>
      </c>
      <c r="EJ20" s="2056" t="n">
        <v>0</v>
      </c>
      <c r="EK20" s="2056" t="n">
        <v>0</v>
      </c>
      <c r="EL20" s="2057" t="n">
        <v>0</v>
      </c>
      <c r="EM20" s="1893"/>
      <c r="EN20" s="1966" t="n">
        <v>0</v>
      </c>
      <c r="EO20" s="1979" t="n">
        <v>0</v>
      </c>
      <c r="EP20" s="1980" t="n">
        <v>0</v>
      </c>
      <c r="EQ20" s="1980" t="n">
        <v>0</v>
      </c>
      <c r="ER20" s="1980" t="n">
        <v>0</v>
      </c>
      <c r="ES20" s="1980" t="n">
        <v>0</v>
      </c>
      <c r="ET20" s="1980" t="n">
        <v>0</v>
      </c>
      <c r="EU20" s="1980" t="n">
        <v>0</v>
      </c>
      <c r="EV20" s="1980" t="n">
        <v>0</v>
      </c>
      <c r="EW20" s="1980" t="n">
        <v>0</v>
      </c>
      <c r="EX20" s="1980" t="n">
        <v>0</v>
      </c>
      <c r="EY20" s="1980" t="n">
        <v>0</v>
      </c>
      <c r="EZ20" s="1981" t="n">
        <v>0</v>
      </c>
      <c r="FA20" s="1893"/>
      <c r="FB20" s="1967" t="n">
        <v>0</v>
      </c>
      <c r="FC20" s="2058" t="n">
        <v>0</v>
      </c>
      <c r="FD20" s="2059" t="n">
        <v>0</v>
      </c>
      <c r="FE20" s="2059" t="n">
        <v>0</v>
      </c>
      <c r="FF20" s="2059" t="n">
        <v>0</v>
      </c>
      <c r="FG20" s="2059" t="n">
        <v>0</v>
      </c>
      <c r="FH20" s="2059" t="n">
        <v>0</v>
      </c>
      <c r="FI20" s="2059" t="n">
        <v>0</v>
      </c>
      <c r="FJ20" s="2059" t="n">
        <v>0</v>
      </c>
      <c r="FK20" s="2059" t="n">
        <v>0</v>
      </c>
      <c r="FL20" s="2059" t="n">
        <v>0</v>
      </c>
      <c r="FM20" s="2059" t="n">
        <v>0</v>
      </c>
      <c r="FN20" s="2060" t="n">
        <v>0</v>
      </c>
      <c r="FO20" s="1466"/>
      <c r="FP20" s="1896"/>
      <c r="FQ20" s="1936" t="str">
        <f aca="false">'Tables 5Y'!CK20</f>
        <v>Total Personnel</v>
      </c>
      <c r="FR20" s="1971" t="n">
        <f aca="false">'P&amp;L'!N40</f>
        <v>87499.958</v>
      </c>
      <c r="FS20" s="1972" t="n">
        <f aca="false">'P&amp;L'!O40</f>
        <v>87499.958</v>
      </c>
      <c r="FT20" s="1972" t="n">
        <f aca="false">'P&amp;L'!P40</f>
        <v>87499.958</v>
      </c>
      <c r="FU20" s="1972" t="n">
        <f aca="false">'P&amp;L'!Q40</f>
        <v>87499.958</v>
      </c>
      <c r="FV20" s="1972" t="n">
        <f aca="false">'P&amp;L'!R40</f>
        <v>87499.958</v>
      </c>
      <c r="FW20" s="1972" t="n">
        <f aca="false">'P&amp;L'!S40</f>
        <v>87499.958</v>
      </c>
      <c r="FX20" s="1972" t="n">
        <f aca="false">'P&amp;L'!T40</f>
        <v>87499.958</v>
      </c>
      <c r="FY20" s="1972" t="n">
        <f aca="false">'P&amp;L'!U40</f>
        <v>87499.958</v>
      </c>
      <c r="FZ20" s="1972" t="n">
        <f aca="false">'P&amp;L'!V40</f>
        <v>87499.958</v>
      </c>
      <c r="GA20" s="1972" t="n">
        <f aca="false">'P&amp;L'!W40</f>
        <v>87499.958</v>
      </c>
      <c r="GB20" s="1972" t="n">
        <f aca="false">'P&amp;L'!X40</f>
        <v>87499.958</v>
      </c>
      <c r="GC20" s="1973" t="n">
        <f aca="false">'P&amp;L'!Y40</f>
        <v>87499.958</v>
      </c>
      <c r="GD20" s="1893"/>
      <c r="GE20" s="1940" t="str">
        <f aca="false">FQ20</f>
        <v>Total Personnel</v>
      </c>
      <c r="GF20" s="1975" t="n">
        <f aca="false">'P&amp;L'!Z40</f>
        <v>137812.43385</v>
      </c>
      <c r="GG20" s="1976" t="n">
        <f aca="false">'P&amp;L'!AA40</f>
        <v>137812.43385</v>
      </c>
      <c r="GH20" s="1976" t="n">
        <f aca="false">'P&amp;L'!AB40</f>
        <v>137812.43385</v>
      </c>
      <c r="GI20" s="1976" t="n">
        <f aca="false">'P&amp;L'!AC40</f>
        <v>137812.43385</v>
      </c>
      <c r="GJ20" s="1976" t="n">
        <f aca="false">'P&amp;L'!AD40</f>
        <v>137812.43385</v>
      </c>
      <c r="GK20" s="1976" t="n">
        <f aca="false">'P&amp;L'!AE40</f>
        <v>137812.43385</v>
      </c>
      <c r="GL20" s="1976" t="n">
        <f aca="false">'P&amp;L'!AF40</f>
        <v>137812.43385</v>
      </c>
      <c r="GM20" s="1976" t="n">
        <f aca="false">'P&amp;L'!AG40</f>
        <v>137812.43385</v>
      </c>
      <c r="GN20" s="1976" t="n">
        <f aca="false">'P&amp;L'!AH40</f>
        <v>137812.43385</v>
      </c>
      <c r="GO20" s="1976" t="n">
        <f aca="false">'P&amp;L'!AI40</f>
        <v>137812.43385</v>
      </c>
      <c r="GP20" s="1976" t="n">
        <f aca="false">'P&amp;L'!AJ40</f>
        <v>137812.43385</v>
      </c>
      <c r="GQ20" s="1977" t="n">
        <f aca="false">'P&amp;L'!AK40</f>
        <v>137812.43385</v>
      </c>
      <c r="GR20" s="1893"/>
      <c r="GS20" s="1944" t="str">
        <f aca="false">GE20</f>
        <v>Total Personnel</v>
      </c>
      <c r="GT20" s="1979" t="n">
        <f aca="false">'P&amp;L'!AL40</f>
        <v>144703.0555425</v>
      </c>
      <c r="GU20" s="1980" t="n">
        <f aca="false">'P&amp;L'!AM40</f>
        <v>144703.0555425</v>
      </c>
      <c r="GV20" s="1980" t="n">
        <f aca="false">'P&amp;L'!AN40</f>
        <v>144703.0555425</v>
      </c>
      <c r="GW20" s="1980" t="n">
        <f aca="false">'P&amp;L'!AO40</f>
        <v>144703.0555425</v>
      </c>
      <c r="GX20" s="1980" t="n">
        <f aca="false">'P&amp;L'!AP40</f>
        <v>144703.0555425</v>
      </c>
      <c r="GY20" s="1980" t="n">
        <f aca="false">'P&amp;L'!AQ40</f>
        <v>144703.0555425</v>
      </c>
      <c r="GZ20" s="1980" t="n">
        <f aca="false">'P&amp;L'!AR40</f>
        <v>144703.0555425</v>
      </c>
      <c r="HA20" s="1980" t="n">
        <f aca="false">'P&amp;L'!AS40</f>
        <v>144703.0555425</v>
      </c>
      <c r="HB20" s="1980" t="n">
        <f aca="false">'P&amp;L'!AT40</f>
        <v>144703.0555425</v>
      </c>
      <c r="HC20" s="1980" t="n">
        <f aca="false">'P&amp;L'!AU40</f>
        <v>144703.0555425</v>
      </c>
      <c r="HD20" s="1980" t="n">
        <f aca="false">'P&amp;L'!AV40</f>
        <v>144703.0555425</v>
      </c>
      <c r="HE20" s="1981" t="n">
        <f aca="false">'P&amp;L'!AW40</f>
        <v>144703.0555425</v>
      </c>
      <c r="HF20" s="1896"/>
      <c r="HG20" s="1948" t="str">
        <f aca="false">GS20</f>
        <v>Total Personnel</v>
      </c>
      <c r="HH20" s="1983" t="n">
        <f aca="false">'P&amp;L'!AX40</f>
        <v>151938.208319625</v>
      </c>
      <c r="HI20" s="1984" t="n">
        <f aca="false">'P&amp;L'!AY40</f>
        <v>151938.208319625</v>
      </c>
      <c r="HJ20" s="1984" t="n">
        <f aca="false">'P&amp;L'!AZ40</f>
        <v>151938.208319625</v>
      </c>
      <c r="HK20" s="1984" t="n">
        <f aca="false">'P&amp;L'!BA40</f>
        <v>151938.208319625</v>
      </c>
      <c r="HL20" s="1984" t="n">
        <f aca="false">'P&amp;L'!BB40</f>
        <v>151938.208319625</v>
      </c>
      <c r="HM20" s="1984" t="n">
        <f aca="false">'P&amp;L'!BC40</f>
        <v>151938.208319625</v>
      </c>
      <c r="HN20" s="1984" t="n">
        <f aca="false">'P&amp;L'!BD40</f>
        <v>151938.208319625</v>
      </c>
      <c r="HO20" s="1984" t="n">
        <f aca="false">'P&amp;L'!BE40</f>
        <v>151938.208319625</v>
      </c>
      <c r="HP20" s="1984" t="n">
        <f aca="false">'P&amp;L'!BF40</f>
        <v>151938.208319625</v>
      </c>
      <c r="HQ20" s="1984" t="n">
        <f aca="false">'P&amp;L'!BG40</f>
        <v>151938.208319625</v>
      </c>
      <c r="HR20" s="1984" t="n">
        <f aca="false">'P&amp;L'!BH40</f>
        <v>151938.208319625</v>
      </c>
      <c r="HS20" s="1985" t="n">
        <f aca="false">'P&amp;L'!BI40</f>
        <v>151938.208319625</v>
      </c>
    </row>
    <row r="21" customFormat="false" ht="10.5" hidden="false" customHeight="true" outlineLevel="0" collapsed="false">
      <c r="A21" s="1641"/>
      <c r="B21" s="1936" t="str">
        <f aca="false">Personnel!A21</f>
        <v>Trades-3</v>
      </c>
      <c r="C21" s="1971" t="n">
        <f aca="false">Personnel!P21</f>
        <v>0</v>
      </c>
      <c r="D21" s="1972" t="n">
        <f aca="false">Personnel!Q21</f>
        <v>0</v>
      </c>
      <c r="E21" s="1972" t="n">
        <f aca="false">Personnel!R21</f>
        <v>0</v>
      </c>
      <c r="F21" s="1972" t="n">
        <f aca="false">Personnel!S21</f>
        <v>0</v>
      </c>
      <c r="G21" s="1972" t="n">
        <f aca="false">Personnel!T21</f>
        <v>0</v>
      </c>
      <c r="H21" s="1972" t="n">
        <f aca="false">Personnel!U21</f>
        <v>0</v>
      </c>
      <c r="I21" s="1972" t="n">
        <f aca="false">Personnel!V21</f>
        <v>0</v>
      </c>
      <c r="J21" s="1972" t="n">
        <f aca="false">Personnel!W21</f>
        <v>0</v>
      </c>
      <c r="K21" s="1972" t="n">
        <f aca="false">Personnel!X21</f>
        <v>0</v>
      </c>
      <c r="L21" s="1972" t="n">
        <f aca="false">Personnel!Y21</f>
        <v>0</v>
      </c>
      <c r="M21" s="1972" t="n">
        <f aca="false">Personnel!Z21</f>
        <v>0</v>
      </c>
      <c r="N21" s="1973" t="n">
        <f aca="false">Personnel!AA21</f>
        <v>0</v>
      </c>
      <c r="O21" s="1882"/>
      <c r="P21" s="1940" t="str">
        <f aca="false">B21</f>
        <v>Trades-3</v>
      </c>
      <c r="Q21" s="1975" t="n">
        <f aca="false">Personnel!AB21</f>
        <v>0</v>
      </c>
      <c r="R21" s="1976" t="n">
        <f aca="false">Personnel!AC21</f>
        <v>0</v>
      </c>
      <c r="S21" s="1976" t="n">
        <f aca="false">Personnel!AD21</f>
        <v>0</v>
      </c>
      <c r="T21" s="1976" t="n">
        <f aca="false">Personnel!AE21</f>
        <v>0</v>
      </c>
      <c r="U21" s="1976" t="n">
        <f aca="false">Personnel!AF21</f>
        <v>0</v>
      </c>
      <c r="V21" s="1976" t="n">
        <f aca="false">Personnel!AG21</f>
        <v>0</v>
      </c>
      <c r="W21" s="1976" t="n">
        <f aca="false">Personnel!AH21</f>
        <v>0</v>
      </c>
      <c r="X21" s="1976" t="n">
        <f aca="false">Personnel!AI21</f>
        <v>0</v>
      </c>
      <c r="Y21" s="1976" t="n">
        <f aca="false">Personnel!AJ21</f>
        <v>0</v>
      </c>
      <c r="Z21" s="1976" t="n">
        <f aca="false">Personnel!AK21</f>
        <v>0</v>
      </c>
      <c r="AA21" s="1976" t="n">
        <f aca="false">Personnel!AL21</f>
        <v>0</v>
      </c>
      <c r="AB21" s="1977" t="n">
        <f aca="false">Personnel!AM21</f>
        <v>0</v>
      </c>
      <c r="AC21" s="1882"/>
      <c r="AD21" s="1944" t="str">
        <f aca="false">P21</f>
        <v>Trades-3</v>
      </c>
      <c r="AE21" s="1979" t="n">
        <f aca="false">Personnel!AN21</f>
        <v>0</v>
      </c>
      <c r="AF21" s="1980" t="n">
        <f aca="false">Personnel!AO21</f>
        <v>0</v>
      </c>
      <c r="AG21" s="1980" t="n">
        <f aca="false">Personnel!AP21</f>
        <v>0</v>
      </c>
      <c r="AH21" s="1980" t="n">
        <f aca="false">Personnel!AQ21</f>
        <v>0</v>
      </c>
      <c r="AI21" s="1980" t="n">
        <f aca="false">Personnel!AR21</f>
        <v>0</v>
      </c>
      <c r="AJ21" s="1980" t="n">
        <f aca="false">Personnel!AS21</f>
        <v>0</v>
      </c>
      <c r="AK21" s="1980" t="n">
        <f aca="false">Personnel!AT21</f>
        <v>0</v>
      </c>
      <c r="AL21" s="1980" t="n">
        <f aca="false">Personnel!AU21</f>
        <v>0</v>
      </c>
      <c r="AM21" s="1980" t="n">
        <f aca="false">Personnel!AV21</f>
        <v>0</v>
      </c>
      <c r="AN21" s="1980" t="n">
        <f aca="false">Personnel!AW21</f>
        <v>0</v>
      </c>
      <c r="AO21" s="1980" t="n">
        <f aca="false">Personnel!AX21</f>
        <v>0</v>
      </c>
      <c r="AP21" s="1981" t="n">
        <f aca="false">Personnel!AY21</f>
        <v>0</v>
      </c>
      <c r="AQ21" s="1882"/>
      <c r="AR21" s="1948" t="str">
        <f aca="false">AD21</f>
        <v>Trades-3</v>
      </c>
      <c r="AS21" s="1983" t="n">
        <f aca="false">Personnel!AZ21</f>
        <v>0</v>
      </c>
      <c r="AT21" s="1984" t="n">
        <f aca="false">Personnel!BA21</f>
        <v>0</v>
      </c>
      <c r="AU21" s="1984" t="n">
        <f aca="false">Personnel!BB21</f>
        <v>0</v>
      </c>
      <c r="AV21" s="1984" t="n">
        <f aca="false">Personnel!BC21</f>
        <v>0</v>
      </c>
      <c r="AW21" s="1984" t="n">
        <f aca="false">Personnel!BD21</f>
        <v>0</v>
      </c>
      <c r="AX21" s="1984" t="n">
        <f aca="false">Personnel!BE21</f>
        <v>0</v>
      </c>
      <c r="AY21" s="1984" t="n">
        <f aca="false">Personnel!BF21</f>
        <v>0</v>
      </c>
      <c r="AZ21" s="1984" t="n">
        <f aca="false">Personnel!BG21</f>
        <v>0</v>
      </c>
      <c r="BA21" s="1984" t="n">
        <f aca="false">Personnel!BH21</f>
        <v>0</v>
      </c>
      <c r="BB21" s="1984" t="n">
        <f aca="false">Personnel!BI21</f>
        <v>0</v>
      </c>
      <c r="BC21" s="1984" t="n">
        <f aca="false">Personnel!BJ21</f>
        <v>0</v>
      </c>
      <c r="BD21" s="1985" t="n">
        <f aca="false">Personnel!BK21</f>
        <v>0</v>
      </c>
      <c r="BE21" s="1466"/>
      <c r="BF21" s="1885"/>
      <c r="BG21" s="1915" t="str">
        <f aca="false">Revenue!A108</f>
        <v>SS-2</v>
      </c>
      <c r="BH21" s="1916" t="n">
        <f aca="false">Revenue!N108</f>
        <v>60646.575</v>
      </c>
      <c r="BI21" s="1916" t="n">
        <f aca="false">Revenue!O108</f>
        <v>67385.0833333332</v>
      </c>
      <c r="BJ21" s="1916" t="n">
        <f aca="false">Revenue!P108</f>
        <v>74123.5916666668</v>
      </c>
      <c r="BK21" s="1916" t="n">
        <f aca="false">Revenue!Q108</f>
        <v>80862.1</v>
      </c>
      <c r="BL21" s="1916" t="n">
        <f aca="false">Revenue!R108</f>
        <v>87600.6083333332</v>
      </c>
      <c r="BM21" s="1916" t="n">
        <f aca="false">Revenue!S108</f>
        <v>94339.1166666668</v>
      </c>
      <c r="BN21" s="1916" t="n">
        <f aca="false">Revenue!T108</f>
        <v>101077.625</v>
      </c>
      <c r="BO21" s="1916" t="n">
        <f aca="false">Revenue!U108</f>
        <v>107816.133333333</v>
      </c>
      <c r="BP21" s="1916" t="n">
        <f aca="false">Revenue!V108</f>
        <v>114554.641666667</v>
      </c>
      <c r="BQ21" s="1916" t="n">
        <f aca="false">Revenue!W108</f>
        <v>121293.15</v>
      </c>
      <c r="BR21" s="1916" t="n">
        <f aca="false">Revenue!X108</f>
        <v>128031.658333333</v>
      </c>
      <c r="BS21" s="1915" t="n">
        <f aca="false">Revenue!Y108</f>
        <v>134770.166666667</v>
      </c>
      <c r="BT21" s="1888"/>
      <c r="BU21" s="1952" t="str">
        <f aca="false">BG21</f>
        <v>SS-2</v>
      </c>
      <c r="BV21" s="1952" t="n">
        <f aca="false">Revenue!Z76</f>
        <v>5541.66666666667</v>
      </c>
      <c r="BW21" s="1952" t="n">
        <f aca="false">Revenue!AA76</f>
        <v>5541.66666666667</v>
      </c>
      <c r="BX21" s="1953" t="n">
        <f aca="false">Revenue!AB76</f>
        <v>5541.66666666667</v>
      </c>
      <c r="BY21" s="1952" t="n">
        <f aca="false">Revenue!AC76</f>
        <v>5541.66666666667</v>
      </c>
      <c r="BZ21" s="1952" t="n">
        <f aca="false">Revenue!AD76</f>
        <v>5541.66666666667</v>
      </c>
      <c r="CA21" s="1952" t="n">
        <f aca="false">Revenue!AE76</f>
        <v>5541.66666666667</v>
      </c>
      <c r="CB21" s="1952" t="n">
        <f aca="false">Revenue!AF76</f>
        <v>5541.66666666667</v>
      </c>
      <c r="CC21" s="1952" t="n">
        <f aca="false">Revenue!AG76</f>
        <v>5541.66666666667</v>
      </c>
      <c r="CD21" s="1952" t="n">
        <f aca="false">Revenue!AH76</f>
        <v>5541.66666666667</v>
      </c>
      <c r="CE21" s="1952" t="n">
        <f aca="false">Revenue!AI76</f>
        <v>5541.66666666667</v>
      </c>
      <c r="CF21" s="1952" t="n">
        <f aca="false">Revenue!AJ76</f>
        <v>5541.66666666667</v>
      </c>
      <c r="CG21" s="1952" t="n">
        <f aca="false">Revenue!AK76</f>
        <v>5541.66666666667</v>
      </c>
      <c r="CH21" s="1891"/>
      <c r="CI21" s="1954" t="str">
        <f aca="false">BU21</f>
        <v>SS-2</v>
      </c>
      <c r="CJ21" s="1955" t="n">
        <f aca="false">Revenue!AL76</f>
        <v>5541.66666666667</v>
      </c>
      <c r="CK21" s="1955" t="n">
        <f aca="false">Revenue!AM76</f>
        <v>5541.66666666667</v>
      </c>
      <c r="CL21" s="1955" t="n">
        <f aca="false">Revenue!AN76</f>
        <v>5541.66666666667</v>
      </c>
      <c r="CM21" s="1955" t="n">
        <f aca="false">Revenue!AO76</f>
        <v>5541.66666666667</v>
      </c>
      <c r="CN21" s="1955" t="n">
        <f aca="false">Revenue!AP76</f>
        <v>5541.66666666667</v>
      </c>
      <c r="CO21" s="1955" t="n">
        <f aca="false">Revenue!AQ76</f>
        <v>5541.66666666667</v>
      </c>
      <c r="CP21" s="1955" t="n">
        <f aca="false">Revenue!AR76</f>
        <v>5541.66666666667</v>
      </c>
      <c r="CQ21" s="1955" t="n">
        <f aca="false">Revenue!AS76</f>
        <v>5541.66666666667</v>
      </c>
      <c r="CR21" s="1955" t="n">
        <f aca="false">Revenue!AT76</f>
        <v>5541.66666666667</v>
      </c>
      <c r="CS21" s="1955" t="n">
        <f aca="false">Revenue!AU76</f>
        <v>5541.66666666667</v>
      </c>
      <c r="CT21" s="1955" t="n">
        <f aca="false">Revenue!AV76</f>
        <v>5541.66666666667</v>
      </c>
      <c r="CU21" s="1955" t="n">
        <f aca="false">Revenue!AW76</f>
        <v>5541.66666666667</v>
      </c>
      <c r="CV21" s="1888"/>
      <c r="CW21" s="1956" t="str">
        <f aca="false">CI21</f>
        <v>SS-2</v>
      </c>
      <c r="CX21" s="1957" t="n">
        <f aca="false">Revenue!AX76</f>
        <v>5541.66666666667</v>
      </c>
      <c r="CY21" s="1957" t="n">
        <f aca="false">Revenue!AY76</f>
        <v>5541.66666666667</v>
      </c>
      <c r="CZ21" s="1957" t="n">
        <f aca="false">Revenue!AZ76</f>
        <v>5541.66666666667</v>
      </c>
      <c r="DA21" s="1957" t="n">
        <f aca="false">Revenue!BA76</f>
        <v>5541.66666666667</v>
      </c>
      <c r="DB21" s="1957" t="n">
        <f aca="false">Revenue!BB76</f>
        <v>5541.66666666667</v>
      </c>
      <c r="DC21" s="1957" t="n">
        <f aca="false">Revenue!BC76</f>
        <v>5541.66666666667</v>
      </c>
      <c r="DD21" s="1957" t="n">
        <f aca="false">Revenue!BD76</f>
        <v>5541.66666666667</v>
      </c>
      <c r="DE21" s="1957" t="n">
        <f aca="false">Revenue!BE76</f>
        <v>5541.66666666667</v>
      </c>
      <c r="DF21" s="1957" t="n">
        <f aca="false">Revenue!BF76</f>
        <v>5541.66666666667</v>
      </c>
      <c r="DG21" s="1957" t="n">
        <f aca="false">Revenue!BG76</f>
        <v>5541.66666666667</v>
      </c>
      <c r="DH21" s="1957" t="n">
        <f aca="false">Revenue!BH76</f>
        <v>5541.66666666667</v>
      </c>
      <c r="DI21" s="1957" t="n">
        <f aca="false">Revenue!BI76</f>
        <v>5541.66666666667</v>
      </c>
      <c r="DJ21" s="1466"/>
      <c r="DK21" s="1163"/>
      <c r="DL21" s="1958"/>
      <c r="DM21" s="2051" t="n">
        <v>0</v>
      </c>
      <c r="DN21" s="2052" t="n">
        <v>0</v>
      </c>
      <c r="DO21" s="2052" t="n">
        <v>0</v>
      </c>
      <c r="DP21" s="2052" t="n">
        <v>0</v>
      </c>
      <c r="DQ21" s="2052" t="n">
        <v>0</v>
      </c>
      <c r="DR21" s="2052" t="n">
        <v>0</v>
      </c>
      <c r="DS21" s="2052" t="n">
        <v>0</v>
      </c>
      <c r="DT21" s="2052" t="n">
        <v>0</v>
      </c>
      <c r="DU21" s="2052" t="n">
        <v>0</v>
      </c>
      <c r="DV21" s="2052" t="n">
        <v>0</v>
      </c>
      <c r="DW21" s="2052" t="n">
        <v>0</v>
      </c>
      <c r="DX21" s="2053" t="n">
        <v>0</v>
      </c>
      <c r="DY21" s="1893"/>
      <c r="DZ21" s="2054" t="n">
        <v>0</v>
      </c>
      <c r="EA21" s="2055" t="n">
        <v>0</v>
      </c>
      <c r="EB21" s="2056" t="n">
        <v>0</v>
      </c>
      <c r="EC21" s="2056" t="n">
        <v>0</v>
      </c>
      <c r="ED21" s="2056" t="n">
        <v>0</v>
      </c>
      <c r="EE21" s="2056" t="n">
        <v>0</v>
      </c>
      <c r="EF21" s="2056" t="n">
        <v>0</v>
      </c>
      <c r="EG21" s="2056" t="n">
        <v>0</v>
      </c>
      <c r="EH21" s="2056" t="n">
        <v>0</v>
      </c>
      <c r="EI21" s="2056" t="n">
        <v>0</v>
      </c>
      <c r="EJ21" s="2056" t="n">
        <v>0</v>
      </c>
      <c r="EK21" s="2056" t="n">
        <v>0</v>
      </c>
      <c r="EL21" s="2057" t="n">
        <v>0</v>
      </c>
      <c r="EM21" s="1893"/>
      <c r="EN21" s="1966" t="n">
        <v>0</v>
      </c>
      <c r="EO21" s="1979" t="n">
        <v>0</v>
      </c>
      <c r="EP21" s="1980" t="n">
        <v>0</v>
      </c>
      <c r="EQ21" s="1980" t="n">
        <v>0</v>
      </c>
      <c r="ER21" s="1980" t="n">
        <v>0</v>
      </c>
      <c r="ES21" s="1980" t="n">
        <v>0</v>
      </c>
      <c r="ET21" s="1980" t="n">
        <v>0</v>
      </c>
      <c r="EU21" s="1980" t="n">
        <v>0</v>
      </c>
      <c r="EV21" s="1980" t="n">
        <v>0</v>
      </c>
      <c r="EW21" s="1980" t="n">
        <v>0</v>
      </c>
      <c r="EX21" s="1980" t="n">
        <v>0</v>
      </c>
      <c r="EY21" s="1980" t="n">
        <v>0</v>
      </c>
      <c r="EZ21" s="1981" t="n">
        <v>0</v>
      </c>
      <c r="FA21" s="1893"/>
      <c r="FB21" s="1967" t="n">
        <v>0</v>
      </c>
      <c r="FC21" s="2058" t="n">
        <v>0</v>
      </c>
      <c r="FD21" s="2059" t="n">
        <v>0</v>
      </c>
      <c r="FE21" s="2059" t="n">
        <v>0</v>
      </c>
      <c r="FF21" s="2059" t="n">
        <v>0</v>
      </c>
      <c r="FG21" s="2059" t="n">
        <v>0</v>
      </c>
      <c r="FH21" s="2059" t="n">
        <v>0</v>
      </c>
      <c r="FI21" s="2059" t="n">
        <v>0</v>
      </c>
      <c r="FJ21" s="2059" t="n">
        <v>0</v>
      </c>
      <c r="FK21" s="2059" t="n">
        <v>0</v>
      </c>
      <c r="FL21" s="2059" t="n">
        <v>0</v>
      </c>
      <c r="FM21" s="2059" t="n">
        <v>0</v>
      </c>
      <c r="FN21" s="2060" t="n">
        <v>0</v>
      </c>
      <c r="FO21" s="1466"/>
      <c r="FP21" s="1896"/>
      <c r="FQ21" s="2027" t="str">
        <f aca="false">'Tables 5Y'!CK21</f>
        <v>Total Op. Expenses</v>
      </c>
      <c r="FR21" s="2064" t="n">
        <f aca="false">'P&amp;L'!N41</f>
        <v>1158254.81769214</v>
      </c>
      <c r="FS21" s="2065" t="n">
        <f aca="false">'P&amp;L'!O41</f>
        <v>1247120.43068238</v>
      </c>
      <c r="FT21" s="2065" t="n">
        <f aca="false">'P&amp;L'!P41</f>
        <v>1380758.04367262</v>
      </c>
      <c r="FU21" s="2065" t="n">
        <f aca="false">'P&amp;L'!Q41</f>
        <v>1510512.19666286</v>
      </c>
      <c r="FV21" s="2065" t="n">
        <f aca="false">'P&amp;L'!R41</f>
        <v>1640266.3496531</v>
      </c>
      <c r="FW21" s="2065" t="n">
        <f aca="false">'P&amp;L'!S41</f>
        <v>1770020.50264333</v>
      </c>
      <c r="FX21" s="2065" t="n">
        <f aca="false">'P&amp;L'!T41</f>
        <v>1899774.65563357</v>
      </c>
      <c r="FY21" s="2065" t="n">
        <f aca="false">'P&amp;L'!U41</f>
        <v>1984756.80862381</v>
      </c>
      <c r="FZ21" s="2065" t="n">
        <f aca="false">'P&amp;L'!V41</f>
        <v>2021235.96161405</v>
      </c>
      <c r="GA21" s="2065" t="n">
        <f aca="false">'P&amp;L'!W41</f>
        <v>2057715.11460429</v>
      </c>
      <c r="GB21" s="2065" t="n">
        <f aca="false">'P&amp;L'!X41</f>
        <v>2094194.26759452</v>
      </c>
      <c r="GC21" s="2066" t="n">
        <f aca="false">'P&amp;L'!Y41</f>
        <v>2130673.42058476</v>
      </c>
      <c r="GD21" s="1893"/>
      <c r="GE21" s="2031" t="str">
        <f aca="false">FQ21</f>
        <v>Total Op. Expenses</v>
      </c>
      <c r="GF21" s="2067" t="n">
        <f aca="false">'P&amp;L'!Z41</f>
        <v>2918981.3386285</v>
      </c>
      <c r="GG21" s="2068" t="n">
        <f aca="false">'P&amp;L'!AA41</f>
        <v>2918981.3386285</v>
      </c>
      <c r="GH21" s="2068" t="n">
        <f aca="false">'P&amp;L'!AB41</f>
        <v>2918981.3386285</v>
      </c>
      <c r="GI21" s="2068" t="n">
        <f aca="false">'P&amp;L'!AC41</f>
        <v>2918981.3386285</v>
      </c>
      <c r="GJ21" s="2068" t="n">
        <f aca="false">'P&amp;L'!AD41</f>
        <v>2918981.3386285</v>
      </c>
      <c r="GK21" s="2068" t="n">
        <f aca="false">'P&amp;L'!AE41</f>
        <v>2918981.3386285</v>
      </c>
      <c r="GL21" s="2068" t="n">
        <f aca="false">'P&amp;L'!AF41</f>
        <v>2918981.3386285</v>
      </c>
      <c r="GM21" s="2068" t="n">
        <f aca="false">'P&amp;L'!AG41</f>
        <v>2918981.3386285</v>
      </c>
      <c r="GN21" s="2068" t="n">
        <f aca="false">'P&amp;L'!AH41</f>
        <v>2918981.3386285</v>
      </c>
      <c r="GO21" s="2068" t="n">
        <f aca="false">'P&amp;L'!AI41</f>
        <v>2918981.3386285</v>
      </c>
      <c r="GP21" s="2068" t="n">
        <f aca="false">'P&amp;L'!AJ41</f>
        <v>2918981.3386285</v>
      </c>
      <c r="GQ21" s="2069" t="n">
        <f aca="false">'P&amp;L'!AK41</f>
        <v>2918981.3386285</v>
      </c>
      <c r="GR21" s="1893"/>
      <c r="GS21" s="2035" t="str">
        <f aca="false">GE21</f>
        <v>Total Op. Expenses</v>
      </c>
      <c r="GT21" s="2070" t="n">
        <f aca="false">'P&amp;L'!AL41</f>
        <v>3101582.64745659</v>
      </c>
      <c r="GU21" s="2071" t="n">
        <f aca="false">'P&amp;L'!AM41</f>
        <v>3101582.64745659</v>
      </c>
      <c r="GV21" s="2071" t="n">
        <f aca="false">'P&amp;L'!AN41</f>
        <v>3101582.64745659</v>
      </c>
      <c r="GW21" s="2071" t="n">
        <f aca="false">'P&amp;L'!AO41</f>
        <v>3101582.64745659</v>
      </c>
      <c r="GX21" s="2071" t="n">
        <f aca="false">'P&amp;L'!AP41</f>
        <v>3101582.64745659</v>
      </c>
      <c r="GY21" s="2071" t="n">
        <f aca="false">'P&amp;L'!AQ41</f>
        <v>3101582.64745659</v>
      </c>
      <c r="GZ21" s="2071" t="n">
        <f aca="false">'P&amp;L'!AR41</f>
        <v>3101582.64745659</v>
      </c>
      <c r="HA21" s="2071" t="n">
        <f aca="false">'P&amp;L'!AS41</f>
        <v>3101582.64745659</v>
      </c>
      <c r="HB21" s="2071" t="n">
        <f aca="false">'P&amp;L'!AT41</f>
        <v>3101582.64745659</v>
      </c>
      <c r="HC21" s="2071" t="n">
        <f aca="false">'P&amp;L'!AU41</f>
        <v>3101582.64745659</v>
      </c>
      <c r="HD21" s="2071" t="n">
        <f aca="false">'P&amp;L'!AV41</f>
        <v>3101582.64745659</v>
      </c>
      <c r="HE21" s="2072" t="n">
        <f aca="false">'P&amp;L'!AW41</f>
        <v>3101582.64745659</v>
      </c>
      <c r="HF21" s="1896"/>
      <c r="HG21" s="2036" t="str">
        <f aca="false">GS21</f>
        <v>Total Op. Expenses</v>
      </c>
      <c r="HH21" s="2073" t="n">
        <f aca="false">'P&amp;L'!AX41</f>
        <v>3287510.520114</v>
      </c>
      <c r="HI21" s="2074" t="n">
        <f aca="false">'P&amp;L'!AY41</f>
        <v>3287510.520114</v>
      </c>
      <c r="HJ21" s="2074" t="n">
        <f aca="false">'P&amp;L'!AZ41</f>
        <v>3287510.520114</v>
      </c>
      <c r="HK21" s="2074" t="n">
        <f aca="false">'P&amp;L'!BA41</f>
        <v>3287510.520114</v>
      </c>
      <c r="HL21" s="2074" t="n">
        <f aca="false">'P&amp;L'!BB41</f>
        <v>3287510.520114</v>
      </c>
      <c r="HM21" s="2074" t="n">
        <f aca="false">'P&amp;L'!BC41</f>
        <v>3287510.520114</v>
      </c>
      <c r="HN21" s="2074" t="n">
        <f aca="false">'P&amp;L'!BD41</f>
        <v>3287510.520114</v>
      </c>
      <c r="HO21" s="2074" t="n">
        <f aca="false">'P&amp;L'!BE41</f>
        <v>3287510.520114</v>
      </c>
      <c r="HP21" s="2074" t="n">
        <f aca="false">'P&amp;L'!BF41</f>
        <v>3287510.520114</v>
      </c>
      <c r="HQ21" s="2074" t="n">
        <f aca="false">'P&amp;L'!BG41</f>
        <v>3287510.520114</v>
      </c>
      <c r="HR21" s="2074" t="n">
        <f aca="false">'P&amp;L'!BH41</f>
        <v>3287510.520114</v>
      </c>
      <c r="HS21" s="2075" t="n">
        <f aca="false">'P&amp;L'!BI41</f>
        <v>3287510.520114</v>
      </c>
    </row>
    <row r="22" customFormat="false" ht="10.5" hidden="false" customHeight="true" outlineLevel="0" collapsed="false">
      <c r="A22" s="1641"/>
      <c r="B22" s="1936" t="str">
        <f aca="false">Personnel!A22</f>
        <v>Admin-3</v>
      </c>
      <c r="C22" s="1971" t="n">
        <f aca="false">Personnel!P22</f>
        <v>0</v>
      </c>
      <c r="D22" s="1972" t="n">
        <f aca="false">Personnel!Q22</f>
        <v>0</v>
      </c>
      <c r="E22" s="1972" t="n">
        <f aca="false">Personnel!R22</f>
        <v>0</v>
      </c>
      <c r="F22" s="1972" t="n">
        <f aca="false">Personnel!S22</f>
        <v>0</v>
      </c>
      <c r="G22" s="1972" t="n">
        <f aca="false">Personnel!T22</f>
        <v>0</v>
      </c>
      <c r="H22" s="1972" t="n">
        <f aca="false">Personnel!U22</f>
        <v>0</v>
      </c>
      <c r="I22" s="1972" t="n">
        <f aca="false">Personnel!V22</f>
        <v>0</v>
      </c>
      <c r="J22" s="1972" t="n">
        <f aca="false">Personnel!W22</f>
        <v>0</v>
      </c>
      <c r="K22" s="1972" t="n">
        <f aca="false">Personnel!X22</f>
        <v>0</v>
      </c>
      <c r="L22" s="1972" t="n">
        <f aca="false">Personnel!Y22</f>
        <v>0</v>
      </c>
      <c r="M22" s="1972" t="n">
        <f aca="false">Personnel!Z22</f>
        <v>0</v>
      </c>
      <c r="N22" s="1973" t="n">
        <f aca="false">Personnel!AA22</f>
        <v>0</v>
      </c>
      <c r="O22" s="1882"/>
      <c r="P22" s="1940" t="str">
        <f aca="false">B22</f>
        <v>Admin-3</v>
      </c>
      <c r="Q22" s="1975" t="n">
        <f aca="false">Personnel!AB22</f>
        <v>0</v>
      </c>
      <c r="R22" s="1976" t="n">
        <f aca="false">Personnel!AC22</f>
        <v>0</v>
      </c>
      <c r="S22" s="1976" t="n">
        <f aca="false">Personnel!AD22</f>
        <v>0</v>
      </c>
      <c r="T22" s="1976" t="n">
        <f aca="false">Personnel!AE22</f>
        <v>0</v>
      </c>
      <c r="U22" s="1976" t="n">
        <f aca="false">Personnel!AF22</f>
        <v>0</v>
      </c>
      <c r="V22" s="1976" t="n">
        <f aca="false">Personnel!AG22</f>
        <v>0</v>
      </c>
      <c r="W22" s="1976" t="n">
        <f aca="false">Personnel!AH22</f>
        <v>0</v>
      </c>
      <c r="X22" s="1976" t="n">
        <f aca="false">Personnel!AI22</f>
        <v>0</v>
      </c>
      <c r="Y22" s="1976" t="n">
        <f aca="false">Personnel!AJ22</f>
        <v>0</v>
      </c>
      <c r="Z22" s="1976" t="n">
        <f aca="false">Personnel!AK22</f>
        <v>0</v>
      </c>
      <c r="AA22" s="1976" t="n">
        <f aca="false">Personnel!AL22</f>
        <v>0</v>
      </c>
      <c r="AB22" s="1977" t="n">
        <f aca="false">Personnel!AM22</f>
        <v>0</v>
      </c>
      <c r="AC22" s="1882"/>
      <c r="AD22" s="1944" t="str">
        <f aca="false">P22</f>
        <v>Admin-3</v>
      </c>
      <c r="AE22" s="1979" t="n">
        <f aca="false">Personnel!AN22</f>
        <v>0</v>
      </c>
      <c r="AF22" s="1980" t="n">
        <f aca="false">Personnel!AO22</f>
        <v>0</v>
      </c>
      <c r="AG22" s="1980" t="n">
        <f aca="false">Personnel!AP22</f>
        <v>0</v>
      </c>
      <c r="AH22" s="1980" t="n">
        <f aca="false">Personnel!AQ22</f>
        <v>0</v>
      </c>
      <c r="AI22" s="1980" t="n">
        <f aca="false">Personnel!AR22</f>
        <v>0</v>
      </c>
      <c r="AJ22" s="1980" t="n">
        <f aca="false">Personnel!AS22</f>
        <v>0</v>
      </c>
      <c r="AK22" s="1980" t="n">
        <f aca="false">Personnel!AT22</f>
        <v>0</v>
      </c>
      <c r="AL22" s="1980" t="n">
        <f aca="false">Personnel!AU22</f>
        <v>0</v>
      </c>
      <c r="AM22" s="1980" t="n">
        <f aca="false">Personnel!AV22</f>
        <v>0</v>
      </c>
      <c r="AN22" s="1980" t="n">
        <f aca="false">Personnel!AW22</f>
        <v>0</v>
      </c>
      <c r="AO22" s="1980" t="n">
        <f aca="false">Personnel!AX22</f>
        <v>0</v>
      </c>
      <c r="AP22" s="1981" t="n">
        <f aca="false">Personnel!AY22</f>
        <v>0</v>
      </c>
      <c r="AQ22" s="1882"/>
      <c r="AR22" s="1948" t="str">
        <f aca="false">AD22</f>
        <v>Admin-3</v>
      </c>
      <c r="AS22" s="1983" t="n">
        <f aca="false">Personnel!AZ22</f>
        <v>0</v>
      </c>
      <c r="AT22" s="1984" t="n">
        <f aca="false">Personnel!BA22</f>
        <v>0</v>
      </c>
      <c r="AU22" s="1984" t="n">
        <f aca="false">Personnel!BB22</f>
        <v>0</v>
      </c>
      <c r="AV22" s="1984" t="n">
        <f aca="false">Personnel!BC22</f>
        <v>0</v>
      </c>
      <c r="AW22" s="1984" t="n">
        <f aca="false">Personnel!BD22</f>
        <v>0</v>
      </c>
      <c r="AX22" s="1984" t="n">
        <f aca="false">Personnel!BE22</f>
        <v>0</v>
      </c>
      <c r="AY22" s="1984" t="n">
        <f aca="false">Personnel!BF22</f>
        <v>0</v>
      </c>
      <c r="AZ22" s="1984" t="n">
        <f aca="false">Personnel!BG22</f>
        <v>0</v>
      </c>
      <c r="BA22" s="1984" t="n">
        <f aca="false">Personnel!BH22</f>
        <v>0</v>
      </c>
      <c r="BB22" s="1984" t="n">
        <f aca="false">Personnel!BI22</f>
        <v>0</v>
      </c>
      <c r="BC22" s="1984" t="n">
        <f aca="false">Personnel!BJ22</f>
        <v>0</v>
      </c>
      <c r="BD22" s="1985" t="n">
        <f aca="false">Personnel!BK22</f>
        <v>0</v>
      </c>
      <c r="BE22" s="1466"/>
      <c r="BF22" s="1885"/>
      <c r="BG22" s="1915" t="str">
        <f aca="false">Revenue!A109</f>
        <v>SS-3</v>
      </c>
      <c r="BH22" s="1916" t="n">
        <f aca="false">Revenue!N109</f>
        <v>77974.167857143</v>
      </c>
      <c r="BI22" s="1916" t="n">
        <f aca="false">Revenue!O109</f>
        <v>86637.9642857145</v>
      </c>
      <c r="BJ22" s="1916" t="n">
        <f aca="false">Revenue!P109</f>
        <v>95301.760714286</v>
      </c>
      <c r="BK22" s="1916" t="n">
        <f aca="false">Revenue!Q109</f>
        <v>103965.557142857</v>
      </c>
      <c r="BL22" s="1916" t="n">
        <f aca="false">Revenue!R109</f>
        <v>112629.353571429</v>
      </c>
      <c r="BM22" s="1916" t="n">
        <f aca="false">Revenue!S109</f>
        <v>121293.15</v>
      </c>
      <c r="BN22" s="1916" t="n">
        <f aca="false">Revenue!T109</f>
        <v>129956.946428571</v>
      </c>
      <c r="BO22" s="1916" t="n">
        <f aca="false">Revenue!U109</f>
        <v>138620.742857143</v>
      </c>
      <c r="BP22" s="1916" t="n">
        <f aca="false">Revenue!V109</f>
        <v>147284.539285714</v>
      </c>
      <c r="BQ22" s="1916" t="n">
        <f aca="false">Revenue!W109</f>
        <v>155948.335714286</v>
      </c>
      <c r="BR22" s="1916" t="n">
        <f aca="false">Revenue!X109</f>
        <v>164612.132142857</v>
      </c>
      <c r="BS22" s="1915" t="n">
        <f aca="false">Revenue!Y109</f>
        <v>173275.928571429</v>
      </c>
      <c r="BT22" s="1888"/>
      <c r="BU22" s="1952" t="str">
        <f aca="false">BG22</f>
        <v>SS-3</v>
      </c>
      <c r="BV22" s="1952" t="n">
        <f aca="false">Revenue!Z77</f>
        <v>7125</v>
      </c>
      <c r="BW22" s="1952" t="n">
        <f aca="false">Revenue!AA77</f>
        <v>7125</v>
      </c>
      <c r="BX22" s="1953" t="n">
        <f aca="false">Revenue!AB77</f>
        <v>7125</v>
      </c>
      <c r="BY22" s="1952" t="n">
        <f aca="false">Revenue!AC77</f>
        <v>7125</v>
      </c>
      <c r="BZ22" s="1952" t="n">
        <f aca="false">Revenue!AD77</f>
        <v>7125</v>
      </c>
      <c r="CA22" s="1952" t="n">
        <f aca="false">Revenue!AE77</f>
        <v>7125</v>
      </c>
      <c r="CB22" s="1952" t="n">
        <f aca="false">Revenue!AF77</f>
        <v>7125</v>
      </c>
      <c r="CC22" s="1952" t="n">
        <f aca="false">Revenue!AG77</f>
        <v>7125</v>
      </c>
      <c r="CD22" s="1952" t="n">
        <f aca="false">Revenue!AH77</f>
        <v>7125</v>
      </c>
      <c r="CE22" s="1952" t="n">
        <f aca="false">Revenue!AI77</f>
        <v>7125</v>
      </c>
      <c r="CF22" s="1952" t="n">
        <f aca="false">Revenue!AJ77</f>
        <v>7125</v>
      </c>
      <c r="CG22" s="1952" t="n">
        <f aca="false">Revenue!AK77</f>
        <v>7125</v>
      </c>
      <c r="CH22" s="1891"/>
      <c r="CI22" s="1954" t="str">
        <f aca="false">BU22</f>
        <v>SS-3</v>
      </c>
      <c r="CJ22" s="1955" t="n">
        <f aca="false">Revenue!AL77</f>
        <v>7125</v>
      </c>
      <c r="CK22" s="1955" t="n">
        <f aca="false">Revenue!AM77</f>
        <v>7125</v>
      </c>
      <c r="CL22" s="1955" t="n">
        <f aca="false">Revenue!AN77</f>
        <v>7125</v>
      </c>
      <c r="CM22" s="1955" t="n">
        <f aca="false">Revenue!AO77</f>
        <v>7125</v>
      </c>
      <c r="CN22" s="1955" t="n">
        <f aca="false">Revenue!AP77</f>
        <v>7125</v>
      </c>
      <c r="CO22" s="1955" t="n">
        <f aca="false">Revenue!AQ77</f>
        <v>7125</v>
      </c>
      <c r="CP22" s="1955" t="n">
        <f aca="false">Revenue!AR77</f>
        <v>7125</v>
      </c>
      <c r="CQ22" s="1955" t="n">
        <f aca="false">Revenue!AS77</f>
        <v>7125</v>
      </c>
      <c r="CR22" s="1955" t="n">
        <f aca="false">Revenue!AT77</f>
        <v>7125</v>
      </c>
      <c r="CS22" s="1955" t="n">
        <f aca="false">Revenue!AU77</f>
        <v>7125</v>
      </c>
      <c r="CT22" s="1955" t="n">
        <f aca="false">Revenue!AV77</f>
        <v>7125</v>
      </c>
      <c r="CU22" s="1955" t="n">
        <f aca="false">Revenue!AW77</f>
        <v>7125</v>
      </c>
      <c r="CV22" s="1888"/>
      <c r="CW22" s="1956" t="str">
        <f aca="false">CI22</f>
        <v>SS-3</v>
      </c>
      <c r="CX22" s="1957" t="n">
        <f aca="false">Revenue!AX77</f>
        <v>7125</v>
      </c>
      <c r="CY22" s="1957" t="n">
        <f aca="false">Revenue!AY77</f>
        <v>7125</v>
      </c>
      <c r="CZ22" s="1957" t="n">
        <f aca="false">Revenue!AZ77</f>
        <v>7125</v>
      </c>
      <c r="DA22" s="1957" t="n">
        <f aca="false">Revenue!BA77</f>
        <v>7125</v>
      </c>
      <c r="DB22" s="1957" t="n">
        <f aca="false">Revenue!BB77</f>
        <v>7125</v>
      </c>
      <c r="DC22" s="1957" t="n">
        <f aca="false">Revenue!BC77</f>
        <v>7125</v>
      </c>
      <c r="DD22" s="1957" t="n">
        <f aca="false">Revenue!BD77</f>
        <v>7125</v>
      </c>
      <c r="DE22" s="1957" t="n">
        <f aca="false">Revenue!BE77</f>
        <v>7125</v>
      </c>
      <c r="DF22" s="1957" t="n">
        <f aca="false">Revenue!BF77</f>
        <v>7125</v>
      </c>
      <c r="DG22" s="1957" t="n">
        <f aca="false">Revenue!BG77</f>
        <v>7125</v>
      </c>
      <c r="DH22" s="1957" t="n">
        <f aca="false">Revenue!BH77</f>
        <v>7125</v>
      </c>
      <c r="DI22" s="1957" t="n">
        <f aca="false">Revenue!BI77</f>
        <v>7125</v>
      </c>
      <c r="DJ22" s="1466"/>
      <c r="DK22" s="1163"/>
      <c r="DL22" s="1958"/>
      <c r="DM22" s="2051" t="n">
        <v>0</v>
      </c>
      <c r="DN22" s="2052" t="n">
        <v>0</v>
      </c>
      <c r="DO22" s="2052" t="n">
        <v>0</v>
      </c>
      <c r="DP22" s="2052" t="n">
        <v>0</v>
      </c>
      <c r="DQ22" s="2052" t="n">
        <v>0</v>
      </c>
      <c r="DR22" s="2052" t="n">
        <v>0</v>
      </c>
      <c r="DS22" s="2052" t="n">
        <v>0</v>
      </c>
      <c r="DT22" s="2052" t="n">
        <v>0</v>
      </c>
      <c r="DU22" s="2052" t="n">
        <v>0</v>
      </c>
      <c r="DV22" s="2052" t="n">
        <v>0</v>
      </c>
      <c r="DW22" s="2052" t="n">
        <v>0</v>
      </c>
      <c r="DX22" s="2053" t="n">
        <v>0</v>
      </c>
      <c r="DY22" s="1893"/>
      <c r="DZ22" s="2054" t="n">
        <v>0</v>
      </c>
      <c r="EA22" s="2055" t="n">
        <v>0</v>
      </c>
      <c r="EB22" s="2056" t="n">
        <v>0</v>
      </c>
      <c r="EC22" s="2056" t="n">
        <v>0</v>
      </c>
      <c r="ED22" s="2056" t="n">
        <v>0</v>
      </c>
      <c r="EE22" s="2056" t="n">
        <v>0</v>
      </c>
      <c r="EF22" s="2056" t="n">
        <v>0</v>
      </c>
      <c r="EG22" s="2056" t="n">
        <v>0</v>
      </c>
      <c r="EH22" s="2056" t="n">
        <v>0</v>
      </c>
      <c r="EI22" s="2056" t="n">
        <v>0</v>
      </c>
      <c r="EJ22" s="2056" t="n">
        <v>0</v>
      </c>
      <c r="EK22" s="2056" t="n">
        <v>0</v>
      </c>
      <c r="EL22" s="2057" t="n">
        <v>0</v>
      </c>
      <c r="EM22" s="1893"/>
      <c r="EN22" s="1966" t="n">
        <v>0</v>
      </c>
      <c r="EO22" s="1979" t="n">
        <v>0</v>
      </c>
      <c r="EP22" s="1980" t="n">
        <v>0</v>
      </c>
      <c r="EQ22" s="1980" t="n">
        <v>0</v>
      </c>
      <c r="ER22" s="1980" t="n">
        <v>0</v>
      </c>
      <c r="ES22" s="1980" t="n">
        <v>0</v>
      </c>
      <c r="ET22" s="1980" t="n">
        <v>0</v>
      </c>
      <c r="EU22" s="1980" t="n">
        <v>0</v>
      </c>
      <c r="EV22" s="1980" t="n">
        <v>0</v>
      </c>
      <c r="EW22" s="1980" t="n">
        <v>0</v>
      </c>
      <c r="EX22" s="1980" t="n">
        <v>0</v>
      </c>
      <c r="EY22" s="1980" t="n">
        <v>0</v>
      </c>
      <c r="EZ22" s="1981" t="n">
        <v>0</v>
      </c>
      <c r="FA22" s="1893"/>
      <c r="FB22" s="1967" t="n">
        <v>0</v>
      </c>
      <c r="FC22" s="2058" t="n">
        <v>0</v>
      </c>
      <c r="FD22" s="2059" t="n">
        <v>0</v>
      </c>
      <c r="FE22" s="2059" t="n">
        <v>0</v>
      </c>
      <c r="FF22" s="2059" t="n">
        <v>0</v>
      </c>
      <c r="FG22" s="2059" t="n">
        <v>0</v>
      </c>
      <c r="FH22" s="2059" t="n">
        <v>0</v>
      </c>
      <c r="FI22" s="2059" t="n">
        <v>0</v>
      </c>
      <c r="FJ22" s="2059" t="n">
        <v>0</v>
      </c>
      <c r="FK22" s="2059" t="n">
        <v>0</v>
      </c>
      <c r="FL22" s="2059" t="n">
        <v>0</v>
      </c>
      <c r="FM22" s="2059" t="n">
        <v>0</v>
      </c>
      <c r="FN22" s="2060" t="n">
        <v>0</v>
      </c>
      <c r="FO22" s="1466"/>
      <c r="FP22" s="1896"/>
      <c r="FQ22" s="2002"/>
      <c r="FR22" s="2003"/>
      <c r="FS22" s="2003"/>
      <c r="FT22" s="2003"/>
      <c r="FU22" s="2003"/>
      <c r="FV22" s="2003"/>
      <c r="FW22" s="2003"/>
      <c r="FX22" s="2003"/>
      <c r="FY22" s="2003"/>
      <c r="FZ22" s="2003"/>
      <c r="GA22" s="2003"/>
      <c r="GB22" s="2003"/>
      <c r="GC22" s="2004"/>
      <c r="GD22" s="1893"/>
      <c r="GE22" s="2002"/>
      <c r="GF22" s="2003"/>
      <c r="GG22" s="2003"/>
      <c r="GH22" s="2003"/>
      <c r="GI22" s="2003"/>
      <c r="GJ22" s="2003"/>
      <c r="GK22" s="2003"/>
      <c r="GL22" s="2003"/>
      <c r="GM22" s="2003"/>
      <c r="GN22" s="2003"/>
      <c r="GO22" s="2003"/>
      <c r="GP22" s="2003"/>
      <c r="GQ22" s="2004"/>
      <c r="GR22" s="1893"/>
      <c r="GS22" s="2002"/>
      <c r="GT22" s="2003"/>
      <c r="GU22" s="2003"/>
      <c r="GV22" s="2003"/>
      <c r="GW22" s="2003"/>
      <c r="GX22" s="2003"/>
      <c r="GY22" s="2003"/>
      <c r="GZ22" s="2003"/>
      <c r="HA22" s="2003"/>
      <c r="HB22" s="2003"/>
      <c r="HC22" s="2003"/>
      <c r="HD22" s="2003"/>
      <c r="HE22" s="2004"/>
      <c r="HF22" s="1896"/>
      <c r="HG22" s="2002"/>
      <c r="HH22" s="2003"/>
      <c r="HI22" s="2003"/>
      <c r="HJ22" s="2003"/>
      <c r="HK22" s="2003"/>
      <c r="HL22" s="2003"/>
      <c r="HM22" s="2003"/>
      <c r="HN22" s="2003"/>
      <c r="HO22" s="2003"/>
      <c r="HP22" s="2003"/>
      <c r="HQ22" s="2003"/>
      <c r="HR22" s="2003"/>
      <c r="HS22" s="2004"/>
    </row>
    <row r="23" customFormat="false" ht="10.5" hidden="false" customHeight="true" outlineLevel="0" collapsed="false">
      <c r="A23" s="1641"/>
      <c r="B23" s="2008" t="n">
        <f aca="false">Personnel!A23</f>
        <v>0</v>
      </c>
      <c r="C23" s="1971" t="n">
        <f aca="false">Personnel!P23</f>
        <v>0</v>
      </c>
      <c r="D23" s="1972" t="n">
        <f aca="false">Personnel!Q23</f>
        <v>0</v>
      </c>
      <c r="E23" s="1972" t="n">
        <f aca="false">Personnel!R23</f>
        <v>0</v>
      </c>
      <c r="F23" s="1972" t="n">
        <f aca="false">Personnel!S23</f>
        <v>0</v>
      </c>
      <c r="G23" s="1972" t="n">
        <f aca="false">Personnel!T23</f>
        <v>0</v>
      </c>
      <c r="H23" s="1972" t="n">
        <f aca="false">Personnel!U23</f>
        <v>0</v>
      </c>
      <c r="I23" s="1972" t="n">
        <f aca="false">Personnel!V23</f>
        <v>0</v>
      </c>
      <c r="J23" s="1972" t="n">
        <f aca="false">Personnel!W23</f>
        <v>0</v>
      </c>
      <c r="K23" s="1972" t="n">
        <f aca="false">Personnel!X23</f>
        <v>0</v>
      </c>
      <c r="L23" s="1972" t="n">
        <f aca="false">Personnel!Y23</f>
        <v>0</v>
      </c>
      <c r="M23" s="1972" t="n">
        <f aca="false">Personnel!Z23</f>
        <v>0</v>
      </c>
      <c r="N23" s="1973" t="n">
        <f aca="false">Personnel!AA23</f>
        <v>0</v>
      </c>
      <c r="O23" s="1882"/>
      <c r="P23" s="2009" t="n">
        <f aca="false">B23</f>
        <v>0</v>
      </c>
      <c r="Q23" s="1975" t="n">
        <f aca="false">Personnel!AB23</f>
        <v>0</v>
      </c>
      <c r="R23" s="1976" t="n">
        <f aca="false">Personnel!AC23</f>
        <v>0</v>
      </c>
      <c r="S23" s="1976" t="n">
        <f aca="false">Personnel!AD23</f>
        <v>0</v>
      </c>
      <c r="T23" s="1976" t="n">
        <f aca="false">Personnel!AE23</f>
        <v>0</v>
      </c>
      <c r="U23" s="1976" t="n">
        <f aca="false">Personnel!AF23</f>
        <v>0</v>
      </c>
      <c r="V23" s="1976" t="n">
        <f aca="false">Personnel!AG23</f>
        <v>0</v>
      </c>
      <c r="W23" s="1976" t="n">
        <f aca="false">Personnel!AH23</f>
        <v>0</v>
      </c>
      <c r="X23" s="1976" t="n">
        <f aca="false">Personnel!AI23</f>
        <v>0</v>
      </c>
      <c r="Y23" s="1976" t="n">
        <f aca="false">Personnel!AJ23</f>
        <v>0</v>
      </c>
      <c r="Z23" s="1976" t="n">
        <f aca="false">Personnel!AK23</f>
        <v>0</v>
      </c>
      <c r="AA23" s="1976" t="n">
        <f aca="false">Personnel!AL23</f>
        <v>0</v>
      </c>
      <c r="AB23" s="1977" t="n">
        <f aca="false">Personnel!AM23</f>
        <v>0</v>
      </c>
      <c r="AC23" s="1882"/>
      <c r="AD23" s="2010" t="n">
        <f aca="false">P23</f>
        <v>0</v>
      </c>
      <c r="AE23" s="1979" t="n">
        <f aca="false">Personnel!AN23</f>
        <v>0</v>
      </c>
      <c r="AF23" s="1980" t="n">
        <f aca="false">Personnel!AO23</f>
        <v>0</v>
      </c>
      <c r="AG23" s="1980" t="n">
        <f aca="false">Personnel!AP23</f>
        <v>0</v>
      </c>
      <c r="AH23" s="1980" t="n">
        <f aca="false">Personnel!AQ23</f>
        <v>0</v>
      </c>
      <c r="AI23" s="1980" t="n">
        <f aca="false">Personnel!AR23</f>
        <v>0</v>
      </c>
      <c r="AJ23" s="1980" t="n">
        <f aca="false">Personnel!AS23</f>
        <v>0</v>
      </c>
      <c r="AK23" s="1980" t="n">
        <f aca="false">Personnel!AT23</f>
        <v>0</v>
      </c>
      <c r="AL23" s="1980" t="n">
        <f aca="false">Personnel!AU23</f>
        <v>0</v>
      </c>
      <c r="AM23" s="1980" t="n">
        <f aca="false">Personnel!AV23</f>
        <v>0</v>
      </c>
      <c r="AN23" s="1980" t="n">
        <f aca="false">Personnel!AW23</f>
        <v>0</v>
      </c>
      <c r="AO23" s="1980" t="n">
        <f aca="false">Personnel!AX23</f>
        <v>0</v>
      </c>
      <c r="AP23" s="1981" t="n">
        <f aca="false">Personnel!AY23</f>
        <v>0</v>
      </c>
      <c r="AQ23" s="1882"/>
      <c r="AR23" s="2011" t="n">
        <f aca="false">AD23</f>
        <v>0</v>
      </c>
      <c r="AS23" s="1983" t="n">
        <f aca="false">Personnel!AZ23</f>
        <v>0</v>
      </c>
      <c r="AT23" s="1984" t="n">
        <f aca="false">Personnel!BA23</f>
        <v>0</v>
      </c>
      <c r="AU23" s="1984" t="n">
        <f aca="false">Personnel!BB23</f>
        <v>0</v>
      </c>
      <c r="AV23" s="1984" t="n">
        <f aca="false">Personnel!BC23</f>
        <v>0</v>
      </c>
      <c r="AW23" s="1984" t="n">
        <f aca="false">Personnel!BD23</f>
        <v>0</v>
      </c>
      <c r="AX23" s="1984" t="n">
        <f aca="false">Personnel!BE23</f>
        <v>0</v>
      </c>
      <c r="AY23" s="1984" t="n">
        <f aca="false">Personnel!BF23</f>
        <v>0</v>
      </c>
      <c r="AZ23" s="1984" t="n">
        <f aca="false">Personnel!BG23</f>
        <v>0</v>
      </c>
      <c r="BA23" s="1984" t="n">
        <f aca="false">Personnel!BH23</f>
        <v>0</v>
      </c>
      <c r="BB23" s="1984" t="n">
        <f aca="false">Personnel!BI23</f>
        <v>0</v>
      </c>
      <c r="BC23" s="1984" t="n">
        <f aca="false">Personnel!BJ23</f>
        <v>0</v>
      </c>
      <c r="BD23" s="1985" t="n">
        <f aca="false">Personnel!BK23</f>
        <v>0</v>
      </c>
      <c r="BE23" s="1466"/>
      <c r="BF23" s="1885"/>
      <c r="BG23" s="1915" t="str">
        <f aca="false">Revenue!A110</f>
        <v>SS-4</v>
      </c>
      <c r="BH23" s="1916" t="n">
        <f aca="false">Revenue!N110</f>
        <v>77974.167857143</v>
      </c>
      <c r="BI23" s="1916" t="n">
        <f aca="false">Revenue!O110</f>
        <v>86637.9642857145</v>
      </c>
      <c r="BJ23" s="1916" t="n">
        <f aca="false">Revenue!P110</f>
        <v>95301.760714286</v>
      </c>
      <c r="BK23" s="1916" t="n">
        <f aca="false">Revenue!Q110</f>
        <v>103965.557142857</v>
      </c>
      <c r="BL23" s="1916" t="n">
        <f aca="false">Revenue!R110</f>
        <v>112629.353571429</v>
      </c>
      <c r="BM23" s="1916" t="n">
        <f aca="false">Revenue!S110</f>
        <v>121293.15</v>
      </c>
      <c r="BN23" s="1916" t="n">
        <f aca="false">Revenue!T110</f>
        <v>129956.946428571</v>
      </c>
      <c r="BO23" s="1916" t="n">
        <f aca="false">Revenue!U110</f>
        <v>138620.742857143</v>
      </c>
      <c r="BP23" s="1916" t="n">
        <f aca="false">Revenue!V110</f>
        <v>147284.539285714</v>
      </c>
      <c r="BQ23" s="1916" t="n">
        <f aca="false">Revenue!W110</f>
        <v>155948.335714286</v>
      </c>
      <c r="BR23" s="1916" t="n">
        <f aca="false">Revenue!X110</f>
        <v>164612.132142857</v>
      </c>
      <c r="BS23" s="1915" t="n">
        <f aca="false">Revenue!Y110</f>
        <v>173275.928571429</v>
      </c>
      <c r="BT23" s="1888"/>
      <c r="BU23" s="1952" t="str">
        <f aca="false">BG23</f>
        <v>SS-4</v>
      </c>
      <c r="BV23" s="1952" t="n">
        <f aca="false">Revenue!Z78</f>
        <v>7125</v>
      </c>
      <c r="BW23" s="1952" t="n">
        <f aca="false">Revenue!AA78</f>
        <v>7125</v>
      </c>
      <c r="BX23" s="1953" t="n">
        <f aca="false">Revenue!AB78</f>
        <v>7125</v>
      </c>
      <c r="BY23" s="1952" t="n">
        <f aca="false">Revenue!AC78</f>
        <v>7125</v>
      </c>
      <c r="BZ23" s="1952" t="n">
        <f aca="false">Revenue!AD78</f>
        <v>7125</v>
      </c>
      <c r="CA23" s="1952" t="n">
        <f aca="false">Revenue!AE78</f>
        <v>7125</v>
      </c>
      <c r="CB23" s="1952" t="n">
        <f aca="false">Revenue!AF78</f>
        <v>7125</v>
      </c>
      <c r="CC23" s="1952" t="n">
        <f aca="false">Revenue!AG78</f>
        <v>7125</v>
      </c>
      <c r="CD23" s="1952" t="n">
        <f aca="false">Revenue!AH78</f>
        <v>7125</v>
      </c>
      <c r="CE23" s="1952" t="n">
        <f aca="false">Revenue!AI78</f>
        <v>7125</v>
      </c>
      <c r="CF23" s="1952" t="n">
        <f aca="false">Revenue!AJ78</f>
        <v>7125</v>
      </c>
      <c r="CG23" s="1952" t="n">
        <f aca="false">Revenue!AK78</f>
        <v>7125</v>
      </c>
      <c r="CH23" s="1891"/>
      <c r="CI23" s="1954" t="str">
        <f aca="false">BU23</f>
        <v>SS-4</v>
      </c>
      <c r="CJ23" s="1955" t="n">
        <f aca="false">Revenue!AL78</f>
        <v>7125</v>
      </c>
      <c r="CK23" s="1955" t="n">
        <f aca="false">Revenue!AM78</f>
        <v>7125</v>
      </c>
      <c r="CL23" s="1955" t="n">
        <f aca="false">Revenue!AN78</f>
        <v>7125</v>
      </c>
      <c r="CM23" s="1955" t="n">
        <f aca="false">Revenue!AO78</f>
        <v>7125</v>
      </c>
      <c r="CN23" s="1955" t="n">
        <f aca="false">Revenue!AP78</f>
        <v>7125</v>
      </c>
      <c r="CO23" s="1955" t="n">
        <f aca="false">Revenue!AQ78</f>
        <v>7125</v>
      </c>
      <c r="CP23" s="1955" t="n">
        <f aca="false">Revenue!AR78</f>
        <v>7125</v>
      </c>
      <c r="CQ23" s="1955" t="n">
        <f aca="false">Revenue!AS78</f>
        <v>7125</v>
      </c>
      <c r="CR23" s="1955" t="n">
        <f aca="false">Revenue!AT78</f>
        <v>7125</v>
      </c>
      <c r="CS23" s="1955" t="n">
        <f aca="false">Revenue!AU78</f>
        <v>7125</v>
      </c>
      <c r="CT23" s="1955" t="n">
        <f aca="false">Revenue!AV78</f>
        <v>7125</v>
      </c>
      <c r="CU23" s="1955" t="n">
        <f aca="false">Revenue!AW78</f>
        <v>7125</v>
      </c>
      <c r="CV23" s="1888"/>
      <c r="CW23" s="1956" t="str">
        <f aca="false">CI23</f>
        <v>SS-4</v>
      </c>
      <c r="CX23" s="1957" t="n">
        <f aca="false">Revenue!AX78</f>
        <v>7125</v>
      </c>
      <c r="CY23" s="1957" t="n">
        <f aca="false">Revenue!AY78</f>
        <v>7125</v>
      </c>
      <c r="CZ23" s="1957" t="n">
        <f aca="false">Revenue!AZ78</f>
        <v>7125</v>
      </c>
      <c r="DA23" s="1957" t="n">
        <f aca="false">Revenue!BA78</f>
        <v>7125</v>
      </c>
      <c r="DB23" s="1957" t="n">
        <f aca="false">Revenue!BB78</f>
        <v>7125</v>
      </c>
      <c r="DC23" s="1957" t="n">
        <f aca="false">Revenue!BC78</f>
        <v>7125</v>
      </c>
      <c r="DD23" s="1957" t="n">
        <f aca="false">Revenue!BD78</f>
        <v>7125</v>
      </c>
      <c r="DE23" s="1957" t="n">
        <f aca="false">Revenue!BE78</f>
        <v>7125</v>
      </c>
      <c r="DF23" s="1957" t="n">
        <f aca="false">Revenue!BF78</f>
        <v>7125</v>
      </c>
      <c r="DG23" s="1957" t="n">
        <f aca="false">Revenue!BG78</f>
        <v>7125</v>
      </c>
      <c r="DH23" s="1957" t="n">
        <f aca="false">Revenue!BH78</f>
        <v>7125</v>
      </c>
      <c r="DI23" s="1957" t="n">
        <f aca="false">Revenue!BI78</f>
        <v>7125</v>
      </c>
      <c r="DJ23" s="1466"/>
      <c r="DK23" s="1163"/>
      <c r="DL23" s="1958"/>
      <c r="DM23" s="2051" t="n">
        <v>0</v>
      </c>
      <c r="DN23" s="2052" t="n">
        <v>0</v>
      </c>
      <c r="DO23" s="2052" t="n">
        <v>0</v>
      </c>
      <c r="DP23" s="2052" t="n">
        <v>0</v>
      </c>
      <c r="DQ23" s="2052" t="n">
        <v>0</v>
      </c>
      <c r="DR23" s="2052" t="n">
        <v>0</v>
      </c>
      <c r="DS23" s="2052" t="n">
        <v>0</v>
      </c>
      <c r="DT23" s="2052" t="n">
        <v>0</v>
      </c>
      <c r="DU23" s="2052" t="n">
        <v>0</v>
      </c>
      <c r="DV23" s="2052" t="n">
        <v>0</v>
      </c>
      <c r="DW23" s="2052" t="n">
        <v>0</v>
      </c>
      <c r="DX23" s="2053" t="n">
        <v>0</v>
      </c>
      <c r="DY23" s="1893"/>
      <c r="DZ23" s="2054" t="n">
        <v>0</v>
      </c>
      <c r="EA23" s="2055" t="n">
        <v>0</v>
      </c>
      <c r="EB23" s="2056" t="n">
        <v>0</v>
      </c>
      <c r="EC23" s="2056" t="n">
        <v>0</v>
      </c>
      <c r="ED23" s="2056" t="n">
        <v>0</v>
      </c>
      <c r="EE23" s="2056" t="n">
        <v>0</v>
      </c>
      <c r="EF23" s="2056" t="n">
        <v>0</v>
      </c>
      <c r="EG23" s="2056" t="n">
        <v>0</v>
      </c>
      <c r="EH23" s="2056" t="n">
        <v>0</v>
      </c>
      <c r="EI23" s="2056" t="n">
        <v>0</v>
      </c>
      <c r="EJ23" s="2056" t="n">
        <v>0</v>
      </c>
      <c r="EK23" s="2056" t="n">
        <v>0</v>
      </c>
      <c r="EL23" s="2057" t="n">
        <v>0</v>
      </c>
      <c r="EM23" s="1893"/>
      <c r="EN23" s="1966" t="n">
        <v>0</v>
      </c>
      <c r="EO23" s="1979" t="n">
        <v>0</v>
      </c>
      <c r="EP23" s="1980" t="n">
        <v>0</v>
      </c>
      <c r="EQ23" s="1980" t="n">
        <v>0</v>
      </c>
      <c r="ER23" s="1980" t="n">
        <v>0</v>
      </c>
      <c r="ES23" s="1980" t="n">
        <v>0</v>
      </c>
      <c r="ET23" s="1980" t="n">
        <v>0</v>
      </c>
      <c r="EU23" s="1980" t="n">
        <v>0</v>
      </c>
      <c r="EV23" s="1980" t="n">
        <v>0</v>
      </c>
      <c r="EW23" s="1980" t="n">
        <v>0</v>
      </c>
      <c r="EX23" s="1980" t="n">
        <v>0</v>
      </c>
      <c r="EY23" s="1980" t="n">
        <v>0</v>
      </c>
      <c r="EZ23" s="1981" t="n">
        <v>0</v>
      </c>
      <c r="FA23" s="1893"/>
      <c r="FB23" s="1967" t="n">
        <v>0</v>
      </c>
      <c r="FC23" s="2058" t="n">
        <v>0</v>
      </c>
      <c r="FD23" s="2059" t="n">
        <v>0</v>
      </c>
      <c r="FE23" s="2059" t="n">
        <v>0</v>
      </c>
      <c r="FF23" s="2059" t="n">
        <v>0</v>
      </c>
      <c r="FG23" s="2059" t="n">
        <v>0</v>
      </c>
      <c r="FH23" s="2059" t="n">
        <v>0</v>
      </c>
      <c r="FI23" s="2059" t="n">
        <v>0</v>
      </c>
      <c r="FJ23" s="2059" t="n">
        <v>0</v>
      </c>
      <c r="FK23" s="2059" t="n">
        <v>0</v>
      </c>
      <c r="FL23" s="2059" t="n">
        <v>0</v>
      </c>
      <c r="FM23" s="2059" t="n">
        <v>0</v>
      </c>
      <c r="FN23" s="2060" t="n">
        <v>0</v>
      </c>
      <c r="FO23" s="1466"/>
      <c r="FP23" s="1896"/>
      <c r="FQ23" s="1923" t="str">
        <f aca="false">'Tables 5Y'!CK23</f>
        <v>Profit Before Int. &amp; Tax</v>
      </c>
      <c r="FR23" s="1900" t="n">
        <f aca="false">'P&amp;L'!N42</f>
        <v>474071.500234499</v>
      </c>
      <c r="FS23" s="1901" t="n">
        <f aca="false">'P&amp;L'!O42</f>
        <v>566575.478124999</v>
      </c>
      <c r="FT23" s="1901" t="n">
        <f aca="false">'P&amp;L'!P42</f>
        <v>614307.456015501</v>
      </c>
      <c r="FU23" s="1901" t="n">
        <f aca="false">'P&amp;L'!Q42</f>
        <v>665922.893906001</v>
      </c>
      <c r="FV23" s="1901" t="n">
        <f aca="false">'P&amp;L'!R42</f>
        <v>717538.331796501</v>
      </c>
      <c r="FW23" s="1901" t="n">
        <f aca="false">'P&amp;L'!S42</f>
        <v>769153.769687001</v>
      </c>
      <c r="FX23" s="1901" t="n">
        <f aca="false">'P&amp;L'!T42</f>
        <v>820769.207577501</v>
      </c>
      <c r="FY23" s="1901" t="n">
        <f aca="false">'P&amp;L'!U42</f>
        <v>917156.645468</v>
      </c>
      <c r="FZ23" s="1901" t="n">
        <f aca="false">'P&amp;L'!V42</f>
        <v>1062047.0833585</v>
      </c>
      <c r="GA23" s="1901" t="n">
        <f aca="false">'P&amp;L'!W42</f>
        <v>1206937.521249</v>
      </c>
      <c r="GB23" s="1901" t="n">
        <f aca="false">'P&amp;L'!X42</f>
        <v>1351827.9591395</v>
      </c>
      <c r="GC23" s="1902" t="n">
        <f aca="false">'P&amp;L'!Y42</f>
        <v>1496718.39703</v>
      </c>
      <c r="GD23" s="1893"/>
      <c r="GE23" s="2005" t="str">
        <f aca="false">FQ23</f>
        <v>Profit Before Int. &amp; Tax</v>
      </c>
      <c r="GF23" s="1904" t="n">
        <f aca="false">'P&amp;L'!Z42</f>
        <v>4228679.98898665</v>
      </c>
      <c r="GG23" s="1905" t="n">
        <f aca="false">'P&amp;L'!AA42</f>
        <v>4228679.98898665</v>
      </c>
      <c r="GH23" s="1905" t="n">
        <f aca="false">'P&amp;L'!AB42</f>
        <v>4228679.98898665</v>
      </c>
      <c r="GI23" s="1905" t="n">
        <f aca="false">'P&amp;L'!AC42</f>
        <v>4228679.98898665</v>
      </c>
      <c r="GJ23" s="1905" t="n">
        <f aca="false">'P&amp;L'!AD42</f>
        <v>4228679.98898665</v>
      </c>
      <c r="GK23" s="1905" t="n">
        <f aca="false">'P&amp;L'!AE42</f>
        <v>4228679.98898665</v>
      </c>
      <c r="GL23" s="1905" t="n">
        <f aca="false">'P&amp;L'!AF42</f>
        <v>4228679.98898665</v>
      </c>
      <c r="GM23" s="1905" t="n">
        <f aca="false">'P&amp;L'!AG42</f>
        <v>4228679.98898665</v>
      </c>
      <c r="GN23" s="1905" t="n">
        <f aca="false">'P&amp;L'!AH42</f>
        <v>4228679.98898665</v>
      </c>
      <c r="GO23" s="1905" t="n">
        <f aca="false">'P&amp;L'!AI42</f>
        <v>4228679.98898665</v>
      </c>
      <c r="GP23" s="1905" t="n">
        <f aca="false">'P&amp;L'!AJ42</f>
        <v>4228679.98898665</v>
      </c>
      <c r="GQ23" s="1906" t="n">
        <f aca="false">'P&amp;L'!AK42</f>
        <v>4228679.98898665</v>
      </c>
      <c r="GR23" s="1893"/>
      <c r="GS23" s="2006" t="str">
        <f aca="false">GE23</f>
        <v>Profit Before Int. &amp; Tax</v>
      </c>
      <c r="GT23" s="1908" t="n">
        <f aca="false">'P&amp;L'!AL42</f>
        <v>4845804.32694789</v>
      </c>
      <c r="GU23" s="1909" t="n">
        <f aca="false">'P&amp;L'!AM42</f>
        <v>4845804.32694789</v>
      </c>
      <c r="GV23" s="1909" t="n">
        <f aca="false">'P&amp;L'!AN42</f>
        <v>4845804.32694789</v>
      </c>
      <c r="GW23" s="1909" t="n">
        <f aca="false">'P&amp;L'!AO42</f>
        <v>4845804.32694789</v>
      </c>
      <c r="GX23" s="1909" t="n">
        <f aca="false">'P&amp;L'!AP42</f>
        <v>4845804.32694789</v>
      </c>
      <c r="GY23" s="1909" t="n">
        <f aca="false">'P&amp;L'!AQ42</f>
        <v>4845804.32694789</v>
      </c>
      <c r="GZ23" s="1909" t="n">
        <f aca="false">'P&amp;L'!AR42</f>
        <v>4845804.32694789</v>
      </c>
      <c r="HA23" s="1909" t="n">
        <f aca="false">'P&amp;L'!AS42</f>
        <v>4845804.32694789</v>
      </c>
      <c r="HB23" s="1909" t="n">
        <f aca="false">'P&amp;L'!AT42</f>
        <v>4845804.32694789</v>
      </c>
      <c r="HC23" s="1909" t="n">
        <f aca="false">'P&amp;L'!AU42</f>
        <v>4845804.32694789</v>
      </c>
      <c r="HD23" s="1909" t="n">
        <f aca="false">'P&amp;L'!AV42</f>
        <v>4845804.32694789</v>
      </c>
      <c r="HE23" s="1910" t="n">
        <f aca="false">'P&amp;L'!AW42</f>
        <v>4845804.32694789</v>
      </c>
      <c r="HF23" s="1896"/>
      <c r="HG23" s="2007" t="str">
        <f aca="false">GS23</f>
        <v>Profit Before Int. &amp; Tax</v>
      </c>
      <c r="HH23" s="1912" t="n">
        <f aca="false">'P&amp;L'!AX42</f>
        <v>5459602.1010798</v>
      </c>
      <c r="HI23" s="1913" t="n">
        <f aca="false">'P&amp;L'!AY42</f>
        <v>5459602.1010798</v>
      </c>
      <c r="HJ23" s="1913" t="n">
        <f aca="false">'P&amp;L'!AZ42</f>
        <v>5459602.1010798</v>
      </c>
      <c r="HK23" s="1913" t="n">
        <f aca="false">'P&amp;L'!BA42</f>
        <v>5459602.1010798</v>
      </c>
      <c r="HL23" s="1913" t="n">
        <f aca="false">'P&amp;L'!BB42</f>
        <v>5459602.1010798</v>
      </c>
      <c r="HM23" s="1913" t="n">
        <f aca="false">'P&amp;L'!BC42</f>
        <v>5459602.1010798</v>
      </c>
      <c r="HN23" s="1913" t="n">
        <f aca="false">'P&amp;L'!BD42</f>
        <v>5459602.1010798</v>
      </c>
      <c r="HO23" s="1913" t="n">
        <f aca="false">'P&amp;L'!BE42</f>
        <v>5459602.1010798</v>
      </c>
      <c r="HP23" s="1913" t="n">
        <f aca="false">'P&amp;L'!BF42</f>
        <v>5459602.1010798</v>
      </c>
      <c r="HQ23" s="1913" t="n">
        <f aca="false">'P&amp;L'!BG42</f>
        <v>5459602.1010798</v>
      </c>
      <c r="HR23" s="1913" t="n">
        <f aca="false">'P&amp;L'!BH42</f>
        <v>5459602.1010798</v>
      </c>
      <c r="HS23" s="1914" t="n">
        <f aca="false">'P&amp;L'!BI42</f>
        <v>5459602.1010798</v>
      </c>
    </row>
    <row r="24" customFormat="false" ht="10.5" hidden="false" customHeight="true" outlineLevel="0" collapsed="false">
      <c r="A24" s="1641"/>
      <c r="B24" s="2008" t="n">
        <f aca="false">Personnel!A24</f>
        <v>0</v>
      </c>
      <c r="C24" s="1971" t="n">
        <f aca="false">Personnel!P24</f>
        <v>0</v>
      </c>
      <c r="D24" s="1972" t="n">
        <f aca="false">Personnel!Q24</f>
        <v>0</v>
      </c>
      <c r="E24" s="1972" t="n">
        <f aca="false">Personnel!R24</f>
        <v>0</v>
      </c>
      <c r="F24" s="1972" t="n">
        <f aca="false">Personnel!S24</f>
        <v>0</v>
      </c>
      <c r="G24" s="1972" t="n">
        <f aca="false">Personnel!T24</f>
        <v>0</v>
      </c>
      <c r="H24" s="1972" t="n">
        <f aca="false">Personnel!U24</f>
        <v>0</v>
      </c>
      <c r="I24" s="1972" t="n">
        <f aca="false">Personnel!V24</f>
        <v>0</v>
      </c>
      <c r="J24" s="1972" t="n">
        <f aca="false">Personnel!W24</f>
        <v>0</v>
      </c>
      <c r="K24" s="1972" t="n">
        <f aca="false">Personnel!X24</f>
        <v>0</v>
      </c>
      <c r="L24" s="1972" t="n">
        <f aca="false">Personnel!Y24</f>
        <v>0</v>
      </c>
      <c r="M24" s="1972" t="n">
        <f aca="false">Personnel!Z24</f>
        <v>0</v>
      </c>
      <c r="N24" s="1973" t="n">
        <f aca="false">Personnel!AA24</f>
        <v>0</v>
      </c>
      <c r="O24" s="1882"/>
      <c r="P24" s="2009" t="n">
        <f aca="false">B24</f>
        <v>0</v>
      </c>
      <c r="Q24" s="1975" t="n">
        <f aca="false">Personnel!AB24</f>
        <v>0</v>
      </c>
      <c r="R24" s="1976" t="n">
        <f aca="false">Personnel!AC24</f>
        <v>0</v>
      </c>
      <c r="S24" s="1976" t="n">
        <f aca="false">Personnel!AD24</f>
        <v>0</v>
      </c>
      <c r="T24" s="1976" t="n">
        <f aca="false">Personnel!AE24</f>
        <v>0</v>
      </c>
      <c r="U24" s="1976" t="n">
        <f aca="false">Personnel!AF24</f>
        <v>0</v>
      </c>
      <c r="V24" s="1976" t="n">
        <f aca="false">Personnel!AG24</f>
        <v>0</v>
      </c>
      <c r="W24" s="1976" t="n">
        <f aca="false">Personnel!AH24</f>
        <v>0</v>
      </c>
      <c r="X24" s="1976" t="n">
        <f aca="false">Personnel!AI24</f>
        <v>0</v>
      </c>
      <c r="Y24" s="1976" t="n">
        <f aca="false">Personnel!AJ24</f>
        <v>0</v>
      </c>
      <c r="Z24" s="1976" t="n">
        <f aca="false">Personnel!AK24</f>
        <v>0</v>
      </c>
      <c r="AA24" s="1976" t="n">
        <f aca="false">Personnel!AL24</f>
        <v>0</v>
      </c>
      <c r="AB24" s="1977" t="n">
        <f aca="false">Personnel!AM24</f>
        <v>0</v>
      </c>
      <c r="AC24" s="1882"/>
      <c r="AD24" s="2010" t="n">
        <f aca="false">P24</f>
        <v>0</v>
      </c>
      <c r="AE24" s="1979" t="n">
        <f aca="false">Personnel!AN24</f>
        <v>0</v>
      </c>
      <c r="AF24" s="1980" t="n">
        <f aca="false">Personnel!AO24</f>
        <v>0</v>
      </c>
      <c r="AG24" s="1980" t="n">
        <f aca="false">Personnel!AP24</f>
        <v>0</v>
      </c>
      <c r="AH24" s="1980" t="n">
        <f aca="false">Personnel!AQ24</f>
        <v>0</v>
      </c>
      <c r="AI24" s="1980" t="n">
        <f aca="false">Personnel!AR24</f>
        <v>0</v>
      </c>
      <c r="AJ24" s="1980" t="n">
        <f aca="false">Personnel!AS24</f>
        <v>0</v>
      </c>
      <c r="AK24" s="1980" t="n">
        <f aca="false">Personnel!AT24</f>
        <v>0</v>
      </c>
      <c r="AL24" s="1980" t="n">
        <f aca="false">Personnel!AU24</f>
        <v>0</v>
      </c>
      <c r="AM24" s="1980" t="n">
        <f aca="false">Personnel!AV24</f>
        <v>0</v>
      </c>
      <c r="AN24" s="1980" t="n">
        <f aca="false">Personnel!AW24</f>
        <v>0</v>
      </c>
      <c r="AO24" s="1980" t="n">
        <f aca="false">Personnel!AX24</f>
        <v>0</v>
      </c>
      <c r="AP24" s="1981" t="n">
        <f aca="false">Personnel!AY24</f>
        <v>0</v>
      </c>
      <c r="AQ24" s="1882"/>
      <c r="AR24" s="2011" t="n">
        <f aca="false">AD24</f>
        <v>0</v>
      </c>
      <c r="AS24" s="1983" t="n">
        <f aca="false">Personnel!AZ24</f>
        <v>0</v>
      </c>
      <c r="AT24" s="1984" t="n">
        <f aca="false">Personnel!BA24</f>
        <v>0</v>
      </c>
      <c r="AU24" s="1984" t="n">
        <f aca="false">Personnel!BB24</f>
        <v>0</v>
      </c>
      <c r="AV24" s="1984" t="n">
        <f aca="false">Personnel!BC24</f>
        <v>0</v>
      </c>
      <c r="AW24" s="1984" t="n">
        <f aca="false">Personnel!BD24</f>
        <v>0</v>
      </c>
      <c r="AX24" s="1984" t="n">
        <f aca="false">Personnel!BE24</f>
        <v>0</v>
      </c>
      <c r="AY24" s="1984" t="n">
        <f aca="false">Personnel!BF24</f>
        <v>0</v>
      </c>
      <c r="AZ24" s="1984" t="n">
        <f aca="false">Personnel!BG24</f>
        <v>0</v>
      </c>
      <c r="BA24" s="1984" t="n">
        <f aca="false">Personnel!BH24</f>
        <v>0</v>
      </c>
      <c r="BB24" s="1984" t="n">
        <f aca="false">Personnel!BI24</f>
        <v>0</v>
      </c>
      <c r="BC24" s="1984" t="n">
        <f aca="false">Personnel!BJ24</f>
        <v>0</v>
      </c>
      <c r="BD24" s="1985" t="n">
        <f aca="false">Personnel!BK24</f>
        <v>0</v>
      </c>
      <c r="BE24" s="1466"/>
      <c r="BF24" s="1885"/>
      <c r="BG24" s="1915" t="str">
        <f aca="false">Revenue!A111</f>
        <v>SS-6</v>
      </c>
      <c r="BH24" s="1916" t="n">
        <f aca="false">Revenue!N111</f>
        <v>69310.3714285715</v>
      </c>
      <c r="BI24" s="1916" t="n">
        <f aca="false">Revenue!O111</f>
        <v>77011.5238095239</v>
      </c>
      <c r="BJ24" s="1916" t="n">
        <f aca="false">Revenue!P111</f>
        <v>84712.6761904762</v>
      </c>
      <c r="BK24" s="1916" t="n">
        <f aca="false">Revenue!Q111</f>
        <v>92413.8285714285</v>
      </c>
      <c r="BL24" s="1916" t="n">
        <f aca="false">Revenue!R111</f>
        <v>100114.980952381</v>
      </c>
      <c r="BM24" s="1916" t="n">
        <f aca="false">Revenue!S111</f>
        <v>107816.133333333</v>
      </c>
      <c r="BN24" s="1916" t="n">
        <f aca="false">Revenue!T111</f>
        <v>115517.285714286</v>
      </c>
      <c r="BO24" s="1916" t="n">
        <f aca="false">Revenue!U111</f>
        <v>123218.438095238</v>
      </c>
      <c r="BP24" s="1916" t="n">
        <f aca="false">Revenue!V111</f>
        <v>130919.590476191</v>
      </c>
      <c r="BQ24" s="1916" t="n">
        <f aca="false">Revenue!W111</f>
        <v>138620.742857143</v>
      </c>
      <c r="BR24" s="1916" t="n">
        <f aca="false">Revenue!X111</f>
        <v>146321.895238095</v>
      </c>
      <c r="BS24" s="1915" t="n">
        <f aca="false">Revenue!Y111</f>
        <v>154023.047619048</v>
      </c>
      <c r="BT24" s="1888"/>
      <c r="BU24" s="1952" t="str">
        <f aca="false">BG24</f>
        <v>SS-6</v>
      </c>
      <c r="BV24" s="1952" t="n">
        <f aca="false">Revenue!Z79</f>
        <v>6333.33333333333</v>
      </c>
      <c r="BW24" s="1952" t="n">
        <f aca="false">Revenue!AA79</f>
        <v>6333.33333333333</v>
      </c>
      <c r="BX24" s="1953" t="n">
        <f aca="false">Revenue!AB79</f>
        <v>6333.33333333333</v>
      </c>
      <c r="BY24" s="1952" t="n">
        <f aca="false">Revenue!AC79</f>
        <v>6333.33333333333</v>
      </c>
      <c r="BZ24" s="1952" t="n">
        <f aca="false">Revenue!AD79</f>
        <v>6333.33333333333</v>
      </c>
      <c r="CA24" s="1952" t="n">
        <f aca="false">Revenue!AE79</f>
        <v>6333.33333333333</v>
      </c>
      <c r="CB24" s="1952" t="n">
        <f aca="false">Revenue!AF79</f>
        <v>6333.33333333333</v>
      </c>
      <c r="CC24" s="1952" t="n">
        <f aca="false">Revenue!AG79</f>
        <v>6333.33333333333</v>
      </c>
      <c r="CD24" s="1952" t="n">
        <f aca="false">Revenue!AH79</f>
        <v>6333.33333333333</v>
      </c>
      <c r="CE24" s="1952" t="n">
        <f aca="false">Revenue!AI79</f>
        <v>6333.33333333333</v>
      </c>
      <c r="CF24" s="1952" t="n">
        <f aca="false">Revenue!AJ79</f>
        <v>6333.33333333333</v>
      </c>
      <c r="CG24" s="1952" t="n">
        <f aca="false">Revenue!AK79</f>
        <v>6333.33333333333</v>
      </c>
      <c r="CH24" s="1891"/>
      <c r="CI24" s="1954" t="str">
        <f aca="false">BU24</f>
        <v>SS-6</v>
      </c>
      <c r="CJ24" s="1955" t="n">
        <f aca="false">Revenue!AL79</f>
        <v>6333.33333333333</v>
      </c>
      <c r="CK24" s="1955" t="n">
        <f aca="false">Revenue!AM79</f>
        <v>6333.33333333333</v>
      </c>
      <c r="CL24" s="1955" t="n">
        <f aca="false">Revenue!AN79</f>
        <v>6333.33333333333</v>
      </c>
      <c r="CM24" s="1955" t="n">
        <f aca="false">Revenue!AO79</f>
        <v>6333.33333333333</v>
      </c>
      <c r="CN24" s="1955" t="n">
        <f aca="false">Revenue!AP79</f>
        <v>6333.33333333333</v>
      </c>
      <c r="CO24" s="1955" t="n">
        <f aca="false">Revenue!AQ79</f>
        <v>6333.33333333333</v>
      </c>
      <c r="CP24" s="1955" t="n">
        <f aca="false">Revenue!AR79</f>
        <v>6333.33333333333</v>
      </c>
      <c r="CQ24" s="1955" t="n">
        <f aca="false">Revenue!AS79</f>
        <v>6333.33333333333</v>
      </c>
      <c r="CR24" s="1955" t="n">
        <f aca="false">Revenue!AT79</f>
        <v>6333.33333333333</v>
      </c>
      <c r="CS24" s="1955" t="n">
        <f aca="false">Revenue!AU79</f>
        <v>6333.33333333333</v>
      </c>
      <c r="CT24" s="1955" t="n">
        <f aca="false">Revenue!AV79</f>
        <v>6333.33333333333</v>
      </c>
      <c r="CU24" s="1955" t="n">
        <f aca="false">Revenue!AW79</f>
        <v>6333.33333333333</v>
      </c>
      <c r="CV24" s="1888"/>
      <c r="CW24" s="1956" t="str">
        <f aca="false">CI24</f>
        <v>SS-6</v>
      </c>
      <c r="CX24" s="1957" t="n">
        <f aca="false">Revenue!AX79</f>
        <v>6333.33333333333</v>
      </c>
      <c r="CY24" s="1957" t="n">
        <f aca="false">Revenue!AY79</f>
        <v>6333.33333333333</v>
      </c>
      <c r="CZ24" s="1957" t="n">
        <f aca="false">Revenue!AZ79</f>
        <v>6333.33333333333</v>
      </c>
      <c r="DA24" s="1957" t="n">
        <f aca="false">Revenue!BA79</f>
        <v>6333.33333333333</v>
      </c>
      <c r="DB24" s="1957" t="n">
        <f aca="false">Revenue!BB79</f>
        <v>6333.33333333333</v>
      </c>
      <c r="DC24" s="1957" t="n">
        <f aca="false">Revenue!BC79</f>
        <v>6333.33333333333</v>
      </c>
      <c r="DD24" s="1957" t="n">
        <f aca="false">Revenue!BD79</f>
        <v>6333.33333333333</v>
      </c>
      <c r="DE24" s="1957" t="n">
        <f aca="false">Revenue!BE79</f>
        <v>6333.33333333333</v>
      </c>
      <c r="DF24" s="1957" t="n">
        <f aca="false">Revenue!BF79</f>
        <v>6333.33333333333</v>
      </c>
      <c r="DG24" s="1957" t="n">
        <f aca="false">Revenue!BG79</f>
        <v>6333.33333333333</v>
      </c>
      <c r="DH24" s="1957" t="n">
        <f aca="false">Revenue!BH79</f>
        <v>6333.33333333333</v>
      </c>
      <c r="DI24" s="1957" t="n">
        <f aca="false">Revenue!BI79</f>
        <v>6333.33333333333</v>
      </c>
      <c r="DJ24" s="1466"/>
      <c r="DK24" s="1163"/>
      <c r="DL24" s="1958"/>
      <c r="DM24" s="2051" t="n">
        <v>0</v>
      </c>
      <c r="DN24" s="2052" t="n">
        <v>0</v>
      </c>
      <c r="DO24" s="2052" t="n">
        <v>0</v>
      </c>
      <c r="DP24" s="2052" t="n">
        <v>0</v>
      </c>
      <c r="DQ24" s="2052" t="n">
        <v>0</v>
      </c>
      <c r="DR24" s="2052" t="n">
        <v>0</v>
      </c>
      <c r="DS24" s="2052" t="n">
        <v>0</v>
      </c>
      <c r="DT24" s="2052" t="n">
        <v>0</v>
      </c>
      <c r="DU24" s="2052" t="n">
        <v>0</v>
      </c>
      <c r="DV24" s="2052" t="n">
        <v>0</v>
      </c>
      <c r="DW24" s="2052" t="n">
        <v>0</v>
      </c>
      <c r="DX24" s="2053" t="n">
        <v>0</v>
      </c>
      <c r="DY24" s="1893"/>
      <c r="DZ24" s="2054" t="n">
        <v>0</v>
      </c>
      <c r="EA24" s="2055" t="n">
        <v>0</v>
      </c>
      <c r="EB24" s="2056" t="n">
        <v>0</v>
      </c>
      <c r="EC24" s="2056" t="n">
        <v>0</v>
      </c>
      <c r="ED24" s="2056" t="n">
        <v>0</v>
      </c>
      <c r="EE24" s="2056" t="n">
        <v>0</v>
      </c>
      <c r="EF24" s="2056" t="n">
        <v>0</v>
      </c>
      <c r="EG24" s="2056" t="n">
        <v>0</v>
      </c>
      <c r="EH24" s="2056" t="n">
        <v>0</v>
      </c>
      <c r="EI24" s="2056" t="n">
        <v>0</v>
      </c>
      <c r="EJ24" s="2056" t="n">
        <v>0</v>
      </c>
      <c r="EK24" s="2056" t="n">
        <v>0</v>
      </c>
      <c r="EL24" s="2057" t="n">
        <v>0</v>
      </c>
      <c r="EM24" s="1893"/>
      <c r="EN24" s="1966" t="n">
        <v>0</v>
      </c>
      <c r="EO24" s="1979" t="n">
        <v>0</v>
      </c>
      <c r="EP24" s="1980" t="n">
        <v>0</v>
      </c>
      <c r="EQ24" s="1980" t="n">
        <v>0</v>
      </c>
      <c r="ER24" s="1980" t="n">
        <v>0</v>
      </c>
      <c r="ES24" s="1980" t="n">
        <v>0</v>
      </c>
      <c r="ET24" s="1980" t="n">
        <v>0</v>
      </c>
      <c r="EU24" s="1980" t="n">
        <v>0</v>
      </c>
      <c r="EV24" s="1980" t="n">
        <v>0</v>
      </c>
      <c r="EW24" s="1980" t="n">
        <v>0</v>
      </c>
      <c r="EX24" s="1980" t="n">
        <v>0</v>
      </c>
      <c r="EY24" s="1980" t="n">
        <v>0</v>
      </c>
      <c r="EZ24" s="1981" t="n">
        <v>0</v>
      </c>
      <c r="FA24" s="1893"/>
      <c r="FB24" s="1967" t="n">
        <v>0</v>
      </c>
      <c r="FC24" s="2058" t="n">
        <v>0</v>
      </c>
      <c r="FD24" s="2059" t="n">
        <v>0</v>
      </c>
      <c r="FE24" s="2059" t="n">
        <v>0</v>
      </c>
      <c r="FF24" s="2059" t="n">
        <v>0</v>
      </c>
      <c r="FG24" s="2059" t="n">
        <v>0</v>
      </c>
      <c r="FH24" s="2059" t="n">
        <v>0</v>
      </c>
      <c r="FI24" s="2059" t="n">
        <v>0</v>
      </c>
      <c r="FJ24" s="2059" t="n">
        <v>0</v>
      </c>
      <c r="FK24" s="2059" t="n">
        <v>0</v>
      </c>
      <c r="FL24" s="2059" t="n">
        <v>0</v>
      </c>
      <c r="FM24" s="2059" t="n">
        <v>0</v>
      </c>
      <c r="FN24" s="2060" t="n">
        <v>0</v>
      </c>
      <c r="FO24" s="1466"/>
      <c r="FP24" s="1896"/>
      <c r="FQ24" s="1958" t="str">
        <f aca="false">'Tables 5Y'!CK25</f>
        <v>Interest Expense</v>
      </c>
      <c r="FR24" s="1971" t="n">
        <f aca="false">'P&amp;L'!N43</f>
        <v>110269.268832903</v>
      </c>
      <c r="FS24" s="1972" t="n">
        <f aca="false">'P&amp;L'!O43</f>
        <v>111900.05521454</v>
      </c>
      <c r="FT24" s="1972" t="n">
        <f aca="false">'P&amp;L'!P43</f>
        <v>113513.126907377</v>
      </c>
      <c r="FU24" s="1972" t="n">
        <f aca="false">'P&amp;L'!Q43</f>
        <v>112778.31933797</v>
      </c>
      <c r="FV24" s="1972" t="n">
        <f aca="false">'P&amp;L'!R43</f>
        <v>112039.837730716</v>
      </c>
      <c r="FW24" s="1972" t="n">
        <f aca="false">'P&amp;L'!S43</f>
        <v>111297.663715426</v>
      </c>
      <c r="FX24" s="1972" t="n">
        <f aca="false">'P&amp;L'!T43</f>
        <v>110551.778830059</v>
      </c>
      <c r="FY24" s="1972" t="n">
        <f aca="false">'P&amp;L'!U43</f>
        <v>109802.164520265</v>
      </c>
      <c r="FZ24" s="1972" t="n">
        <f aca="false">'P&amp;L'!V43</f>
        <v>109048.802138923</v>
      </c>
      <c r="GA24" s="1972" t="n">
        <f aca="false">'P&amp;L'!W43</f>
        <v>108291.672945673</v>
      </c>
      <c r="GB24" s="1972" t="n">
        <f aca="false">'P&amp;L'!X43</f>
        <v>107530.758106458</v>
      </c>
      <c r="GC24" s="1973" t="n">
        <f aca="false">'P&amp;L'!Y43</f>
        <v>106766.038693046</v>
      </c>
      <c r="GD24" s="1893"/>
      <c r="GE24" s="1974" t="str">
        <f aca="false">FQ24</f>
        <v>Interest Expense</v>
      </c>
      <c r="GF24" s="1975" t="n">
        <f aca="false">'P&amp;L'!Z43</f>
        <v>105997.495682567</v>
      </c>
      <c r="GG24" s="1976" t="n">
        <f aca="false">'P&amp;L'!AA43</f>
        <v>105225.109957036</v>
      </c>
      <c r="GH24" s="1976" t="n">
        <f aca="false">'P&amp;L'!AB43</f>
        <v>104448.862302878</v>
      </c>
      <c r="GI24" s="1976" t="n">
        <f aca="false">'P&amp;L'!AC43</f>
        <v>103668.733410448</v>
      </c>
      <c r="GJ24" s="1976" t="n">
        <f aca="false">'P&amp;L'!AD43</f>
        <v>102884.703873556</v>
      </c>
      <c r="GK24" s="1976" t="n">
        <f aca="false">'P&amp;L'!AE43</f>
        <v>102096.75418898</v>
      </c>
      <c r="GL24" s="1976" t="n">
        <f aca="false">'P&amp;L'!AF43</f>
        <v>101304.864755981</v>
      </c>
      <c r="GM24" s="1976" t="n">
        <f aca="false">'P&amp;L'!AG43</f>
        <v>100509.015875817</v>
      </c>
      <c r="GN24" s="1976" t="n">
        <f aca="false">'P&amp;L'!AH43</f>
        <v>99709.1877512522</v>
      </c>
      <c r="GO24" s="1976" t="n">
        <f aca="false">'P&amp;L'!AI43</f>
        <v>98905.3604860645</v>
      </c>
      <c r="GP24" s="1976" t="n">
        <f aca="false">'P&amp;L'!AJ43</f>
        <v>98097.5140845509</v>
      </c>
      <c r="GQ24" s="1977" t="n">
        <f aca="false">'P&amp;L'!AK43</f>
        <v>97285.6284510297</v>
      </c>
      <c r="GR24" s="1893"/>
      <c r="GS24" s="1978" t="str">
        <f aca="false">GE24</f>
        <v>Interest Expense</v>
      </c>
      <c r="GT24" s="1979" t="n">
        <f aca="false">'P&amp;L'!AL43</f>
        <v>96469.6833893409</v>
      </c>
      <c r="GU24" s="1980" t="n">
        <f aca="false">'P&amp;L'!AM43</f>
        <v>95649.6586023436</v>
      </c>
      <c r="GV24" s="1980" t="n">
        <f aca="false">'P&amp;L'!AN43</f>
        <v>94825.5336914114</v>
      </c>
      <c r="GW24" s="1980" t="n">
        <f aca="false">'P&amp;L'!AO43</f>
        <v>93997.2881559245</v>
      </c>
      <c r="GX24" s="1980" t="n">
        <f aca="false">'P&amp;L'!AP43</f>
        <v>93164.9013927602</v>
      </c>
      <c r="GY24" s="1980" t="n">
        <f aca="false">'P&amp;L'!AQ43</f>
        <v>92328.3526957801</v>
      </c>
      <c r="GZ24" s="1980" t="n">
        <f aca="false">'P&amp;L'!AR43</f>
        <v>91487.621255315</v>
      </c>
      <c r="HA24" s="1980" t="n">
        <f aca="false">'P&amp;L'!AS43</f>
        <v>90642.6861576477</v>
      </c>
      <c r="HB24" s="1980" t="n">
        <f aca="false">'P&amp;L'!AT43</f>
        <v>89793.5263844919</v>
      </c>
      <c r="HC24" s="1980" t="n">
        <f aca="false">'P&amp;L'!AU43</f>
        <v>88940.1208124704</v>
      </c>
      <c r="HD24" s="1980" t="n">
        <f aca="false">'P&amp;L'!AV43</f>
        <v>88082.4482125889</v>
      </c>
      <c r="HE24" s="1981" t="n">
        <f aca="false">'P&amp;L'!AW43</f>
        <v>87220.4872497079</v>
      </c>
      <c r="HF24" s="1896"/>
      <c r="HG24" s="1982" t="str">
        <f aca="false">GS24</f>
        <v>Interest Expense</v>
      </c>
      <c r="HH24" s="1983" t="n">
        <f aca="false">'P&amp;L'!AX43</f>
        <v>86354.2164820125</v>
      </c>
      <c r="HI24" s="1984" t="n">
        <f aca="false">'P&amp;L'!AY43</f>
        <v>85483.6143604786</v>
      </c>
      <c r="HJ24" s="1984" t="n">
        <f aca="false">'P&amp;L'!AZ43</f>
        <v>84608.659228337</v>
      </c>
      <c r="HK24" s="1984" t="n">
        <f aca="false">'P&amp;L'!BA43</f>
        <v>83729.3293205348</v>
      </c>
      <c r="HL24" s="1984" t="n">
        <f aca="false">'P&amp;L'!BB43</f>
        <v>82845.6027631935</v>
      </c>
      <c r="HM24" s="1984" t="n">
        <f aca="false">'P&amp;L'!BC43</f>
        <v>81957.4575730655</v>
      </c>
      <c r="HN24" s="1984" t="n">
        <f aca="false">'P&amp;L'!BD43</f>
        <v>81064.8716569869</v>
      </c>
      <c r="HO24" s="1984" t="n">
        <f aca="false">'P&amp;L'!BE43</f>
        <v>80167.8228113279</v>
      </c>
      <c r="HP24" s="1984" t="n">
        <f aca="false">'P&amp;L'!BF43</f>
        <v>79266.2887214406</v>
      </c>
      <c r="HQ24" s="1984" t="n">
        <f aca="false">'P&amp;L'!BG43</f>
        <v>78360.2469611038</v>
      </c>
      <c r="HR24" s="1984" t="n">
        <f aca="false">'P&amp;L'!BH43</f>
        <v>77449.6749919654</v>
      </c>
      <c r="HS24" s="1985" t="n">
        <f aca="false">'P&amp;L'!BI43</f>
        <v>76534.5501629813</v>
      </c>
    </row>
    <row r="25" customFormat="false" ht="10.5" hidden="false" customHeight="true" outlineLevel="0" collapsed="false">
      <c r="A25" s="1641"/>
      <c r="B25" s="2008" t="n">
        <f aca="false">Personnel!A25</f>
        <v>0</v>
      </c>
      <c r="C25" s="1971" t="n">
        <f aca="false">Personnel!P25</f>
        <v>0</v>
      </c>
      <c r="D25" s="1972" t="n">
        <f aca="false">Personnel!Q25</f>
        <v>0</v>
      </c>
      <c r="E25" s="1972" t="n">
        <f aca="false">Personnel!R25</f>
        <v>0</v>
      </c>
      <c r="F25" s="1972" t="n">
        <f aca="false">Personnel!S25</f>
        <v>0</v>
      </c>
      <c r="G25" s="1972" t="n">
        <f aca="false">Personnel!T25</f>
        <v>0</v>
      </c>
      <c r="H25" s="1972" t="n">
        <f aca="false">Personnel!U25</f>
        <v>0</v>
      </c>
      <c r="I25" s="1972" t="n">
        <f aca="false">Personnel!V25</f>
        <v>0</v>
      </c>
      <c r="J25" s="1972" t="n">
        <f aca="false">Personnel!W25</f>
        <v>0</v>
      </c>
      <c r="K25" s="1972" t="n">
        <f aca="false">Personnel!X25</f>
        <v>0</v>
      </c>
      <c r="L25" s="1972" t="n">
        <f aca="false">Personnel!Y25</f>
        <v>0</v>
      </c>
      <c r="M25" s="1972" t="n">
        <f aca="false">Personnel!Z25</f>
        <v>0</v>
      </c>
      <c r="N25" s="1973" t="n">
        <f aca="false">Personnel!AA25</f>
        <v>0</v>
      </c>
      <c r="O25" s="1882"/>
      <c r="P25" s="2009" t="n">
        <f aca="false">B25</f>
        <v>0</v>
      </c>
      <c r="Q25" s="1975" t="n">
        <f aca="false">Personnel!AB25</f>
        <v>0</v>
      </c>
      <c r="R25" s="1976" t="n">
        <f aca="false">Personnel!AC25</f>
        <v>0</v>
      </c>
      <c r="S25" s="1976" t="n">
        <f aca="false">Personnel!AD25</f>
        <v>0</v>
      </c>
      <c r="T25" s="1976" t="n">
        <f aca="false">Personnel!AE25</f>
        <v>0</v>
      </c>
      <c r="U25" s="1976" t="n">
        <f aca="false">Personnel!AF25</f>
        <v>0</v>
      </c>
      <c r="V25" s="1976" t="n">
        <f aca="false">Personnel!AG25</f>
        <v>0</v>
      </c>
      <c r="W25" s="1976" t="n">
        <f aca="false">Personnel!AH25</f>
        <v>0</v>
      </c>
      <c r="X25" s="1976" t="n">
        <f aca="false">Personnel!AI25</f>
        <v>0</v>
      </c>
      <c r="Y25" s="1976" t="n">
        <f aca="false">Personnel!AJ25</f>
        <v>0</v>
      </c>
      <c r="Z25" s="1976" t="n">
        <f aca="false">Personnel!AK25</f>
        <v>0</v>
      </c>
      <c r="AA25" s="1976" t="n">
        <f aca="false">Personnel!AL25</f>
        <v>0</v>
      </c>
      <c r="AB25" s="1977" t="n">
        <f aca="false">Personnel!AM25</f>
        <v>0</v>
      </c>
      <c r="AC25" s="1882"/>
      <c r="AD25" s="2010" t="n">
        <f aca="false">P25</f>
        <v>0</v>
      </c>
      <c r="AE25" s="1979" t="n">
        <f aca="false">Personnel!AN25</f>
        <v>0</v>
      </c>
      <c r="AF25" s="1980" t="n">
        <f aca="false">Personnel!AO25</f>
        <v>0</v>
      </c>
      <c r="AG25" s="1980" t="n">
        <f aca="false">Personnel!AP25</f>
        <v>0</v>
      </c>
      <c r="AH25" s="1980" t="n">
        <f aca="false">Personnel!AQ25</f>
        <v>0</v>
      </c>
      <c r="AI25" s="1980" t="n">
        <f aca="false">Personnel!AR25</f>
        <v>0</v>
      </c>
      <c r="AJ25" s="1980" t="n">
        <f aca="false">Personnel!AS25</f>
        <v>0</v>
      </c>
      <c r="AK25" s="1980" t="n">
        <f aca="false">Personnel!AT25</f>
        <v>0</v>
      </c>
      <c r="AL25" s="1980" t="n">
        <f aca="false">Personnel!AU25</f>
        <v>0</v>
      </c>
      <c r="AM25" s="1980" t="n">
        <f aca="false">Personnel!AV25</f>
        <v>0</v>
      </c>
      <c r="AN25" s="1980" t="n">
        <f aca="false">Personnel!AW25</f>
        <v>0</v>
      </c>
      <c r="AO25" s="1980" t="n">
        <f aca="false">Personnel!AX25</f>
        <v>0</v>
      </c>
      <c r="AP25" s="1981" t="n">
        <f aca="false">Personnel!AY25</f>
        <v>0</v>
      </c>
      <c r="AQ25" s="1882"/>
      <c r="AR25" s="2011" t="n">
        <f aca="false">AD25</f>
        <v>0</v>
      </c>
      <c r="AS25" s="1983" t="n">
        <f aca="false">Personnel!AZ25</f>
        <v>0</v>
      </c>
      <c r="AT25" s="1984" t="n">
        <f aca="false">Personnel!BA25</f>
        <v>0</v>
      </c>
      <c r="AU25" s="1984" t="n">
        <f aca="false">Personnel!BB25</f>
        <v>0</v>
      </c>
      <c r="AV25" s="1984" t="n">
        <f aca="false">Personnel!BC25</f>
        <v>0</v>
      </c>
      <c r="AW25" s="1984" t="n">
        <f aca="false">Personnel!BD25</f>
        <v>0</v>
      </c>
      <c r="AX25" s="1984" t="n">
        <f aca="false">Personnel!BE25</f>
        <v>0</v>
      </c>
      <c r="AY25" s="1984" t="n">
        <f aca="false">Personnel!BF25</f>
        <v>0</v>
      </c>
      <c r="AZ25" s="1984" t="n">
        <f aca="false">Personnel!BG25</f>
        <v>0</v>
      </c>
      <c r="BA25" s="1984" t="n">
        <f aca="false">Personnel!BH25</f>
        <v>0</v>
      </c>
      <c r="BB25" s="1984" t="n">
        <f aca="false">Personnel!BI25</f>
        <v>0</v>
      </c>
      <c r="BC25" s="1984" t="n">
        <f aca="false">Personnel!BJ25</f>
        <v>0</v>
      </c>
      <c r="BD25" s="1985" t="n">
        <f aca="false">Personnel!BK25</f>
        <v>0</v>
      </c>
      <c r="BE25" s="1466"/>
      <c r="BF25" s="1885"/>
      <c r="BG25" s="1915" t="str">
        <f aca="false">Revenue!A112</f>
        <v>SS-8</v>
      </c>
      <c r="BH25" s="1916" t="n">
        <f aca="false">Revenue!N112</f>
        <v>43318.982142857</v>
      </c>
      <c r="BI25" s="1916" t="n">
        <f aca="false">Revenue!O112</f>
        <v>48132.2023809523</v>
      </c>
      <c r="BJ25" s="1916" t="n">
        <f aca="false">Revenue!P112</f>
        <v>52945.4226190477</v>
      </c>
      <c r="BK25" s="1916" t="n">
        <f aca="false">Revenue!Q112</f>
        <v>57758.642857143</v>
      </c>
      <c r="BL25" s="1916" t="n">
        <f aca="false">Revenue!R112</f>
        <v>62571.8630952383</v>
      </c>
      <c r="BM25" s="1916" t="n">
        <f aca="false">Revenue!S112</f>
        <v>67385.0833333332</v>
      </c>
      <c r="BN25" s="1916" t="n">
        <f aca="false">Revenue!T112</f>
        <v>72198.3035714285</v>
      </c>
      <c r="BO25" s="1916" t="n">
        <f aca="false">Revenue!U112</f>
        <v>77011.5238095239</v>
      </c>
      <c r="BP25" s="1916" t="n">
        <f aca="false">Revenue!V112</f>
        <v>81824.7440476191</v>
      </c>
      <c r="BQ25" s="1916" t="n">
        <f aca="false">Revenue!W112</f>
        <v>86637.9642857145</v>
      </c>
      <c r="BR25" s="1916" t="n">
        <f aca="false">Revenue!X112</f>
        <v>91451.1845238094</v>
      </c>
      <c r="BS25" s="1915" t="n">
        <f aca="false">Revenue!Y112</f>
        <v>96264.4047619047</v>
      </c>
      <c r="BT25" s="1888"/>
      <c r="BU25" s="1952" t="str">
        <f aca="false">BG25</f>
        <v>SS-8</v>
      </c>
      <c r="BV25" s="1952" t="n">
        <f aca="false">Revenue!Z80</f>
        <v>3958.33333333333</v>
      </c>
      <c r="BW25" s="1952" t="n">
        <f aca="false">Revenue!AA80</f>
        <v>3958.33333333333</v>
      </c>
      <c r="BX25" s="1953" t="n">
        <f aca="false">Revenue!AB80</f>
        <v>3958.33333333333</v>
      </c>
      <c r="BY25" s="1952" t="n">
        <f aca="false">Revenue!AC80</f>
        <v>3958.33333333333</v>
      </c>
      <c r="BZ25" s="1952" t="n">
        <f aca="false">Revenue!AD80</f>
        <v>3958.33333333333</v>
      </c>
      <c r="CA25" s="1952" t="n">
        <f aca="false">Revenue!AE80</f>
        <v>3958.33333333333</v>
      </c>
      <c r="CB25" s="1952" t="n">
        <f aca="false">Revenue!AF80</f>
        <v>3958.33333333333</v>
      </c>
      <c r="CC25" s="1952" t="n">
        <f aca="false">Revenue!AG80</f>
        <v>3958.33333333333</v>
      </c>
      <c r="CD25" s="1952" t="n">
        <f aca="false">Revenue!AH80</f>
        <v>3958.33333333333</v>
      </c>
      <c r="CE25" s="1952" t="n">
        <f aca="false">Revenue!AI80</f>
        <v>3958.33333333333</v>
      </c>
      <c r="CF25" s="1952" t="n">
        <f aca="false">Revenue!AJ80</f>
        <v>3958.33333333333</v>
      </c>
      <c r="CG25" s="1952" t="n">
        <f aca="false">Revenue!AK80</f>
        <v>3958.33333333333</v>
      </c>
      <c r="CH25" s="1891"/>
      <c r="CI25" s="1954" t="str">
        <f aca="false">BU25</f>
        <v>SS-8</v>
      </c>
      <c r="CJ25" s="1955" t="n">
        <f aca="false">Revenue!AL80</f>
        <v>3958.33333333333</v>
      </c>
      <c r="CK25" s="1955" t="n">
        <f aca="false">Revenue!AM80</f>
        <v>3958.33333333333</v>
      </c>
      <c r="CL25" s="1955" t="n">
        <f aca="false">Revenue!AN80</f>
        <v>3958.33333333333</v>
      </c>
      <c r="CM25" s="1955" t="n">
        <f aca="false">Revenue!AO80</f>
        <v>3958.33333333333</v>
      </c>
      <c r="CN25" s="1955" t="n">
        <f aca="false">Revenue!AP80</f>
        <v>3958.33333333333</v>
      </c>
      <c r="CO25" s="1955" t="n">
        <f aca="false">Revenue!AQ80</f>
        <v>3958.33333333333</v>
      </c>
      <c r="CP25" s="1955" t="n">
        <f aca="false">Revenue!AR80</f>
        <v>3958.33333333333</v>
      </c>
      <c r="CQ25" s="1955" t="n">
        <f aca="false">Revenue!AS80</f>
        <v>3958.33333333333</v>
      </c>
      <c r="CR25" s="1955" t="n">
        <f aca="false">Revenue!AT80</f>
        <v>3958.33333333333</v>
      </c>
      <c r="CS25" s="1955" t="n">
        <f aca="false">Revenue!AU80</f>
        <v>3958.33333333333</v>
      </c>
      <c r="CT25" s="1955" t="n">
        <f aca="false">Revenue!AV80</f>
        <v>3958.33333333333</v>
      </c>
      <c r="CU25" s="1955" t="n">
        <f aca="false">Revenue!AW80</f>
        <v>3958.33333333333</v>
      </c>
      <c r="CV25" s="1888"/>
      <c r="CW25" s="1956" t="str">
        <f aca="false">CI25</f>
        <v>SS-8</v>
      </c>
      <c r="CX25" s="1957" t="n">
        <f aca="false">Revenue!AX80</f>
        <v>3958.33333333333</v>
      </c>
      <c r="CY25" s="1957" t="n">
        <f aca="false">Revenue!AY80</f>
        <v>3958.33333333333</v>
      </c>
      <c r="CZ25" s="1957" t="n">
        <f aca="false">Revenue!AZ80</f>
        <v>3958.33333333333</v>
      </c>
      <c r="DA25" s="1957" t="n">
        <f aca="false">Revenue!BA80</f>
        <v>3958.33333333333</v>
      </c>
      <c r="DB25" s="1957" t="n">
        <f aca="false">Revenue!BB80</f>
        <v>3958.33333333333</v>
      </c>
      <c r="DC25" s="1957" t="n">
        <f aca="false">Revenue!BC80</f>
        <v>3958.33333333333</v>
      </c>
      <c r="DD25" s="1957" t="n">
        <f aca="false">Revenue!BD80</f>
        <v>3958.33333333333</v>
      </c>
      <c r="DE25" s="1957" t="n">
        <f aca="false">Revenue!BE80</f>
        <v>3958.33333333333</v>
      </c>
      <c r="DF25" s="1957" t="n">
        <f aca="false">Revenue!BF80</f>
        <v>3958.33333333333</v>
      </c>
      <c r="DG25" s="1957" t="n">
        <f aca="false">Revenue!BG80</f>
        <v>3958.33333333333</v>
      </c>
      <c r="DH25" s="1957" t="n">
        <f aca="false">Revenue!BH80</f>
        <v>3958.33333333333</v>
      </c>
      <c r="DI25" s="1957" t="n">
        <f aca="false">Revenue!BI80</f>
        <v>3958.33333333333</v>
      </c>
      <c r="DJ25" s="1466"/>
      <c r="DK25" s="1163"/>
      <c r="DL25" s="1986"/>
      <c r="DM25" s="2076" t="n">
        <v>0</v>
      </c>
      <c r="DN25" s="2077" t="n">
        <v>0</v>
      </c>
      <c r="DO25" s="2077" t="n">
        <v>0</v>
      </c>
      <c r="DP25" s="2077" t="n">
        <v>0</v>
      </c>
      <c r="DQ25" s="2077" t="n">
        <v>0</v>
      </c>
      <c r="DR25" s="2077" t="n">
        <v>0</v>
      </c>
      <c r="DS25" s="2077" t="n">
        <v>0</v>
      </c>
      <c r="DT25" s="2077" t="n">
        <v>0</v>
      </c>
      <c r="DU25" s="2077" t="n">
        <v>0</v>
      </c>
      <c r="DV25" s="2077" t="n">
        <v>0</v>
      </c>
      <c r="DW25" s="2077" t="n">
        <v>0</v>
      </c>
      <c r="DX25" s="2078" t="n">
        <v>0</v>
      </c>
      <c r="DY25" s="1893"/>
      <c r="DZ25" s="2079" t="n">
        <v>0</v>
      </c>
      <c r="EA25" s="2080" t="n">
        <v>0</v>
      </c>
      <c r="EB25" s="2081" t="n">
        <v>0</v>
      </c>
      <c r="EC25" s="2081" t="n">
        <v>0</v>
      </c>
      <c r="ED25" s="2081" t="n">
        <v>0</v>
      </c>
      <c r="EE25" s="2081" t="n">
        <v>0</v>
      </c>
      <c r="EF25" s="2081" t="n">
        <v>0</v>
      </c>
      <c r="EG25" s="2081" t="n">
        <v>0</v>
      </c>
      <c r="EH25" s="2081" t="n">
        <v>0</v>
      </c>
      <c r="EI25" s="2081" t="n">
        <v>0</v>
      </c>
      <c r="EJ25" s="2081" t="n">
        <v>0</v>
      </c>
      <c r="EK25" s="2081" t="n">
        <v>0</v>
      </c>
      <c r="EL25" s="2082" t="n">
        <v>0</v>
      </c>
      <c r="EM25" s="1893"/>
      <c r="EN25" s="2083" t="n">
        <v>0</v>
      </c>
      <c r="EO25" s="2070" t="n">
        <v>0</v>
      </c>
      <c r="EP25" s="2071" t="n">
        <v>0</v>
      </c>
      <c r="EQ25" s="2071" t="n">
        <v>0</v>
      </c>
      <c r="ER25" s="2071" t="n">
        <v>0</v>
      </c>
      <c r="ES25" s="2071" t="n">
        <v>0</v>
      </c>
      <c r="ET25" s="2071" t="n">
        <v>0</v>
      </c>
      <c r="EU25" s="2071" t="n">
        <v>0</v>
      </c>
      <c r="EV25" s="2071" t="n">
        <v>0</v>
      </c>
      <c r="EW25" s="2071" t="n">
        <v>0</v>
      </c>
      <c r="EX25" s="2071" t="n">
        <v>0</v>
      </c>
      <c r="EY25" s="2071" t="n">
        <v>0</v>
      </c>
      <c r="EZ25" s="2072" t="n">
        <v>0</v>
      </c>
      <c r="FA25" s="1893"/>
      <c r="FB25" s="2084" t="n">
        <v>0</v>
      </c>
      <c r="FC25" s="2085" t="n">
        <v>0</v>
      </c>
      <c r="FD25" s="2086" t="n">
        <v>0</v>
      </c>
      <c r="FE25" s="2086" t="n">
        <v>0</v>
      </c>
      <c r="FF25" s="2086" t="n">
        <v>0</v>
      </c>
      <c r="FG25" s="2086" t="n">
        <v>0</v>
      </c>
      <c r="FH25" s="2086" t="n">
        <v>0</v>
      </c>
      <c r="FI25" s="2086" t="n">
        <v>0</v>
      </c>
      <c r="FJ25" s="2086" t="n">
        <v>0</v>
      </c>
      <c r="FK25" s="2086" t="n">
        <v>0</v>
      </c>
      <c r="FL25" s="2086" t="n">
        <v>0</v>
      </c>
      <c r="FM25" s="2086" t="n">
        <v>0</v>
      </c>
      <c r="FN25" s="2087" t="n">
        <v>0</v>
      </c>
      <c r="FO25" s="1466"/>
      <c r="FP25" s="1896"/>
      <c r="FQ25" s="1986" t="str">
        <f aca="false">'Tables 5Y'!CK26</f>
        <v>Taxes Incurred</v>
      </c>
      <c r="FR25" s="2064" t="n">
        <f aca="false">'P&amp;L'!N44</f>
        <v>0</v>
      </c>
      <c r="FS25" s="2065" t="n">
        <f aca="false">'P&amp;L'!O44</f>
        <v>0</v>
      </c>
      <c r="FT25" s="2065" t="n">
        <f aca="false">'P&amp;L'!P44</f>
        <v>0</v>
      </c>
      <c r="FU25" s="2065" t="n">
        <f aca="false">'P&amp;L'!Q44</f>
        <v>0</v>
      </c>
      <c r="FV25" s="2065" t="n">
        <f aca="false">'P&amp;L'!R44</f>
        <v>0</v>
      </c>
      <c r="FW25" s="2065" t="n">
        <f aca="false">'P&amp;L'!S44</f>
        <v>0</v>
      </c>
      <c r="FX25" s="2065" t="n">
        <f aca="false">'P&amp;L'!T44</f>
        <v>106532.614312116</v>
      </c>
      <c r="FY25" s="2065" t="n">
        <f aca="false">'P&amp;L'!U44</f>
        <v>121103.17214216</v>
      </c>
      <c r="FZ25" s="2065" t="n">
        <f aca="false">'P&amp;L'!V44</f>
        <v>142949.742182936</v>
      </c>
      <c r="GA25" s="2065" t="n">
        <f aca="false">'P&amp;L'!W44</f>
        <v>164796.877245498</v>
      </c>
      <c r="GB25" s="2065" t="n">
        <f aca="false">'P&amp;L'!X44</f>
        <v>186644.580154956</v>
      </c>
      <c r="GC25" s="2066" t="n">
        <f aca="false">'P&amp;L'!Y44</f>
        <v>208492.853750543</v>
      </c>
      <c r="GD25" s="1893"/>
      <c r="GE25" s="1990" t="str">
        <f aca="false">FQ25</f>
        <v>Taxes Incurred</v>
      </c>
      <c r="GF25" s="2067" t="n">
        <f aca="false">'P&amp;L'!Z44</f>
        <v>618402.373995613</v>
      </c>
      <c r="GG25" s="2068" t="n">
        <f aca="false">'P&amp;L'!AA44</f>
        <v>618518.231854443</v>
      </c>
      <c r="GH25" s="2068" t="n">
        <f aca="false">'P&amp;L'!AB44</f>
        <v>618634.669002566</v>
      </c>
      <c r="GI25" s="2068" t="n">
        <f aca="false">'P&amp;L'!AC44</f>
        <v>618751.688336431</v>
      </c>
      <c r="GJ25" s="2068" t="n">
        <f aca="false">'P&amp;L'!AD44</f>
        <v>618869.292766965</v>
      </c>
      <c r="GK25" s="2068" t="n">
        <f aca="false">'P&amp;L'!AE44</f>
        <v>618987.485219651</v>
      </c>
      <c r="GL25" s="2068" t="n">
        <f aca="false">'P&amp;L'!AF44</f>
        <v>619106.268634601</v>
      </c>
      <c r="GM25" s="2068" t="n">
        <f aca="false">'P&amp;L'!AG44</f>
        <v>619225.645966625</v>
      </c>
      <c r="GN25" s="2068" t="n">
        <f aca="false">'P&amp;L'!AH44</f>
        <v>619345.62018531</v>
      </c>
      <c r="GO25" s="2068" t="n">
        <f aca="false">'P&amp;L'!AI44</f>
        <v>619466.194275088</v>
      </c>
      <c r="GP25" s="2068" t="n">
        <f aca="false">'P&amp;L'!AJ44</f>
        <v>619587.371235315</v>
      </c>
      <c r="GQ25" s="2069" t="n">
        <f aca="false">'P&amp;L'!AK44</f>
        <v>619709.154080344</v>
      </c>
      <c r="GR25" s="1893"/>
      <c r="GS25" s="1994" t="str">
        <f aca="false">GE25</f>
        <v>Taxes Incurred</v>
      </c>
      <c r="GT25" s="2070" t="n">
        <f aca="false">'P&amp;L'!AL44</f>
        <v>712400.196533782</v>
      </c>
      <c r="GU25" s="2071" t="n">
        <f aca="false">'P&amp;L'!AM44</f>
        <v>712523.200251832</v>
      </c>
      <c r="GV25" s="2071" t="n">
        <f aca="false">'P&amp;L'!AN44</f>
        <v>712646.818988472</v>
      </c>
      <c r="GW25" s="2071" t="n">
        <f aca="false">'P&amp;L'!AO44</f>
        <v>712771.055818795</v>
      </c>
      <c r="GX25" s="2071" t="n">
        <f aca="false">'P&amp;L'!AP44</f>
        <v>712895.91383327</v>
      </c>
      <c r="GY25" s="2071" t="n">
        <f aca="false">'P&amp;L'!AQ44</f>
        <v>713021.396137817</v>
      </c>
      <c r="GZ25" s="2071" t="n">
        <f aca="false">'P&amp;L'!AR44</f>
        <v>713147.505853886</v>
      </c>
      <c r="HA25" s="2071" t="n">
        <f aca="false">'P&amp;L'!AS44</f>
        <v>713274.246118536</v>
      </c>
      <c r="HB25" s="2071" t="n">
        <f aca="false">'P&amp;L'!AT44</f>
        <v>713401.62008451</v>
      </c>
      <c r="HC25" s="2071" t="n">
        <f aca="false">'P&amp;L'!AU44</f>
        <v>713529.630920313</v>
      </c>
      <c r="HD25" s="2071" t="n">
        <f aca="false">'P&amp;L'!AV44</f>
        <v>713658.281810295</v>
      </c>
      <c r="HE25" s="2072" t="n">
        <f aca="false">'P&amp;L'!AW44</f>
        <v>713787.575954727</v>
      </c>
      <c r="HF25" s="1896"/>
      <c r="HG25" s="1998" t="str">
        <f aca="false">GS25</f>
        <v>Taxes Incurred</v>
      </c>
      <c r="HH25" s="2073" t="n">
        <f aca="false">'P&amp;L'!AX44</f>
        <v>805987.182689668</v>
      </c>
      <c r="HI25" s="2074" t="n">
        <f aca="false">'P&amp;L'!AY44</f>
        <v>806117.773007898</v>
      </c>
      <c r="HJ25" s="2074" t="n">
        <f aca="false">'P&amp;L'!AZ44</f>
        <v>806249.016277719</v>
      </c>
      <c r="HK25" s="2074" t="n">
        <f aca="false">'P&amp;L'!BA44</f>
        <v>806380.91576389</v>
      </c>
      <c r="HL25" s="2074" t="n">
        <f aca="false">'P&amp;L'!BB44</f>
        <v>806513.474747491</v>
      </c>
      <c r="HM25" s="2074" t="n">
        <f aca="false">'P&amp;L'!BC44</f>
        <v>806646.69652601</v>
      </c>
      <c r="HN25" s="2074" t="n">
        <f aca="false">'P&amp;L'!BD44</f>
        <v>806780.584413422</v>
      </c>
      <c r="HO25" s="2074" t="n">
        <f aca="false">'P&amp;L'!BE44</f>
        <v>806915.141740271</v>
      </c>
      <c r="HP25" s="2074" t="n">
        <f aca="false">'P&amp;L'!BF44</f>
        <v>807050.371853754</v>
      </c>
      <c r="HQ25" s="2074" t="n">
        <f aca="false">'P&amp;L'!BG44</f>
        <v>807186.278117804</v>
      </c>
      <c r="HR25" s="2074" t="n">
        <f aca="false">'P&amp;L'!BH44</f>
        <v>807322.863913175</v>
      </c>
      <c r="HS25" s="2075" t="n">
        <f aca="false">'P&amp;L'!BI44</f>
        <v>807460.132637523</v>
      </c>
    </row>
    <row r="26" customFormat="false" ht="10.5" hidden="false" customHeight="true" outlineLevel="0" collapsed="false">
      <c r="A26" s="1641"/>
      <c r="B26" s="2008" t="n">
        <f aca="false">Personnel!A26</f>
        <v>0</v>
      </c>
      <c r="C26" s="1971" t="n">
        <f aca="false">Personnel!P26</f>
        <v>0</v>
      </c>
      <c r="D26" s="1972" t="n">
        <f aca="false">Personnel!Q26</f>
        <v>0</v>
      </c>
      <c r="E26" s="1972" t="n">
        <f aca="false">Personnel!R26</f>
        <v>0</v>
      </c>
      <c r="F26" s="1972" t="n">
        <f aca="false">Personnel!S26</f>
        <v>0</v>
      </c>
      <c r="G26" s="1972" t="n">
        <f aca="false">Personnel!T26</f>
        <v>0</v>
      </c>
      <c r="H26" s="1972" t="n">
        <f aca="false">Personnel!U26</f>
        <v>0</v>
      </c>
      <c r="I26" s="1972" t="n">
        <f aca="false">Personnel!V26</f>
        <v>0</v>
      </c>
      <c r="J26" s="1972" t="n">
        <f aca="false">Personnel!W26</f>
        <v>0</v>
      </c>
      <c r="K26" s="1972" t="n">
        <f aca="false">Personnel!X26</f>
        <v>0</v>
      </c>
      <c r="L26" s="1972" t="n">
        <f aca="false">Personnel!Y26</f>
        <v>0</v>
      </c>
      <c r="M26" s="1972" t="n">
        <f aca="false">Personnel!Z26</f>
        <v>0</v>
      </c>
      <c r="N26" s="1973" t="n">
        <f aca="false">Personnel!AA26</f>
        <v>0</v>
      </c>
      <c r="O26" s="1882"/>
      <c r="P26" s="2009" t="n">
        <f aca="false">B26</f>
        <v>0</v>
      </c>
      <c r="Q26" s="1975" t="n">
        <f aca="false">Personnel!AB26</f>
        <v>0</v>
      </c>
      <c r="R26" s="1976" t="n">
        <f aca="false">Personnel!AC26</f>
        <v>0</v>
      </c>
      <c r="S26" s="1976" t="n">
        <f aca="false">Personnel!AD26</f>
        <v>0</v>
      </c>
      <c r="T26" s="1976" t="n">
        <f aca="false">Personnel!AE26</f>
        <v>0</v>
      </c>
      <c r="U26" s="1976" t="n">
        <f aca="false">Personnel!AF26</f>
        <v>0</v>
      </c>
      <c r="V26" s="1976" t="n">
        <f aca="false">Personnel!AG26</f>
        <v>0</v>
      </c>
      <c r="W26" s="1976" t="n">
        <f aca="false">Personnel!AH26</f>
        <v>0</v>
      </c>
      <c r="X26" s="1976" t="n">
        <f aca="false">Personnel!AI26</f>
        <v>0</v>
      </c>
      <c r="Y26" s="1976" t="n">
        <f aca="false">Personnel!AJ26</f>
        <v>0</v>
      </c>
      <c r="Z26" s="1976" t="n">
        <f aca="false">Personnel!AK26</f>
        <v>0</v>
      </c>
      <c r="AA26" s="1976" t="n">
        <f aca="false">Personnel!AL26</f>
        <v>0</v>
      </c>
      <c r="AB26" s="1977" t="n">
        <f aca="false">Personnel!AM26</f>
        <v>0</v>
      </c>
      <c r="AC26" s="1882"/>
      <c r="AD26" s="2010" t="n">
        <f aca="false">P26</f>
        <v>0</v>
      </c>
      <c r="AE26" s="1979" t="n">
        <f aca="false">Personnel!AN26</f>
        <v>0</v>
      </c>
      <c r="AF26" s="1980" t="n">
        <f aca="false">Personnel!AO26</f>
        <v>0</v>
      </c>
      <c r="AG26" s="1980" t="n">
        <f aca="false">Personnel!AP26</f>
        <v>0</v>
      </c>
      <c r="AH26" s="1980" t="n">
        <f aca="false">Personnel!AQ26</f>
        <v>0</v>
      </c>
      <c r="AI26" s="1980" t="n">
        <f aca="false">Personnel!AR26</f>
        <v>0</v>
      </c>
      <c r="AJ26" s="1980" t="n">
        <f aca="false">Personnel!AS26</f>
        <v>0</v>
      </c>
      <c r="AK26" s="1980" t="n">
        <f aca="false">Personnel!AT26</f>
        <v>0</v>
      </c>
      <c r="AL26" s="1980" t="n">
        <f aca="false">Personnel!AU26</f>
        <v>0</v>
      </c>
      <c r="AM26" s="1980" t="n">
        <f aca="false">Personnel!AV26</f>
        <v>0</v>
      </c>
      <c r="AN26" s="1980" t="n">
        <f aca="false">Personnel!AW26</f>
        <v>0</v>
      </c>
      <c r="AO26" s="1980" t="n">
        <f aca="false">Personnel!AX26</f>
        <v>0</v>
      </c>
      <c r="AP26" s="1981" t="n">
        <f aca="false">Personnel!AY26</f>
        <v>0</v>
      </c>
      <c r="AQ26" s="1882"/>
      <c r="AR26" s="2011" t="n">
        <f aca="false">AD26</f>
        <v>0</v>
      </c>
      <c r="AS26" s="1983" t="n">
        <f aca="false">Personnel!AZ26</f>
        <v>0</v>
      </c>
      <c r="AT26" s="1984" t="n">
        <f aca="false">Personnel!BA26</f>
        <v>0</v>
      </c>
      <c r="AU26" s="1984" t="n">
        <f aca="false">Personnel!BB26</f>
        <v>0</v>
      </c>
      <c r="AV26" s="1984" t="n">
        <f aca="false">Personnel!BC26</f>
        <v>0</v>
      </c>
      <c r="AW26" s="1984" t="n">
        <f aca="false">Personnel!BD26</f>
        <v>0</v>
      </c>
      <c r="AX26" s="1984" t="n">
        <f aca="false">Personnel!BE26</f>
        <v>0</v>
      </c>
      <c r="AY26" s="1984" t="n">
        <f aca="false">Personnel!BF26</f>
        <v>0</v>
      </c>
      <c r="AZ26" s="1984" t="n">
        <f aca="false">Personnel!BG26</f>
        <v>0</v>
      </c>
      <c r="BA26" s="1984" t="n">
        <f aca="false">Personnel!BH26</f>
        <v>0</v>
      </c>
      <c r="BB26" s="1984" t="n">
        <f aca="false">Personnel!BI26</f>
        <v>0</v>
      </c>
      <c r="BC26" s="1984" t="n">
        <f aca="false">Personnel!BJ26</f>
        <v>0</v>
      </c>
      <c r="BD26" s="1985" t="n">
        <f aca="false">Personnel!BK26</f>
        <v>0</v>
      </c>
      <c r="BE26" s="1466"/>
      <c r="BF26" s="1885"/>
      <c r="BG26" s="1915" t="str">
        <f aca="false">Revenue!A113</f>
        <v>SS-10</v>
      </c>
      <c r="BH26" s="1916" t="n">
        <f aca="false">Revenue!N113</f>
        <v>21659.4910714286</v>
      </c>
      <c r="BI26" s="1916" t="n">
        <f aca="false">Revenue!O113</f>
        <v>24066.1011904762</v>
      </c>
      <c r="BJ26" s="1916" t="n">
        <f aca="false">Revenue!P113</f>
        <v>26472.7113095238</v>
      </c>
      <c r="BK26" s="1916" t="n">
        <f aca="false">Revenue!Q113</f>
        <v>28879.3214285715</v>
      </c>
      <c r="BL26" s="1916" t="n">
        <f aca="false">Revenue!R113</f>
        <v>31285.9315476191</v>
      </c>
      <c r="BM26" s="1916" t="n">
        <f aca="false">Revenue!S113</f>
        <v>33692.5416666667</v>
      </c>
      <c r="BN26" s="1916" t="n">
        <f aca="false">Revenue!T113</f>
        <v>36099.1517857143</v>
      </c>
      <c r="BO26" s="1916" t="n">
        <f aca="false">Revenue!U113</f>
        <v>38505.7619047619</v>
      </c>
      <c r="BP26" s="1916" t="n">
        <f aca="false">Revenue!V113</f>
        <v>40912.3720238095</v>
      </c>
      <c r="BQ26" s="1916" t="n">
        <f aca="false">Revenue!W113</f>
        <v>43318.982142857</v>
      </c>
      <c r="BR26" s="1916" t="n">
        <f aca="false">Revenue!X113</f>
        <v>45725.5922619047</v>
      </c>
      <c r="BS26" s="1915" t="n">
        <f aca="false">Revenue!Y113</f>
        <v>48132.2023809523</v>
      </c>
      <c r="BT26" s="1888"/>
      <c r="BU26" s="1952" t="str">
        <f aca="false">BG26</f>
        <v>SS-10</v>
      </c>
      <c r="BV26" s="1952" t="n">
        <f aca="false">Revenue!Z81</f>
        <v>1979.16666666667</v>
      </c>
      <c r="BW26" s="1952" t="n">
        <f aca="false">Revenue!AA81</f>
        <v>1979.16666666667</v>
      </c>
      <c r="BX26" s="1953" t="n">
        <f aca="false">Revenue!AB81</f>
        <v>1979.16666666667</v>
      </c>
      <c r="BY26" s="1952" t="n">
        <f aca="false">Revenue!AC81</f>
        <v>1979.16666666667</v>
      </c>
      <c r="BZ26" s="1952" t="n">
        <f aca="false">Revenue!AD81</f>
        <v>1979.16666666667</v>
      </c>
      <c r="CA26" s="1952" t="n">
        <f aca="false">Revenue!AE81</f>
        <v>1979.16666666667</v>
      </c>
      <c r="CB26" s="1952" t="n">
        <f aca="false">Revenue!AF81</f>
        <v>1979.16666666667</v>
      </c>
      <c r="CC26" s="1952" t="n">
        <f aca="false">Revenue!AG81</f>
        <v>1979.16666666667</v>
      </c>
      <c r="CD26" s="1952" t="n">
        <f aca="false">Revenue!AH81</f>
        <v>1979.16666666667</v>
      </c>
      <c r="CE26" s="1952" t="n">
        <f aca="false">Revenue!AI81</f>
        <v>1979.16666666667</v>
      </c>
      <c r="CF26" s="1952" t="n">
        <f aca="false">Revenue!AJ81</f>
        <v>1979.16666666667</v>
      </c>
      <c r="CG26" s="1952" t="n">
        <f aca="false">Revenue!AK81</f>
        <v>1979.16666666667</v>
      </c>
      <c r="CH26" s="1891"/>
      <c r="CI26" s="1954" t="str">
        <f aca="false">BU26</f>
        <v>SS-10</v>
      </c>
      <c r="CJ26" s="1955" t="n">
        <f aca="false">Revenue!AL81</f>
        <v>1979.16666666667</v>
      </c>
      <c r="CK26" s="1955" t="n">
        <f aca="false">Revenue!AM81</f>
        <v>1979.16666666667</v>
      </c>
      <c r="CL26" s="1955" t="n">
        <f aca="false">Revenue!AN81</f>
        <v>1979.16666666667</v>
      </c>
      <c r="CM26" s="1955" t="n">
        <f aca="false">Revenue!AO81</f>
        <v>1979.16666666667</v>
      </c>
      <c r="CN26" s="1955" t="n">
        <f aca="false">Revenue!AP81</f>
        <v>1979.16666666667</v>
      </c>
      <c r="CO26" s="1955" t="n">
        <f aca="false">Revenue!AQ81</f>
        <v>1979.16666666667</v>
      </c>
      <c r="CP26" s="1955" t="n">
        <f aca="false">Revenue!AR81</f>
        <v>1979.16666666667</v>
      </c>
      <c r="CQ26" s="1955" t="n">
        <f aca="false">Revenue!AS81</f>
        <v>1979.16666666667</v>
      </c>
      <c r="CR26" s="1955" t="n">
        <f aca="false">Revenue!AT81</f>
        <v>1979.16666666667</v>
      </c>
      <c r="CS26" s="1955" t="n">
        <f aca="false">Revenue!AU81</f>
        <v>1979.16666666667</v>
      </c>
      <c r="CT26" s="1955" t="n">
        <f aca="false">Revenue!AV81</f>
        <v>1979.16666666667</v>
      </c>
      <c r="CU26" s="1955" t="n">
        <f aca="false">Revenue!AW81</f>
        <v>1979.16666666667</v>
      </c>
      <c r="CV26" s="1888"/>
      <c r="CW26" s="1956" t="str">
        <f aca="false">CI26</f>
        <v>SS-10</v>
      </c>
      <c r="CX26" s="1957" t="n">
        <f aca="false">Revenue!AX81</f>
        <v>1979.16666666667</v>
      </c>
      <c r="CY26" s="1957" t="n">
        <f aca="false">Revenue!AY81</f>
        <v>1979.16666666667</v>
      </c>
      <c r="CZ26" s="1957" t="n">
        <f aca="false">Revenue!AZ81</f>
        <v>1979.16666666667</v>
      </c>
      <c r="DA26" s="1957" t="n">
        <f aca="false">Revenue!BA81</f>
        <v>1979.16666666667</v>
      </c>
      <c r="DB26" s="1957" t="n">
        <f aca="false">Revenue!BB81</f>
        <v>1979.16666666667</v>
      </c>
      <c r="DC26" s="1957" t="n">
        <f aca="false">Revenue!BC81</f>
        <v>1979.16666666667</v>
      </c>
      <c r="DD26" s="1957" t="n">
        <f aca="false">Revenue!BD81</f>
        <v>1979.16666666667</v>
      </c>
      <c r="DE26" s="1957" t="n">
        <f aca="false">Revenue!BE81</f>
        <v>1979.16666666667</v>
      </c>
      <c r="DF26" s="1957" t="n">
        <f aca="false">Revenue!BF81</f>
        <v>1979.16666666667</v>
      </c>
      <c r="DG26" s="1957" t="n">
        <f aca="false">Revenue!BG81</f>
        <v>1979.16666666667</v>
      </c>
      <c r="DH26" s="1957" t="n">
        <f aca="false">Revenue!BH81</f>
        <v>1979.16666666667</v>
      </c>
      <c r="DI26" s="1957" t="n">
        <f aca="false">Revenue!BI81</f>
        <v>1979.16666666667</v>
      </c>
      <c r="DJ26" s="1466"/>
      <c r="DK26" s="1163"/>
      <c r="DL26" s="2040"/>
      <c r="DM26" s="2040"/>
      <c r="DN26" s="2040"/>
      <c r="DO26" s="2040"/>
      <c r="DP26" s="2040"/>
      <c r="DQ26" s="2040"/>
      <c r="DR26" s="2040"/>
      <c r="DS26" s="2040"/>
      <c r="DT26" s="2040"/>
      <c r="DU26" s="2040"/>
      <c r="DV26" s="2040"/>
      <c r="DW26" s="2040"/>
      <c r="DX26" s="2040"/>
      <c r="DY26" s="1893"/>
      <c r="DZ26" s="2088"/>
      <c r="EA26" s="2040"/>
      <c r="EB26" s="2040"/>
      <c r="EC26" s="2040"/>
      <c r="ED26" s="2040"/>
      <c r="EE26" s="2040"/>
      <c r="EF26" s="2040"/>
      <c r="EG26" s="2040"/>
      <c r="EH26" s="2040"/>
      <c r="EI26" s="2040"/>
      <c r="EJ26" s="2040"/>
      <c r="EK26" s="2040"/>
      <c r="EL26" s="2042"/>
      <c r="EM26" s="1893"/>
      <c r="EN26" s="2088"/>
      <c r="EO26" s="2003"/>
      <c r="EP26" s="2003"/>
      <c r="EQ26" s="2003"/>
      <c r="ER26" s="2003"/>
      <c r="ES26" s="2003"/>
      <c r="ET26" s="2003"/>
      <c r="EU26" s="2003"/>
      <c r="EV26" s="2003"/>
      <c r="EW26" s="2003"/>
      <c r="EX26" s="2003"/>
      <c r="EY26" s="2003"/>
      <c r="EZ26" s="2004"/>
      <c r="FA26" s="1893"/>
      <c r="FB26" s="2088"/>
      <c r="FC26" s="2040"/>
      <c r="FD26" s="2040"/>
      <c r="FE26" s="2040"/>
      <c r="FF26" s="2040"/>
      <c r="FG26" s="2040"/>
      <c r="FH26" s="2040"/>
      <c r="FI26" s="2040"/>
      <c r="FJ26" s="2040"/>
      <c r="FK26" s="2040"/>
      <c r="FL26" s="2040"/>
      <c r="FM26" s="2040"/>
      <c r="FN26" s="2042"/>
      <c r="FO26" s="1466"/>
      <c r="FP26" s="1896"/>
      <c r="FQ26" s="2002"/>
      <c r="FR26" s="2003"/>
      <c r="FS26" s="2003"/>
      <c r="FT26" s="2003"/>
      <c r="FU26" s="2003"/>
      <c r="FV26" s="2003"/>
      <c r="FW26" s="2003"/>
      <c r="FX26" s="2003"/>
      <c r="FY26" s="2003"/>
      <c r="FZ26" s="2003"/>
      <c r="GA26" s="2003"/>
      <c r="GB26" s="2003"/>
      <c r="GC26" s="2004"/>
      <c r="GD26" s="1893"/>
      <c r="GE26" s="2002"/>
      <c r="GF26" s="2003"/>
      <c r="GG26" s="2003"/>
      <c r="GH26" s="2003"/>
      <c r="GI26" s="2003"/>
      <c r="GJ26" s="2003"/>
      <c r="GK26" s="2003"/>
      <c r="GL26" s="2003"/>
      <c r="GM26" s="2003"/>
      <c r="GN26" s="2003"/>
      <c r="GO26" s="2003"/>
      <c r="GP26" s="2003"/>
      <c r="GQ26" s="2004"/>
      <c r="GR26" s="1893"/>
      <c r="GS26" s="2002"/>
      <c r="GT26" s="2003"/>
      <c r="GU26" s="2003"/>
      <c r="GV26" s="2003"/>
      <c r="GW26" s="2003"/>
      <c r="GX26" s="2003"/>
      <c r="GY26" s="2003"/>
      <c r="GZ26" s="2003"/>
      <c r="HA26" s="2003"/>
      <c r="HB26" s="2003"/>
      <c r="HC26" s="2003"/>
      <c r="HD26" s="2003"/>
      <c r="HE26" s="2004"/>
      <c r="HF26" s="1896"/>
      <c r="HG26" s="2002"/>
      <c r="HH26" s="2003"/>
      <c r="HI26" s="2003"/>
      <c r="HJ26" s="2003"/>
      <c r="HK26" s="2003"/>
      <c r="HL26" s="2003"/>
      <c r="HM26" s="2003"/>
      <c r="HN26" s="2003"/>
      <c r="HO26" s="2003"/>
      <c r="HP26" s="2003"/>
      <c r="HQ26" s="2003"/>
      <c r="HR26" s="2003"/>
      <c r="HS26" s="2004"/>
    </row>
    <row r="27" customFormat="false" ht="10.5" hidden="false" customHeight="true" outlineLevel="0" collapsed="false">
      <c r="A27" s="1641"/>
      <c r="B27" s="2089" t="n">
        <f aca="false">Personnel!A27</f>
        <v>0</v>
      </c>
      <c r="C27" s="2064" t="n">
        <f aca="false">Personnel!P27</f>
        <v>0</v>
      </c>
      <c r="D27" s="2065" t="n">
        <f aca="false">Personnel!Q27</f>
        <v>0</v>
      </c>
      <c r="E27" s="2065" t="n">
        <f aca="false">Personnel!R27</f>
        <v>0</v>
      </c>
      <c r="F27" s="2065" t="n">
        <f aca="false">Personnel!S27</f>
        <v>0</v>
      </c>
      <c r="G27" s="2065" t="n">
        <f aca="false">Personnel!T27</f>
        <v>0</v>
      </c>
      <c r="H27" s="2065" t="n">
        <f aca="false">Personnel!U27</f>
        <v>0</v>
      </c>
      <c r="I27" s="2065" t="n">
        <f aca="false">Personnel!V27</f>
        <v>0</v>
      </c>
      <c r="J27" s="2065" t="n">
        <f aca="false">Personnel!W27</f>
        <v>0</v>
      </c>
      <c r="K27" s="2065" t="n">
        <f aca="false">Personnel!X27</f>
        <v>0</v>
      </c>
      <c r="L27" s="2065" t="n">
        <f aca="false">Personnel!Y27</f>
        <v>0</v>
      </c>
      <c r="M27" s="2065" t="n">
        <f aca="false">Personnel!Z27</f>
        <v>0</v>
      </c>
      <c r="N27" s="2066" t="n">
        <f aca="false">Personnel!AA27</f>
        <v>0</v>
      </c>
      <c r="O27" s="1882"/>
      <c r="P27" s="2090" t="n">
        <f aca="false">B27</f>
        <v>0</v>
      </c>
      <c r="Q27" s="2067" t="n">
        <f aca="false">Personnel!AB27</f>
        <v>0</v>
      </c>
      <c r="R27" s="2068" t="n">
        <f aca="false">Personnel!AC27</f>
        <v>0</v>
      </c>
      <c r="S27" s="2068" t="n">
        <f aca="false">Personnel!AD27</f>
        <v>0</v>
      </c>
      <c r="T27" s="2068" t="n">
        <f aca="false">Personnel!AE27</f>
        <v>0</v>
      </c>
      <c r="U27" s="2068" t="n">
        <f aca="false">Personnel!AF27</f>
        <v>0</v>
      </c>
      <c r="V27" s="2068" t="n">
        <f aca="false">Personnel!AG27</f>
        <v>0</v>
      </c>
      <c r="W27" s="2068" t="n">
        <f aca="false">Personnel!AH27</f>
        <v>0</v>
      </c>
      <c r="X27" s="2068" t="n">
        <f aca="false">Personnel!AI27</f>
        <v>0</v>
      </c>
      <c r="Y27" s="2068" t="n">
        <f aca="false">Personnel!AJ27</f>
        <v>0</v>
      </c>
      <c r="Z27" s="2068" t="n">
        <f aca="false">Personnel!AK27</f>
        <v>0</v>
      </c>
      <c r="AA27" s="2068" t="n">
        <f aca="false">Personnel!AL27</f>
        <v>0</v>
      </c>
      <c r="AB27" s="2069" t="n">
        <f aca="false">Personnel!AM27</f>
        <v>0</v>
      </c>
      <c r="AC27" s="1882"/>
      <c r="AD27" s="2091" t="n">
        <f aca="false">P27</f>
        <v>0</v>
      </c>
      <c r="AE27" s="2070" t="n">
        <f aca="false">Personnel!AN27</f>
        <v>0</v>
      </c>
      <c r="AF27" s="2071" t="n">
        <f aca="false">Personnel!AO27</f>
        <v>0</v>
      </c>
      <c r="AG27" s="2071" t="n">
        <f aca="false">Personnel!AP27</f>
        <v>0</v>
      </c>
      <c r="AH27" s="2071" t="n">
        <f aca="false">Personnel!AQ27</f>
        <v>0</v>
      </c>
      <c r="AI27" s="2071" t="n">
        <f aca="false">Personnel!AR27</f>
        <v>0</v>
      </c>
      <c r="AJ27" s="2071" t="n">
        <f aca="false">Personnel!AS27</f>
        <v>0</v>
      </c>
      <c r="AK27" s="2071" t="n">
        <f aca="false">Personnel!AT27</f>
        <v>0</v>
      </c>
      <c r="AL27" s="2071" t="n">
        <f aca="false">Personnel!AU27</f>
        <v>0</v>
      </c>
      <c r="AM27" s="2071" t="n">
        <f aca="false">Personnel!AV27</f>
        <v>0</v>
      </c>
      <c r="AN27" s="2071" t="n">
        <f aca="false">Personnel!AW27</f>
        <v>0</v>
      </c>
      <c r="AO27" s="2071" t="n">
        <f aca="false">Personnel!AX27</f>
        <v>0</v>
      </c>
      <c r="AP27" s="2072" t="n">
        <f aca="false">Personnel!AY27</f>
        <v>0</v>
      </c>
      <c r="AQ27" s="1882"/>
      <c r="AR27" s="2092" t="n">
        <f aca="false">AD27</f>
        <v>0</v>
      </c>
      <c r="AS27" s="2073" t="n">
        <f aca="false">Personnel!AZ27</f>
        <v>0</v>
      </c>
      <c r="AT27" s="2074" t="n">
        <f aca="false">Personnel!BA27</f>
        <v>0</v>
      </c>
      <c r="AU27" s="2074" t="n">
        <f aca="false">Personnel!BB27</f>
        <v>0</v>
      </c>
      <c r="AV27" s="2074" t="n">
        <f aca="false">Personnel!BC27</f>
        <v>0</v>
      </c>
      <c r="AW27" s="2074" t="n">
        <f aca="false">Personnel!BD27</f>
        <v>0</v>
      </c>
      <c r="AX27" s="2074" t="n">
        <f aca="false">Personnel!BE27</f>
        <v>0</v>
      </c>
      <c r="AY27" s="2074" t="n">
        <f aca="false">Personnel!BF27</f>
        <v>0</v>
      </c>
      <c r="AZ27" s="2074" t="n">
        <f aca="false">Personnel!BG27</f>
        <v>0</v>
      </c>
      <c r="BA27" s="2074" t="n">
        <f aca="false">Personnel!BH27</f>
        <v>0</v>
      </c>
      <c r="BB27" s="2074" t="n">
        <f aca="false">Personnel!BI27</f>
        <v>0</v>
      </c>
      <c r="BC27" s="2074" t="n">
        <f aca="false">Personnel!BJ27</f>
        <v>0</v>
      </c>
      <c r="BD27" s="2075" t="n">
        <f aca="false">Personnel!BK27</f>
        <v>0</v>
      </c>
      <c r="BE27" s="1466"/>
      <c r="BF27" s="1885"/>
      <c r="BG27" s="1915" t="str">
        <f aca="false">Revenue!A114</f>
        <v>SS-12</v>
      </c>
      <c r="BH27" s="1916" t="n">
        <f aca="false">Revenue!N114</f>
        <v>12995.6946428572</v>
      </c>
      <c r="BI27" s="1916" t="n">
        <f aca="false">Revenue!O114</f>
        <v>14439.6607142857</v>
      </c>
      <c r="BJ27" s="1916" t="n">
        <f aca="false">Revenue!P114</f>
        <v>15883.6267857143</v>
      </c>
      <c r="BK27" s="1916" t="n">
        <f aca="false">Revenue!Q114</f>
        <v>17327.5928571429</v>
      </c>
      <c r="BL27" s="1916" t="n">
        <f aca="false">Revenue!R114</f>
        <v>18771.5589285715</v>
      </c>
      <c r="BM27" s="1916" t="n">
        <f aca="false">Revenue!S114</f>
        <v>20215.525</v>
      </c>
      <c r="BN27" s="1916" t="n">
        <f aca="false">Revenue!T114</f>
        <v>21659.4910714286</v>
      </c>
      <c r="BO27" s="1916" t="n">
        <f aca="false">Revenue!U114</f>
        <v>23103.4571428572</v>
      </c>
      <c r="BP27" s="1916" t="n">
        <f aca="false">Revenue!V114</f>
        <v>24547.4232142857</v>
      </c>
      <c r="BQ27" s="1916" t="n">
        <f aca="false">Revenue!W114</f>
        <v>25991.3892857143</v>
      </c>
      <c r="BR27" s="1916" t="n">
        <f aca="false">Revenue!X114</f>
        <v>27435.3553571429</v>
      </c>
      <c r="BS27" s="1915" t="n">
        <f aca="false">Revenue!Y114</f>
        <v>28879.3214285715</v>
      </c>
      <c r="BT27" s="1888"/>
      <c r="BU27" s="1952" t="str">
        <f aca="false">BG27</f>
        <v>SS-12</v>
      </c>
      <c r="BV27" s="1952" t="n">
        <f aca="false">Revenue!Z82</f>
        <v>1187.5</v>
      </c>
      <c r="BW27" s="1952" t="n">
        <f aca="false">Revenue!AA82</f>
        <v>1187.5</v>
      </c>
      <c r="BX27" s="1953" t="n">
        <f aca="false">Revenue!AB82</f>
        <v>1187.5</v>
      </c>
      <c r="BY27" s="1952" t="n">
        <f aca="false">Revenue!AC82</f>
        <v>1187.5</v>
      </c>
      <c r="BZ27" s="1952" t="n">
        <f aca="false">Revenue!AD82</f>
        <v>1187.5</v>
      </c>
      <c r="CA27" s="1952" t="n">
        <f aca="false">Revenue!AE82</f>
        <v>1187.5</v>
      </c>
      <c r="CB27" s="1952" t="n">
        <f aca="false">Revenue!AF82</f>
        <v>1187.5</v>
      </c>
      <c r="CC27" s="1952" t="n">
        <f aca="false">Revenue!AG82</f>
        <v>1187.5</v>
      </c>
      <c r="CD27" s="1952" t="n">
        <f aca="false">Revenue!AH82</f>
        <v>1187.5</v>
      </c>
      <c r="CE27" s="1952" t="n">
        <f aca="false">Revenue!AI82</f>
        <v>1187.5</v>
      </c>
      <c r="CF27" s="1952" t="n">
        <f aca="false">Revenue!AJ82</f>
        <v>1187.5</v>
      </c>
      <c r="CG27" s="1952" t="n">
        <f aca="false">Revenue!AK82</f>
        <v>1187.5</v>
      </c>
      <c r="CH27" s="1891"/>
      <c r="CI27" s="1954" t="str">
        <f aca="false">BU27</f>
        <v>SS-12</v>
      </c>
      <c r="CJ27" s="1955" t="n">
        <f aca="false">Revenue!AL82</f>
        <v>1187.5</v>
      </c>
      <c r="CK27" s="1955" t="n">
        <f aca="false">Revenue!AM82</f>
        <v>1187.5</v>
      </c>
      <c r="CL27" s="1955" t="n">
        <f aca="false">Revenue!AN82</f>
        <v>1187.5</v>
      </c>
      <c r="CM27" s="1955" t="n">
        <f aca="false">Revenue!AO82</f>
        <v>1187.5</v>
      </c>
      <c r="CN27" s="1955" t="n">
        <f aca="false">Revenue!AP82</f>
        <v>1187.5</v>
      </c>
      <c r="CO27" s="1955" t="n">
        <f aca="false">Revenue!AQ82</f>
        <v>1187.5</v>
      </c>
      <c r="CP27" s="1955" t="n">
        <f aca="false">Revenue!AR82</f>
        <v>1187.5</v>
      </c>
      <c r="CQ27" s="1955" t="n">
        <f aca="false">Revenue!AS82</f>
        <v>1187.5</v>
      </c>
      <c r="CR27" s="1955" t="n">
        <f aca="false">Revenue!AT82</f>
        <v>1187.5</v>
      </c>
      <c r="CS27" s="1955" t="n">
        <f aca="false">Revenue!AU82</f>
        <v>1187.5</v>
      </c>
      <c r="CT27" s="1955" t="n">
        <f aca="false">Revenue!AV82</f>
        <v>1187.5</v>
      </c>
      <c r="CU27" s="1955" t="n">
        <f aca="false">Revenue!AW82</f>
        <v>1187.5</v>
      </c>
      <c r="CV27" s="1888"/>
      <c r="CW27" s="1956" t="str">
        <f aca="false">CI27</f>
        <v>SS-12</v>
      </c>
      <c r="CX27" s="1957" t="n">
        <f aca="false">Revenue!AX82</f>
        <v>1187.5</v>
      </c>
      <c r="CY27" s="1957" t="n">
        <f aca="false">Revenue!AY82</f>
        <v>1187.5</v>
      </c>
      <c r="CZ27" s="1957" t="n">
        <f aca="false">Revenue!AZ82</f>
        <v>1187.5</v>
      </c>
      <c r="DA27" s="1957" t="n">
        <f aca="false">Revenue!BA82</f>
        <v>1187.5</v>
      </c>
      <c r="DB27" s="1957" t="n">
        <f aca="false">Revenue!BB82</f>
        <v>1187.5</v>
      </c>
      <c r="DC27" s="1957" t="n">
        <f aca="false">Revenue!BC82</f>
        <v>1187.5</v>
      </c>
      <c r="DD27" s="1957" t="n">
        <f aca="false">Revenue!BD82</f>
        <v>1187.5</v>
      </c>
      <c r="DE27" s="1957" t="n">
        <f aca="false">Revenue!BE82</f>
        <v>1187.5</v>
      </c>
      <c r="DF27" s="1957" t="n">
        <f aca="false">Revenue!BF82</f>
        <v>1187.5</v>
      </c>
      <c r="DG27" s="1957" t="n">
        <f aca="false">Revenue!BG82</f>
        <v>1187.5</v>
      </c>
      <c r="DH27" s="1957" t="n">
        <f aca="false">Revenue!BH82</f>
        <v>1187.5</v>
      </c>
      <c r="DI27" s="1957" t="n">
        <f aca="false">Revenue!BI82</f>
        <v>1187.5</v>
      </c>
      <c r="DJ27" s="1466"/>
      <c r="DK27" s="1163"/>
      <c r="DL27" s="1923" t="n">
        <v>0</v>
      </c>
      <c r="DM27" s="1924" t="n">
        <v>0</v>
      </c>
      <c r="DN27" s="1925" t="n">
        <v>0</v>
      </c>
      <c r="DO27" s="1925"/>
      <c r="DP27" s="1925"/>
      <c r="DQ27" s="1925"/>
      <c r="DR27" s="1925"/>
      <c r="DS27" s="1925"/>
      <c r="DT27" s="1925"/>
      <c r="DU27" s="1925"/>
      <c r="DV27" s="1925"/>
      <c r="DW27" s="1925"/>
      <c r="DX27" s="1926"/>
      <c r="DY27" s="1893"/>
      <c r="DZ27" s="2047" t="n">
        <f aca="false">DL27</f>
        <v>0</v>
      </c>
      <c r="EA27" s="2048"/>
      <c r="EB27" s="2049"/>
      <c r="EC27" s="2049"/>
      <c r="ED27" s="2049"/>
      <c r="EE27" s="2049"/>
      <c r="EF27" s="2049"/>
      <c r="EG27" s="2049"/>
      <c r="EH27" s="2049"/>
      <c r="EI27" s="2049"/>
      <c r="EJ27" s="2049"/>
      <c r="EK27" s="2049"/>
      <c r="EL27" s="2050"/>
      <c r="EM27" s="1893"/>
      <c r="EN27" s="1931" t="n">
        <f aca="false">DZ27</f>
        <v>0</v>
      </c>
      <c r="EO27" s="1908"/>
      <c r="EP27" s="1909"/>
      <c r="EQ27" s="1909"/>
      <c r="ER27" s="1909"/>
      <c r="ES27" s="1909"/>
      <c r="ET27" s="1909"/>
      <c r="EU27" s="1909"/>
      <c r="EV27" s="1909"/>
      <c r="EW27" s="1909"/>
      <c r="EX27" s="1909"/>
      <c r="EY27" s="1909"/>
      <c r="EZ27" s="1910"/>
      <c r="FA27" s="1893"/>
      <c r="FB27" s="1932" t="n">
        <f aca="false">EN27</f>
        <v>0</v>
      </c>
      <c r="FC27" s="1933"/>
      <c r="FD27" s="1934"/>
      <c r="FE27" s="1934"/>
      <c r="FF27" s="1934"/>
      <c r="FG27" s="1934"/>
      <c r="FH27" s="1934"/>
      <c r="FI27" s="1934"/>
      <c r="FJ27" s="1934"/>
      <c r="FK27" s="1934"/>
      <c r="FL27" s="1934"/>
      <c r="FM27" s="1934"/>
      <c r="FN27" s="1935"/>
      <c r="FO27" s="1466"/>
      <c r="FP27" s="1896"/>
      <c r="FQ27" s="1899" t="str">
        <f aca="false">'Tables 5Y'!CK28</f>
        <v>Net Profit</v>
      </c>
      <c r="FR27" s="1900" t="n">
        <f aca="false">'P&amp;L'!N46</f>
        <v>363802.231401596</v>
      </c>
      <c r="FS27" s="1901" t="n">
        <f aca="false">'P&amp;L'!O46</f>
        <v>454675.422910459</v>
      </c>
      <c r="FT27" s="1901" t="n">
        <f aca="false">'P&amp;L'!P46</f>
        <v>500794.329108123</v>
      </c>
      <c r="FU27" s="1901" t="n">
        <f aca="false">'P&amp;L'!Q46</f>
        <v>553144.574568031</v>
      </c>
      <c r="FV27" s="1901" t="n">
        <f aca="false">'P&amp;L'!R46</f>
        <v>605498.494065785</v>
      </c>
      <c r="FW27" s="1901" t="n">
        <f aca="false">'P&amp;L'!S46</f>
        <v>657856.105971575</v>
      </c>
      <c r="FX27" s="1901" t="n">
        <f aca="false">'P&amp;L'!T46</f>
        <v>603684.814435326</v>
      </c>
      <c r="FY27" s="1901" t="n">
        <f aca="false">'P&amp;L'!U46</f>
        <v>686251.308805574</v>
      </c>
      <c r="FZ27" s="1901" t="n">
        <f aca="false">'P&amp;L'!V46</f>
        <v>810048.539036639</v>
      </c>
      <c r="GA27" s="1901" t="n">
        <f aca="false">'P&amp;L'!W46</f>
        <v>933848.971057825</v>
      </c>
      <c r="GB27" s="1901" t="n">
        <f aca="false">'P&amp;L'!X46</f>
        <v>1057652.62087808</v>
      </c>
      <c r="GC27" s="1902" t="n">
        <f aca="false">'P&amp;L'!Y46</f>
        <v>1181459.50458641</v>
      </c>
      <c r="GD27" s="1893"/>
      <c r="GE27" s="1903" t="str">
        <f aca="false">FQ27</f>
        <v>Net Profit</v>
      </c>
      <c r="GF27" s="1904" t="n">
        <f aca="false">'P&amp;L'!Z46</f>
        <v>3504280.11930847</v>
      </c>
      <c r="GG27" s="1905" t="n">
        <f aca="false">'P&amp;L'!AA46</f>
        <v>3504936.64717517</v>
      </c>
      <c r="GH27" s="1905" t="n">
        <f aca="false">'P&amp;L'!AB46</f>
        <v>3505596.45768121</v>
      </c>
      <c r="GI27" s="1905" t="n">
        <f aca="false">'P&amp;L'!AC46</f>
        <v>3506259.56723977</v>
      </c>
      <c r="GJ27" s="1905" t="n">
        <f aca="false">'P&amp;L'!AD46</f>
        <v>3506925.99234613</v>
      </c>
      <c r="GK27" s="1905" t="n">
        <f aca="false">'P&amp;L'!AE46</f>
        <v>3507595.74957802</v>
      </c>
      <c r="GL27" s="1905" t="n">
        <f aca="false">'P&amp;L'!AF46</f>
        <v>3508268.85559607</v>
      </c>
      <c r="GM27" s="1905" t="n">
        <f aca="false">'P&amp;L'!AG46</f>
        <v>3508945.32714421</v>
      </c>
      <c r="GN27" s="1905" t="n">
        <f aca="false">'P&amp;L'!AH46</f>
        <v>3509625.18105009</v>
      </c>
      <c r="GO27" s="1905" t="n">
        <f aca="false">'P&amp;L'!AI46</f>
        <v>3510308.4342255</v>
      </c>
      <c r="GP27" s="1905" t="n">
        <f aca="false">'P&amp;L'!AJ46</f>
        <v>3510995.10366679</v>
      </c>
      <c r="GQ27" s="1906" t="n">
        <f aca="false">'P&amp;L'!AK46</f>
        <v>3511685.20645528</v>
      </c>
      <c r="GR27" s="1893"/>
      <c r="GS27" s="1907" t="str">
        <f aca="false">GE27</f>
        <v>Net Profit</v>
      </c>
      <c r="GT27" s="1909" t="n">
        <f aca="false">'P&amp;L'!AL46</f>
        <v>4036934.44702477</v>
      </c>
      <c r="GU27" s="1909" t="n">
        <f aca="false">'P&amp;L'!AM46</f>
        <v>4037631.46809371</v>
      </c>
      <c r="GV27" s="1909" t="n">
        <f aca="false">'P&amp;L'!AN46</f>
        <v>4038331.97426801</v>
      </c>
      <c r="GW27" s="1909" t="n">
        <f aca="false">'P&amp;L'!AO46</f>
        <v>4039035.98297317</v>
      </c>
      <c r="GX27" s="1909" t="n">
        <f aca="false">'P&amp;L'!AP46</f>
        <v>4039743.51172186</v>
      </c>
      <c r="GY27" s="1909" t="n">
        <f aca="false">'P&amp;L'!AQ46</f>
        <v>4040454.57811429</v>
      </c>
      <c r="GZ27" s="1909" t="n">
        <f aca="false">'P&amp;L'!AR46</f>
        <v>4041169.19983869</v>
      </c>
      <c r="HA27" s="1909" t="n">
        <f aca="false">'P&amp;L'!AS46</f>
        <v>4041887.39467171</v>
      </c>
      <c r="HB27" s="1909" t="n">
        <f aca="false">'P&amp;L'!AT46</f>
        <v>4042609.18047889</v>
      </c>
      <c r="HC27" s="1909" t="n">
        <f aca="false">'P&amp;L'!AU46</f>
        <v>4043334.57521511</v>
      </c>
      <c r="HD27" s="1909" t="n">
        <f aca="false">'P&amp;L'!AV46</f>
        <v>4044063.59692501</v>
      </c>
      <c r="HE27" s="1910" t="n">
        <f aca="false">'P&amp;L'!AW46</f>
        <v>4044796.26374346</v>
      </c>
      <c r="HF27" s="1896"/>
      <c r="HG27" s="1911" t="str">
        <f aca="false">GS27</f>
        <v>Net Profit</v>
      </c>
      <c r="HH27" s="1913" t="n">
        <f aca="false">'P&amp;L'!AX46</f>
        <v>4567260.70190812</v>
      </c>
      <c r="HI27" s="1913" t="n">
        <f aca="false">'P&amp;L'!AY46</f>
        <v>4568000.71371142</v>
      </c>
      <c r="HJ27" s="1913" t="n">
        <f aca="false">'P&amp;L'!AZ46</f>
        <v>4568744.42557374</v>
      </c>
      <c r="HK27" s="1913" t="n">
        <f aca="false">'P&amp;L'!BA46</f>
        <v>4569491.85599538</v>
      </c>
      <c r="HL27" s="1913" t="n">
        <f aca="false">'P&amp;L'!BB46</f>
        <v>4570243.02356911</v>
      </c>
      <c r="HM27" s="1913" t="n">
        <f aca="false">'P&amp;L'!BC46</f>
        <v>4570997.94698072</v>
      </c>
      <c r="HN27" s="1913" t="n">
        <f aca="false">'P&amp;L'!BD46</f>
        <v>4571756.64500939</v>
      </c>
      <c r="HO27" s="1913" t="n">
        <f aca="false">'P&amp;L'!BE46</f>
        <v>4572519.1365282</v>
      </c>
      <c r="HP27" s="1913" t="n">
        <f aca="false">'P&amp;L'!BF46</f>
        <v>4573285.44050461</v>
      </c>
      <c r="HQ27" s="1913" t="n">
        <f aca="false">'P&amp;L'!BG46</f>
        <v>4574055.57600089</v>
      </c>
      <c r="HR27" s="1913" t="n">
        <f aca="false">'P&amp;L'!BH46</f>
        <v>4574829.56217466</v>
      </c>
      <c r="HS27" s="1914" t="n">
        <f aca="false">'P&amp;L'!BI46</f>
        <v>4575607.4182793</v>
      </c>
    </row>
    <row r="28" customFormat="false" ht="10.5" hidden="false" customHeight="true" outlineLevel="0" collapsed="false">
      <c r="A28" s="1641"/>
      <c r="B28" s="2043"/>
      <c r="C28" s="2003"/>
      <c r="D28" s="2003"/>
      <c r="E28" s="2003"/>
      <c r="F28" s="2003"/>
      <c r="G28" s="2003"/>
      <c r="H28" s="2003"/>
      <c r="I28" s="2003"/>
      <c r="J28" s="2003"/>
      <c r="K28" s="2003"/>
      <c r="L28" s="2003"/>
      <c r="M28" s="2003"/>
      <c r="N28" s="2004"/>
      <c r="O28" s="1882"/>
      <c r="P28" s="1378"/>
      <c r="Q28" s="2003"/>
      <c r="R28" s="2003"/>
      <c r="S28" s="2003"/>
      <c r="T28" s="2003"/>
      <c r="U28" s="2003"/>
      <c r="V28" s="2003"/>
      <c r="W28" s="2003"/>
      <c r="X28" s="2003"/>
      <c r="Y28" s="2003"/>
      <c r="Z28" s="2003"/>
      <c r="AA28" s="2003"/>
      <c r="AB28" s="2003"/>
      <c r="AC28" s="1882"/>
      <c r="AD28" s="1378"/>
      <c r="AE28" s="2003"/>
      <c r="AF28" s="2003"/>
      <c r="AG28" s="2003"/>
      <c r="AH28" s="2003"/>
      <c r="AI28" s="2003"/>
      <c r="AJ28" s="2003"/>
      <c r="AK28" s="2003"/>
      <c r="AL28" s="2003"/>
      <c r="AM28" s="2003"/>
      <c r="AN28" s="2003"/>
      <c r="AO28" s="2003"/>
      <c r="AP28" s="2003"/>
      <c r="AQ28" s="1882"/>
      <c r="AR28" s="2044"/>
      <c r="AS28" s="2045"/>
      <c r="AT28" s="2045"/>
      <c r="AU28" s="2045"/>
      <c r="AV28" s="2045"/>
      <c r="AW28" s="2045"/>
      <c r="AX28" s="2045"/>
      <c r="AY28" s="2045"/>
      <c r="AZ28" s="2045"/>
      <c r="BA28" s="2045"/>
      <c r="BB28" s="2045"/>
      <c r="BC28" s="2045"/>
      <c r="BD28" s="2046"/>
      <c r="BE28" s="1466"/>
      <c r="BF28" s="1885"/>
      <c r="BG28" s="1915" t="str">
        <f aca="false">Revenue!A115</f>
        <v>SS-14</v>
      </c>
      <c r="BH28" s="1916" t="n">
        <f aca="false">Revenue!N115</f>
        <v>4331.8982142857</v>
      </c>
      <c r="BI28" s="1916" t="n">
        <f aca="false">Revenue!O115</f>
        <v>4813.22023809523</v>
      </c>
      <c r="BJ28" s="1916" t="n">
        <f aca="false">Revenue!P115</f>
        <v>5294.54226190477</v>
      </c>
      <c r="BK28" s="1916" t="n">
        <f aca="false">Revenue!Q115</f>
        <v>5775.8642857143</v>
      </c>
      <c r="BL28" s="1916" t="n">
        <f aca="false">Revenue!R115</f>
        <v>6257.18630952383</v>
      </c>
      <c r="BM28" s="1916" t="n">
        <f aca="false">Revenue!S115</f>
        <v>6738.50833333332</v>
      </c>
      <c r="BN28" s="1916" t="n">
        <f aca="false">Revenue!T115</f>
        <v>7219.83035714285</v>
      </c>
      <c r="BO28" s="1916" t="n">
        <f aca="false">Revenue!U115</f>
        <v>7701.15238095238</v>
      </c>
      <c r="BP28" s="1916" t="n">
        <f aca="false">Revenue!V115</f>
        <v>8182.47440476191</v>
      </c>
      <c r="BQ28" s="1916" t="n">
        <f aca="false">Revenue!W115</f>
        <v>8663.79642857145</v>
      </c>
      <c r="BR28" s="1916" t="n">
        <f aca="false">Revenue!X115</f>
        <v>9145.11845238094</v>
      </c>
      <c r="BS28" s="1915" t="n">
        <f aca="false">Revenue!Y115</f>
        <v>9626.44047619047</v>
      </c>
      <c r="BT28" s="1888"/>
      <c r="BU28" s="1952" t="str">
        <f aca="false">BG28</f>
        <v>SS-14</v>
      </c>
      <c r="BV28" s="1952" t="n">
        <f aca="false">Revenue!Z83</f>
        <v>395.833333333333</v>
      </c>
      <c r="BW28" s="1952" t="n">
        <f aca="false">Revenue!AA83</f>
        <v>395.833333333333</v>
      </c>
      <c r="BX28" s="1953" t="n">
        <f aca="false">Revenue!AB83</f>
        <v>395.833333333333</v>
      </c>
      <c r="BY28" s="1952" t="n">
        <f aca="false">Revenue!AC83</f>
        <v>395.833333333333</v>
      </c>
      <c r="BZ28" s="1952" t="n">
        <f aca="false">Revenue!AD83</f>
        <v>395.833333333333</v>
      </c>
      <c r="CA28" s="1952" t="n">
        <f aca="false">Revenue!AE83</f>
        <v>395.833333333333</v>
      </c>
      <c r="CB28" s="1952" t="n">
        <f aca="false">Revenue!AF83</f>
        <v>395.833333333333</v>
      </c>
      <c r="CC28" s="1952" t="n">
        <f aca="false">Revenue!AG83</f>
        <v>395.833333333333</v>
      </c>
      <c r="CD28" s="1952" t="n">
        <f aca="false">Revenue!AH83</f>
        <v>395.833333333333</v>
      </c>
      <c r="CE28" s="1952" t="n">
        <f aca="false">Revenue!AI83</f>
        <v>395.833333333333</v>
      </c>
      <c r="CF28" s="1952" t="n">
        <f aca="false">Revenue!AJ83</f>
        <v>395.833333333333</v>
      </c>
      <c r="CG28" s="1952" t="n">
        <f aca="false">Revenue!AK83</f>
        <v>395.833333333333</v>
      </c>
      <c r="CH28" s="1891"/>
      <c r="CI28" s="1954" t="str">
        <f aca="false">BU28</f>
        <v>SS-14</v>
      </c>
      <c r="CJ28" s="1955" t="n">
        <f aca="false">Revenue!AL83</f>
        <v>395.833333333333</v>
      </c>
      <c r="CK28" s="1955" t="n">
        <f aca="false">Revenue!AM83</f>
        <v>395.833333333333</v>
      </c>
      <c r="CL28" s="1955" t="n">
        <f aca="false">Revenue!AN83</f>
        <v>395.833333333333</v>
      </c>
      <c r="CM28" s="1955" t="n">
        <f aca="false">Revenue!AO83</f>
        <v>395.833333333333</v>
      </c>
      <c r="CN28" s="1955" t="n">
        <f aca="false">Revenue!AP83</f>
        <v>395.833333333333</v>
      </c>
      <c r="CO28" s="1955" t="n">
        <f aca="false">Revenue!AQ83</f>
        <v>395.833333333333</v>
      </c>
      <c r="CP28" s="1955" t="n">
        <f aca="false">Revenue!AR83</f>
        <v>395.833333333333</v>
      </c>
      <c r="CQ28" s="1955" t="n">
        <f aca="false">Revenue!AS83</f>
        <v>395.833333333333</v>
      </c>
      <c r="CR28" s="1955" t="n">
        <f aca="false">Revenue!AT83</f>
        <v>395.833333333333</v>
      </c>
      <c r="CS28" s="1955" t="n">
        <f aca="false">Revenue!AU83</f>
        <v>395.833333333333</v>
      </c>
      <c r="CT28" s="1955" t="n">
        <f aca="false">Revenue!AV83</f>
        <v>395.833333333333</v>
      </c>
      <c r="CU28" s="1955" t="n">
        <f aca="false">Revenue!AW83</f>
        <v>395.833333333333</v>
      </c>
      <c r="CV28" s="1888"/>
      <c r="CW28" s="1956" t="str">
        <f aca="false">CI28</f>
        <v>SS-14</v>
      </c>
      <c r="CX28" s="1957" t="n">
        <f aca="false">Revenue!AX83</f>
        <v>395.833333333333</v>
      </c>
      <c r="CY28" s="1957" t="n">
        <f aca="false">Revenue!AY83</f>
        <v>395.833333333333</v>
      </c>
      <c r="CZ28" s="1957" t="n">
        <f aca="false">Revenue!AZ83</f>
        <v>395.833333333333</v>
      </c>
      <c r="DA28" s="1957" t="n">
        <f aca="false">Revenue!BA83</f>
        <v>395.833333333333</v>
      </c>
      <c r="DB28" s="1957" t="n">
        <f aca="false">Revenue!BB83</f>
        <v>395.833333333333</v>
      </c>
      <c r="DC28" s="1957" t="n">
        <f aca="false">Revenue!BC83</f>
        <v>395.833333333333</v>
      </c>
      <c r="DD28" s="1957" t="n">
        <f aca="false">Revenue!BD83</f>
        <v>395.833333333333</v>
      </c>
      <c r="DE28" s="1957" t="n">
        <f aca="false">Revenue!BE83</f>
        <v>395.833333333333</v>
      </c>
      <c r="DF28" s="1957" t="n">
        <f aca="false">Revenue!BF83</f>
        <v>395.833333333333</v>
      </c>
      <c r="DG28" s="1957" t="n">
        <f aca="false">Revenue!BG83</f>
        <v>395.833333333333</v>
      </c>
      <c r="DH28" s="1957" t="n">
        <f aca="false">Revenue!BH83</f>
        <v>395.833333333333</v>
      </c>
      <c r="DI28" s="1957" t="n">
        <f aca="false">Revenue!BI83</f>
        <v>395.833333333333</v>
      </c>
      <c r="DJ28" s="1466"/>
      <c r="DK28" s="1163"/>
      <c r="DL28" s="1958" t="n">
        <v>0</v>
      </c>
      <c r="DM28" s="2051" t="n">
        <v>0</v>
      </c>
      <c r="DN28" s="2052" t="n">
        <v>0</v>
      </c>
      <c r="DO28" s="2052" t="n">
        <v>0</v>
      </c>
      <c r="DP28" s="2052" t="n">
        <v>0</v>
      </c>
      <c r="DQ28" s="2052" t="n">
        <v>0</v>
      </c>
      <c r="DR28" s="2052" t="n">
        <v>0</v>
      </c>
      <c r="DS28" s="2052" t="n">
        <v>0</v>
      </c>
      <c r="DT28" s="2052" t="n">
        <v>0</v>
      </c>
      <c r="DU28" s="2052" t="n">
        <v>0</v>
      </c>
      <c r="DV28" s="2052" t="n">
        <v>0</v>
      </c>
      <c r="DW28" s="2052" t="n">
        <v>0</v>
      </c>
      <c r="DX28" s="2053" t="n">
        <v>0</v>
      </c>
      <c r="DY28" s="1893"/>
      <c r="DZ28" s="2054" t="n">
        <v>0</v>
      </c>
      <c r="EA28" s="2055" t="n">
        <v>0</v>
      </c>
      <c r="EB28" s="2056" t="n">
        <v>0</v>
      </c>
      <c r="EC28" s="2056" t="n">
        <v>0</v>
      </c>
      <c r="ED28" s="2056" t="n">
        <v>0</v>
      </c>
      <c r="EE28" s="2056" t="n">
        <v>0</v>
      </c>
      <c r="EF28" s="2056" t="n">
        <v>0</v>
      </c>
      <c r="EG28" s="2056" t="n">
        <v>0</v>
      </c>
      <c r="EH28" s="2056" t="n">
        <v>0</v>
      </c>
      <c r="EI28" s="2056" t="n">
        <v>0</v>
      </c>
      <c r="EJ28" s="2056" t="n">
        <v>0</v>
      </c>
      <c r="EK28" s="2056" t="n">
        <v>0</v>
      </c>
      <c r="EL28" s="2057" t="n">
        <v>0</v>
      </c>
      <c r="EM28" s="1893"/>
      <c r="EN28" s="1966" t="n">
        <v>0</v>
      </c>
      <c r="EO28" s="1979" t="n">
        <v>0</v>
      </c>
      <c r="EP28" s="1980" t="n">
        <v>0</v>
      </c>
      <c r="EQ28" s="1980" t="n">
        <v>0</v>
      </c>
      <c r="ER28" s="1980" t="n">
        <v>0</v>
      </c>
      <c r="ES28" s="1980" t="n">
        <v>0</v>
      </c>
      <c r="ET28" s="1980" t="n">
        <v>0</v>
      </c>
      <c r="EU28" s="1980" t="n">
        <v>0</v>
      </c>
      <c r="EV28" s="1980" t="n">
        <v>0</v>
      </c>
      <c r="EW28" s="1980" t="n">
        <v>0</v>
      </c>
      <c r="EX28" s="1980" t="n">
        <v>0</v>
      </c>
      <c r="EY28" s="1980" t="n">
        <v>0</v>
      </c>
      <c r="EZ28" s="1981" t="n">
        <v>0</v>
      </c>
      <c r="FA28" s="1893"/>
      <c r="FB28" s="1967" t="n">
        <v>0</v>
      </c>
      <c r="FC28" s="2058" t="n">
        <v>0</v>
      </c>
      <c r="FD28" s="2059" t="n">
        <v>0</v>
      </c>
      <c r="FE28" s="2059" t="n">
        <v>0</v>
      </c>
      <c r="FF28" s="2059" t="n">
        <v>0</v>
      </c>
      <c r="FG28" s="2059" t="n">
        <v>0</v>
      </c>
      <c r="FH28" s="2059" t="n">
        <v>0</v>
      </c>
      <c r="FI28" s="2059" t="n">
        <v>0</v>
      </c>
      <c r="FJ28" s="2059" t="n">
        <v>0</v>
      </c>
      <c r="FK28" s="2059" t="n">
        <v>0</v>
      </c>
      <c r="FL28" s="2059" t="n">
        <v>0</v>
      </c>
      <c r="FM28" s="2059" t="n">
        <v>0</v>
      </c>
      <c r="FN28" s="2060" t="n">
        <v>0</v>
      </c>
      <c r="FO28" s="1466"/>
      <c r="FP28" s="1896"/>
      <c r="FQ28" s="2027" t="str">
        <f aca="false">'Tables 5Y'!CK29</f>
        <v>Net Profit %</v>
      </c>
      <c r="FR28" s="1987" t="n">
        <f aca="false">IF(FR2=0,"N/A",FR27/FR2)</f>
        <v>0.110809782690267</v>
      </c>
      <c r="FS28" s="1988" t="n">
        <f aca="false">IF(FS2=0,"N/A",FS27/FS2)</f>
        <v>0.124639797155414</v>
      </c>
      <c r="FT28" s="1988" t="n">
        <f aca="false">IF(FT2=0,"N/A",FT27/FT2)</f>
        <v>0.124802122472061</v>
      </c>
      <c r="FU28" s="1988" t="n">
        <f aca="false">IF(FU2=0,"N/A",FU27/FU2)</f>
        <v>0.126360886795638</v>
      </c>
      <c r="FV28" s="1988" t="n">
        <f aca="false">IF(FV2=0,"N/A",FV27/FV2)</f>
        <v>0.127680615962475</v>
      </c>
      <c r="FW28" s="1988" t="n">
        <f aca="false">IF(FW2=0,"N/A",FW27/FW2)</f>
        <v>0.128812535388875</v>
      </c>
      <c r="FX28" s="1988" t="n">
        <f aca="false">IF(FX2=0,"N/A",FX27/FX2)</f>
        <v>0.110325078837379</v>
      </c>
      <c r="FY28" s="1988" t="n">
        <f aca="false">IF(FY2=0,"N/A",FY27/FY2)</f>
        <v>0.117575939364124</v>
      </c>
      <c r="FZ28" s="1988" t="n">
        <f aca="false">IF(FZ2=0,"N/A",FZ27/FZ2)</f>
        <v>0.130622314815615</v>
      </c>
      <c r="GA28" s="1988" t="n">
        <f aca="false">IF(GA2=0,"N/A",GA27/GA2)</f>
        <v>0.142219580608093</v>
      </c>
      <c r="GB28" s="1988" t="n">
        <f aca="false">IF(GB2=0,"N/A",GB27/GB2)</f>
        <v>0.152596545839571</v>
      </c>
      <c r="GC28" s="1989" t="n">
        <f aca="false">IF(GC2=0,"N/A",GC27/GC2)</f>
        <v>0.16193625779943</v>
      </c>
      <c r="GD28" s="1893"/>
      <c r="GE28" s="2031" t="str">
        <f aca="false">FQ28</f>
        <v>Net Profit %</v>
      </c>
      <c r="GF28" s="1991" t="n">
        <f aca="false">IF(GF2=0,"N/A",GF27/GF2)</f>
        <v>0.25159236853462</v>
      </c>
      <c r="GG28" s="1992" t="n">
        <f aca="false">IF(GG2=0,"N/A",GG27/GG2)</f>
        <v>0.251639504435681</v>
      </c>
      <c r="GH28" s="1992" t="n">
        <f aca="false">IF(GH2=0,"N/A",GH27/GH2)</f>
        <v>0.251686876016246</v>
      </c>
      <c r="GI28" s="1992" t="n">
        <f aca="false">IF(GI2=0,"N/A",GI27/GI2)</f>
        <v>0.251734484454715</v>
      </c>
      <c r="GJ28" s="1992" t="n">
        <f aca="false">IF(GJ2=0,"N/A",GJ27/GJ2)</f>
        <v>0.251782330935376</v>
      </c>
      <c r="GK28" s="1992" t="n">
        <f aca="false">IF(GK2=0,"N/A",GK27/GK2)</f>
        <v>0.251830416648441</v>
      </c>
      <c r="GL28" s="1992" t="n">
        <f aca="false">IF(GL2=0,"N/A",GL27/GL2)</f>
        <v>0.25187874279007</v>
      </c>
      <c r="GM28" s="1992" t="n">
        <f aca="false">IF(GM2=0,"N/A",GM27/GM2)</f>
        <v>0.251927310562408</v>
      </c>
      <c r="GN28" s="1992" t="n">
        <f aca="false">IF(GN2=0,"N/A",GN27/GN2)</f>
        <v>0.251976121173608</v>
      </c>
      <c r="GO28" s="1992" t="n">
        <f aca="false">IF(GO2=0,"N/A",GO27/GO2)</f>
        <v>0.252025175837863</v>
      </c>
      <c r="GP28" s="1992" t="n">
        <f aca="false">IF(GP2=0,"N/A",GP27/GP2)</f>
        <v>0.25207447577544</v>
      </c>
      <c r="GQ28" s="1993" t="n">
        <f aca="false">IF(GQ2=0,"N/A",GQ27/GQ2)</f>
        <v>0.252124022212705</v>
      </c>
      <c r="GR28" s="1893"/>
      <c r="GS28" s="2093" t="str">
        <f aca="false">GE28</f>
        <v>Net Profit %</v>
      </c>
      <c r="GT28" s="2094" t="n">
        <f aca="false">IF(GT2=0,"N/A",GT27/GT2)</f>
        <v>0.26753970254385</v>
      </c>
      <c r="GU28" s="2094" t="n">
        <f aca="false">IF(GU2=0,"N/A",GU27/GU2)</f>
        <v>0.267585896211817</v>
      </c>
      <c r="GV28" s="2094" t="n">
        <f aca="false">IF(GV2=0,"N/A",GV27/GV2)</f>
        <v>0.267632320848125</v>
      </c>
      <c r="GW28" s="2094" t="n">
        <f aca="false">IF(GW2=0,"N/A",GW27/GW2)</f>
        <v>0.267678977607614</v>
      </c>
      <c r="GX28" s="2094" t="n">
        <f aca="false">IF(GX2=0,"N/A",GX27/GX2)</f>
        <v>0.2677258676509</v>
      </c>
      <c r="GY28" s="2094" t="n">
        <f aca="false">IF(GY2=0,"N/A",GY27/GY2)</f>
        <v>0.267772992144403</v>
      </c>
      <c r="GZ28" s="2094" t="n">
        <f aca="false">IF(GZ2=0,"N/A",GZ27/GZ2)</f>
        <v>0.267820352260374</v>
      </c>
      <c r="HA28" s="2094" t="n">
        <f aca="false">IF(HA2=0,"N/A",HA27/HA2)</f>
        <v>0.267867949176924</v>
      </c>
      <c r="HB28" s="2094" t="n">
        <f aca="false">IF(HB2=0,"N/A",HB27/HB2)</f>
        <v>0.267915784078057</v>
      </c>
      <c r="HC28" s="2094" t="n">
        <f aca="false">IF(HC2=0,"N/A",HC27/HC2)</f>
        <v>0.267963858153696</v>
      </c>
      <c r="HD28" s="2094" t="n">
        <f aca="false">IF(HD2=0,"N/A",HD27/HD2)</f>
        <v>0.268012172599712</v>
      </c>
      <c r="HE28" s="2095" t="n">
        <f aca="false">IF(HE2=0,"N/A",HE27/HE2)</f>
        <v>0.268060728617959</v>
      </c>
      <c r="HF28" s="1896"/>
      <c r="HG28" s="2096" t="str">
        <f aca="false">GS28</f>
        <v>Net Profit %</v>
      </c>
      <c r="HH28" s="2097" t="n">
        <f aca="false">IF(HH2=0,"N/A",HH27/HH2)</f>
        <v>0.281065578236344</v>
      </c>
      <c r="HI28" s="2097" t="n">
        <f aca="false">IF(HI2=0,"N/A",HI27/HI2)</f>
        <v>0.281111117972079</v>
      </c>
      <c r="HJ28" s="2097" t="n">
        <f aca="false">IF(HJ2=0,"N/A",HJ27/HJ2)</f>
        <v>0.281156885406493</v>
      </c>
      <c r="HK28" s="2097" t="n">
        <f aca="false">IF(HK2=0,"N/A",HK27/HK2)</f>
        <v>0.281202881678078</v>
      </c>
      <c r="HL28" s="2097" t="n">
        <f aca="false">IF(HL2=0,"N/A",HL27/HL2)</f>
        <v>0.281249107931022</v>
      </c>
      <c r="HM28" s="2097" t="n">
        <f aca="false">IF(HM2=0,"N/A",HM27/HM2)</f>
        <v>0.28129556531523</v>
      </c>
      <c r="HN28" s="2097" t="n">
        <f aca="false">IF(HN2=0,"N/A",HN27/HN2)</f>
        <v>0.281342254986359</v>
      </c>
      <c r="HO28" s="2097" t="n">
        <f aca="false">IF(HO2=0,"N/A",HO27/HO2)</f>
        <v>0.281389178105844</v>
      </c>
      <c r="HP28" s="2097" t="n">
        <f aca="false">IF(HP2=0,"N/A",HP27/HP2)</f>
        <v>0.281436335840927</v>
      </c>
      <c r="HQ28" s="2097" t="n">
        <f aca="false">IF(HQ2=0,"N/A",HQ27/HQ2)</f>
        <v>0.281483729364685</v>
      </c>
      <c r="HR28" s="2097" t="n">
        <f aca="false">IF(HR2=0,"N/A",HR27/HR2)</f>
        <v>0.281531359856061</v>
      </c>
      <c r="HS28" s="2098" t="n">
        <f aca="false">IF(HS2=0,"N/A",HS27/HS2)</f>
        <v>0.281579228499895</v>
      </c>
    </row>
    <row r="29" customFormat="false" ht="10.5" hidden="false" customHeight="true" outlineLevel="0" collapsed="false">
      <c r="A29" s="1641"/>
      <c r="B29" s="1899" t="str">
        <f aca="false">'Tables 5Y'!$R$29</f>
        <v>Personnel Costs</v>
      </c>
      <c r="C29" s="1900"/>
      <c r="D29" s="1901"/>
      <c r="E29" s="1901"/>
      <c r="F29" s="1901"/>
      <c r="G29" s="1901"/>
      <c r="H29" s="1901"/>
      <c r="I29" s="1901"/>
      <c r="J29" s="1901"/>
      <c r="K29" s="1901"/>
      <c r="L29" s="1901"/>
      <c r="M29" s="1901"/>
      <c r="N29" s="1902"/>
      <c r="O29" s="1882"/>
      <c r="P29" s="1903" t="str">
        <f aca="false">'Tables 5Y'!$R$29</f>
        <v>Personnel Costs</v>
      </c>
      <c r="Q29" s="1904"/>
      <c r="R29" s="1905"/>
      <c r="S29" s="1905"/>
      <c r="T29" s="1905"/>
      <c r="U29" s="1905"/>
      <c r="V29" s="1905"/>
      <c r="W29" s="1905"/>
      <c r="X29" s="1905"/>
      <c r="Y29" s="1905"/>
      <c r="Z29" s="1905"/>
      <c r="AA29" s="1905"/>
      <c r="AB29" s="1906"/>
      <c r="AC29" s="1882"/>
      <c r="AD29" s="1907" t="str">
        <f aca="false">'Tables 5Y'!$R$29</f>
        <v>Personnel Costs</v>
      </c>
      <c r="AE29" s="1908"/>
      <c r="AF29" s="1909"/>
      <c r="AG29" s="1909"/>
      <c r="AH29" s="1909"/>
      <c r="AI29" s="1909"/>
      <c r="AJ29" s="1909"/>
      <c r="AK29" s="1909"/>
      <c r="AL29" s="1909"/>
      <c r="AM29" s="1909"/>
      <c r="AN29" s="1909"/>
      <c r="AO29" s="1909"/>
      <c r="AP29" s="1910"/>
      <c r="AQ29" s="1882"/>
      <c r="AR29" s="1911" t="str">
        <f aca="false">'Tables 5Y'!$R$29</f>
        <v>Personnel Costs</v>
      </c>
      <c r="AS29" s="1912"/>
      <c r="AT29" s="1913"/>
      <c r="AU29" s="1913"/>
      <c r="AV29" s="1913"/>
      <c r="AW29" s="1913"/>
      <c r="AX29" s="1913"/>
      <c r="AY29" s="1913"/>
      <c r="AZ29" s="1913"/>
      <c r="BA29" s="1913"/>
      <c r="BB29" s="1913"/>
      <c r="BC29" s="1913"/>
      <c r="BD29" s="1914"/>
      <c r="BE29" s="1466"/>
      <c r="BF29" s="1885"/>
      <c r="BG29" s="1915" t="str">
        <f aca="false">Revenue!A116</f>
        <v>SS-16</v>
      </c>
      <c r="BH29" s="1916" t="n">
        <f aca="false">Revenue!N116</f>
        <v>3249.37965</v>
      </c>
      <c r="BI29" s="1916" t="n">
        <f aca="false">Revenue!O116</f>
        <v>3610.42183333333</v>
      </c>
      <c r="BJ29" s="1916" t="n">
        <f aca="false">Revenue!P116</f>
        <v>3971.46401666667</v>
      </c>
      <c r="BK29" s="1916" t="n">
        <f aca="false">Revenue!Q116</f>
        <v>4332.5062</v>
      </c>
      <c r="BL29" s="1916" t="n">
        <f aca="false">Revenue!R116</f>
        <v>4693.54838333332</v>
      </c>
      <c r="BM29" s="1916" t="n">
        <f aca="false">Revenue!S116</f>
        <v>5054.59056666668</v>
      </c>
      <c r="BN29" s="1916" t="n">
        <f aca="false">Revenue!T116</f>
        <v>5415.63275</v>
      </c>
      <c r="BO29" s="1916" t="n">
        <f aca="false">Revenue!U116</f>
        <v>5776.67493333332</v>
      </c>
      <c r="BP29" s="1916" t="n">
        <f aca="false">Revenue!V116</f>
        <v>6137.71711666668</v>
      </c>
      <c r="BQ29" s="1916" t="n">
        <f aca="false">Revenue!W116</f>
        <v>6498.7593</v>
      </c>
      <c r="BR29" s="1916" t="n">
        <f aca="false">Revenue!X116</f>
        <v>6859.80148333332</v>
      </c>
      <c r="BS29" s="1915" t="n">
        <f aca="false">Revenue!Y116</f>
        <v>7220.84366666668</v>
      </c>
      <c r="BT29" s="1888"/>
      <c r="BU29" s="1952" t="str">
        <f aca="false">BG29</f>
        <v>SS-16</v>
      </c>
      <c r="BV29" s="1952" t="n">
        <f aca="false">Revenue!Z84</f>
        <v>296.916666666667</v>
      </c>
      <c r="BW29" s="1952" t="n">
        <f aca="false">Revenue!AA84</f>
        <v>296.916666666667</v>
      </c>
      <c r="BX29" s="1953" t="n">
        <f aca="false">Revenue!AB84</f>
        <v>296.916666666667</v>
      </c>
      <c r="BY29" s="1952" t="n">
        <f aca="false">Revenue!AC84</f>
        <v>296.916666666667</v>
      </c>
      <c r="BZ29" s="1952" t="n">
        <f aca="false">Revenue!AD84</f>
        <v>296.916666666667</v>
      </c>
      <c r="CA29" s="1952" t="n">
        <f aca="false">Revenue!AE84</f>
        <v>296.916666666667</v>
      </c>
      <c r="CB29" s="1952" t="n">
        <f aca="false">Revenue!AF84</f>
        <v>296.916666666667</v>
      </c>
      <c r="CC29" s="1952" t="n">
        <f aca="false">Revenue!AG84</f>
        <v>296.916666666667</v>
      </c>
      <c r="CD29" s="1952" t="n">
        <f aca="false">Revenue!AH84</f>
        <v>296.916666666667</v>
      </c>
      <c r="CE29" s="1952" t="n">
        <f aca="false">Revenue!AI84</f>
        <v>296.916666666667</v>
      </c>
      <c r="CF29" s="1952" t="n">
        <f aca="false">Revenue!AJ84</f>
        <v>296.916666666667</v>
      </c>
      <c r="CG29" s="1952" t="n">
        <f aca="false">Revenue!AK84</f>
        <v>296.916666666667</v>
      </c>
      <c r="CH29" s="1891"/>
      <c r="CI29" s="1954" t="str">
        <f aca="false">BU29</f>
        <v>SS-16</v>
      </c>
      <c r="CJ29" s="1955" t="n">
        <f aca="false">Revenue!AL84</f>
        <v>296.916666666667</v>
      </c>
      <c r="CK29" s="1955" t="n">
        <f aca="false">Revenue!AM84</f>
        <v>296.916666666667</v>
      </c>
      <c r="CL29" s="1955" t="n">
        <f aca="false">Revenue!AN84</f>
        <v>296.916666666667</v>
      </c>
      <c r="CM29" s="1955" t="n">
        <f aca="false">Revenue!AO84</f>
        <v>296.916666666667</v>
      </c>
      <c r="CN29" s="1955" t="n">
        <f aca="false">Revenue!AP84</f>
        <v>296.916666666667</v>
      </c>
      <c r="CO29" s="1955" t="n">
        <f aca="false">Revenue!AQ84</f>
        <v>296.916666666667</v>
      </c>
      <c r="CP29" s="1955" t="n">
        <f aca="false">Revenue!AR84</f>
        <v>296.916666666667</v>
      </c>
      <c r="CQ29" s="1955" t="n">
        <f aca="false">Revenue!AS84</f>
        <v>296.916666666667</v>
      </c>
      <c r="CR29" s="1955" t="n">
        <f aca="false">Revenue!AT84</f>
        <v>296.916666666667</v>
      </c>
      <c r="CS29" s="1955" t="n">
        <f aca="false">Revenue!AU84</f>
        <v>296.916666666667</v>
      </c>
      <c r="CT29" s="1955" t="n">
        <f aca="false">Revenue!AV84</f>
        <v>296.916666666667</v>
      </c>
      <c r="CU29" s="1955" t="n">
        <f aca="false">Revenue!AW84</f>
        <v>296.916666666667</v>
      </c>
      <c r="CV29" s="1888"/>
      <c r="CW29" s="1956" t="str">
        <f aca="false">CI29</f>
        <v>SS-16</v>
      </c>
      <c r="CX29" s="1957" t="n">
        <f aca="false">Revenue!AX84</f>
        <v>296.916666666667</v>
      </c>
      <c r="CY29" s="1957" t="n">
        <f aca="false">Revenue!AY84</f>
        <v>296.916666666667</v>
      </c>
      <c r="CZ29" s="1957" t="n">
        <f aca="false">Revenue!AZ84</f>
        <v>296.916666666667</v>
      </c>
      <c r="DA29" s="1957" t="n">
        <f aca="false">Revenue!BA84</f>
        <v>296.916666666667</v>
      </c>
      <c r="DB29" s="1957" t="n">
        <f aca="false">Revenue!BB84</f>
        <v>296.916666666667</v>
      </c>
      <c r="DC29" s="1957" t="n">
        <f aca="false">Revenue!BC84</f>
        <v>296.916666666667</v>
      </c>
      <c r="DD29" s="1957" t="n">
        <f aca="false">Revenue!BD84</f>
        <v>296.916666666667</v>
      </c>
      <c r="DE29" s="1957" t="n">
        <f aca="false">Revenue!BE84</f>
        <v>296.916666666667</v>
      </c>
      <c r="DF29" s="1957" t="n">
        <f aca="false">Revenue!BF84</f>
        <v>296.916666666667</v>
      </c>
      <c r="DG29" s="1957" t="n">
        <f aca="false">Revenue!BG84</f>
        <v>296.916666666667</v>
      </c>
      <c r="DH29" s="1957" t="n">
        <f aca="false">Revenue!BH84</f>
        <v>296.916666666667</v>
      </c>
      <c r="DI29" s="1957" t="n">
        <f aca="false">Revenue!BI84</f>
        <v>296.916666666667</v>
      </c>
      <c r="DJ29" s="1466"/>
      <c r="DK29" s="1163"/>
      <c r="DL29" s="1958" t="n">
        <v>0</v>
      </c>
      <c r="DM29" s="2051" t="n">
        <v>0</v>
      </c>
      <c r="DN29" s="2052" t="n">
        <v>0</v>
      </c>
      <c r="DO29" s="2052" t="n">
        <v>0</v>
      </c>
      <c r="DP29" s="2052" t="n">
        <v>0</v>
      </c>
      <c r="DQ29" s="2052" t="n">
        <v>0</v>
      </c>
      <c r="DR29" s="2052" t="n">
        <v>0</v>
      </c>
      <c r="DS29" s="2052" t="n">
        <v>0</v>
      </c>
      <c r="DT29" s="2052" t="n">
        <v>0</v>
      </c>
      <c r="DU29" s="2052" t="n">
        <v>0</v>
      </c>
      <c r="DV29" s="2052" t="n">
        <v>0</v>
      </c>
      <c r="DW29" s="2052" t="n">
        <v>0</v>
      </c>
      <c r="DX29" s="2053" t="n">
        <v>0</v>
      </c>
      <c r="DY29" s="1893"/>
      <c r="DZ29" s="2054" t="n">
        <v>0</v>
      </c>
      <c r="EA29" s="2055" t="n">
        <v>0</v>
      </c>
      <c r="EB29" s="2056" t="n">
        <v>0</v>
      </c>
      <c r="EC29" s="2056" t="n">
        <v>0</v>
      </c>
      <c r="ED29" s="2056" t="n">
        <v>0</v>
      </c>
      <c r="EE29" s="2056" t="n">
        <v>0</v>
      </c>
      <c r="EF29" s="2056" t="n">
        <v>0</v>
      </c>
      <c r="EG29" s="2056" t="n">
        <v>0</v>
      </c>
      <c r="EH29" s="2056" t="n">
        <v>0</v>
      </c>
      <c r="EI29" s="2056" t="n">
        <v>0</v>
      </c>
      <c r="EJ29" s="2056" t="n">
        <v>0</v>
      </c>
      <c r="EK29" s="2056" t="n">
        <v>0</v>
      </c>
      <c r="EL29" s="2057" t="n">
        <v>0</v>
      </c>
      <c r="EM29" s="1893"/>
      <c r="EN29" s="1966" t="n">
        <v>0</v>
      </c>
      <c r="EO29" s="1979" t="n">
        <v>0</v>
      </c>
      <c r="EP29" s="1980" t="n">
        <v>0</v>
      </c>
      <c r="EQ29" s="1980" t="n">
        <v>0</v>
      </c>
      <c r="ER29" s="1980" t="n">
        <v>0</v>
      </c>
      <c r="ES29" s="1980" t="n">
        <v>0</v>
      </c>
      <c r="ET29" s="1980" t="n">
        <v>0</v>
      </c>
      <c r="EU29" s="1980" t="n">
        <v>0</v>
      </c>
      <c r="EV29" s="1980" t="n">
        <v>0</v>
      </c>
      <c r="EW29" s="1980" t="n">
        <v>0</v>
      </c>
      <c r="EX29" s="1980" t="n">
        <v>0</v>
      </c>
      <c r="EY29" s="1980" t="n">
        <v>0</v>
      </c>
      <c r="EZ29" s="1981" t="n">
        <v>0</v>
      </c>
      <c r="FA29" s="1893"/>
      <c r="FB29" s="1967" t="n">
        <v>0</v>
      </c>
      <c r="FC29" s="2058" t="n">
        <v>0</v>
      </c>
      <c r="FD29" s="2059" t="n">
        <v>0</v>
      </c>
      <c r="FE29" s="2059" t="n">
        <v>0</v>
      </c>
      <c r="FF29" s="2059" t="n">
        <v>0</v>
      </c>
      <c r="FG29" s="2059" t="n">
        <v>0</v>
      </c>
      <c r="FH29" s="2059" t="n">
        <v>0</v>
      </c>
      <c r="FI29" s="2059" t="n">
        <v>0</v>
      </c>
      <c r="FJ29" s="2059" t="n">
        <v>0</v>
      </c>
      <c r="FK29" s="2059" t="n">
        <v>0</v>
      </c>
      <c r="FL29" s="2059" t="n">
        <v>0</v>
      </c>
      <c r="FM29" s="2059" t="n">
        <v>0</v>
      </c>
      <c r="FN29" s="2060" t="n">
        <v>0</v>
      </c>
      <c r="FO29" s="1466"/>
      <c r="FP29" s="1896"/>
      <c r="FQ29" s="2099" t="s">
        <v>1734</v>
      </c>
      <c r="FR29" s="2003" t="n">
        <f aca="false">'P&amp;L'!N49</f>
        <v>661820.000234499</v>
      </c>
      <c r="FS29" s="2003" t="n">
        <f aca="false">'P&amp;L'!O49</f>
        <v>758207.438124999</v>
      </c>
      <c r="FT29" s="2003" t="n">
        <f aca="false">'P&amp;L'!P49</f>
        <v>809822.876015501</v>
      </c>
      <c r="FU29" s="2003" t="n">
        <f aca="false">'P&amp;L'!Q49</f>
        <v>861438.313906001</v>
      </c>
      <c r="FV29" s="2003" t="n">
        <f aca="false">'P&amp;L'!R49</f>
        <v>913053.751796501</v>
      </c>
      <c r="FW29" s="2003" t="n">
        <f aca="false">'P&amp;L'!S49</f>
        <v>964669.189687001</v>
      </c>
      <c r="FX29" s="2003" t="n">
        <f aca="false">'P&amp;L'!T49</f>
        <v>1016284.6275775</v>
      </c>
      <c r="FY29" s="2003" t="n">
        <f aca="false">'P&amp;L'!U49</f>
        <v>1112672.065468</v>
      </c>
      <c r="FZ29" s="2003" t="n">
        <f aca="false">'P&amp;L'!V49</f>
        <v>1257562.5033585</v>
      </c>
      <c r="GA29" s="2003" t="n">
        <f aca="false">'P&amp;L'!W49</f>
        <v>1402452.941249</v>
      </c>
      <c r="GB29" s="2003" t="n">
        <f aca="false">'P&amp;L'!X49</f>
        <v>1547343.3791395</v>
      </c>
      <c r="GC29" s="2004" t="n">
        <f aca="false">'P&amp;L'!Y49</f>
        <v>1692233.81703</v>
      </c>
      <c r="GD29" s="1893"/>
      <c r="GE29" s="2099" t="s">
        <v>1734</v>
      </c>
      <c r="GF29" s="2003" t="n">
        <f aca="false">'P&amp;L'!Z49</f>
        <v>4424195.40898665</v>
      </c>
      <c r="GG29" s="2003" t="n">
        <f aca="false">'P&amp;L'!AA49</f>
        <v>4424195.40898665</v>
      </c>
      <c r="GH29" s="2003" t="n">
        <f aca="false">'P&amp;L'!AB49</f>
        <v>4424195.40898665</v>
      </c>
      <c r="GI29" s="2003" t="n">
        <f aca="false">'P&amp;L'!AC49</f>
        <v>4424195.40898665</v>
      </c>
      <c r="GJ29" s="2003" t="n">
        <f aca="false">'P&amp;L'!AD49</f>
        <v>4424195.40898665</v>
      </c>
      <c r="GK29" s="2003" t="n">
        <f aca="false">'P&amp;L'!AE49</f>
        <v>4424195.40898665</v>
      </c>
      <c r="GL29" s="2003" t="n">
        <f aca="false">'P&amp;L'!AF49</f>
        <v>4424195.40898665</v>
      </c>
      <c r="GM29" s="2003" t="n">
        <f aca="false">'P&amp;L'!AG49</f>
        <v>4424195.40898665</v>
      </c>
      <c r="GN29" s="2003" t="n">
        <f aca="false">'P&amp;L'!AH49</f>
        <v>4424195.40898665</v>
      </c>
      <c r="GO29" s="2003" t="n">
        <f aca="false">'P&amp;L'!AI49</f>
        <v>4424195.40898665</v>
      </c>
      <c r="GP29" s="2003" t="n">
        <f aca="false">'P&amp;L'!AJ49</f>
        <v>4424195.40898665</v>
      </c>
      <c r="GQ29" s="2004" t="n">
        <f aca="false">'P&amp;L'!AK49</f>
        <v>4424195.40898665</v>
      </c>
      <c r="GR29" s="1893"/>
      <c r="GS29" s="2100" t="s">
        <v>1734</v>
      </c>
      <c r="GT29" s="1880" t="n">
        <f aca="false">'P&amp;L'!AL49</f>
        <v>5041319.74694789</v>
      </c>
      <c r="GU29" s="1880" t="n">
        <f aca="false">'P&amp;L'!AM49</f>
        <v>5041319.74694789</v>
      </c>
      <c r="GV29" s="1880" t="n">
        <f aca="false">'P&amp;L'!AN49</f>
        <v>5041319.74694789</v>
      </c>
      <c r="GW29" s="1880" t="n">
        <f aca="false">'P&amp;L'!AO49</f>
        <v>5041319.74694789</v>
      </c>
      <c r="GX29" s="1880" t="n">
        <f aca="false">'P&amp;L'!AP49</f>
        <v>5041319.74694789</v>
      </c>
      <c r="GY29" s="1880" t="n">
        <f aca="false">'P&amp;L'!AQ49</f>
        <v>5041319.74694789</v>
      </c>
      <c r="GZ29" s="1880" t="n">
        <f aca="false">'P&amp;L'!AR49</f>
        <v>5041319.74694789</v>
      </c>
      <c r="HA29" s="1880" t="n">
        <f aca="false">'P&amp;L'!AS49</f>
        <v>5041319.74694789</v>
      </c>
      <c r="HB29" s="1880" t="n">
        <f aca="false">'P&amp;L'!AT49</f>
        <v>5041319.74694789</v>
      </c>
      <c r="HC29" s="1880" t="n">
        <f aca="false">'P&amp;L'!AU49</f>
        <v>5041319.74694789</v>
      </c>
      <c r="HD29" s="1880" t="n">
        <f aca="false">'P&amp;L'!AV49</f>
        <v>5041319.74694789</v>
      </c>
      <c r="HE29" s="1881" t="n">
        <f aca="false">'P&amp;L'!AW49</f>
        <v>5041319.74694789</v>
      </c>
      <c r="HF29" s="1896"/>
      <c r="HG29" s="2100" t="s">
        <v>1734</v>
      </c>
      <c r="HH29" s="1880" t="n">
        <f aca="false">'P&amp;L'!AX49</f>
        <v>5655117.5210798</v>
      </c>
      <c r="HI29" s="1880" t="n">
        <f aca="false">'P&amp;L'!AY49</f>
        <v>5655117.5210798</v>
      </c>
      <c r="HJ29" s="1880" t="n">
        <f aca="false">'P&amp;L'!AZ49</f>
        <v>5655117.5210798</v>
      </c>
      <c r="HK29" s="1880" t="n">
        <f aca="false">'P&amp;L'!BA49</f>
        <v>5655117.5210798</v>
      </c>
      <c r="HL29" s="1880" t="n">
        <f aca="false">'P&amp;L'!BB49</f>
        <v>5655117.5210798</v>
      </c>
      <c r="HM29" s="1880" t="n">
        <f aca="false">'P&amp;L'!BC49</f>
        <v>5655117.5210798</v>
      </c>
      <c r="HN29" s="1880" t="n">
        <f aca="false">'P&amp;L'!BD49</f>
        <v>5655117.5210798</v>
      </c>
      <c r="HO29" s="1880" t="n">
        <f aca="false">'P&amp;L'!BE49</f>
        <v>5655117.5210798</v>
      </c>
      <c r="HP29" s="1880" t="n">
        <f aca="false">'P&amp;L'!BF49</f>
        <v>5655117.5210798</v>
      </c>
      <c r="HQ29" s="1880" t="n">
        <f aca="false">'P&amp;L'!BG49</f>
        <v>5655117.5210798</v>
      </c>
      <c r="HR29" s="1880" t="n">
        <f aca="false">'P&amp;L'!BH49</f>
        <v>5655117.5210798</v>
      </c>
      <c r="HS29" s="1881" t="n">
        <f aca="false">'P&amp;L'!BI49</f>
        <v>5655117.5210798</v>
      </c>
    </row>
    <row r="30" customFormat="false" ht="10.5" hidden="false" customHeight="true" outlineLevel="0" collapsed="false">
      <c r="A30" s="1641"/>
      <c r="B30" s="1936" t="str">
        <f aca="false">Personnel!A33</f>
        <v>Admin-2</v>
      </c>
      <c r="C30" s="1971" t="n">
        <f aca="false">Personnel!P33</f>
        <v>0</v>
      </c>
      <c r="D30" s="1972" t="n">
        <f aca="false">Personnel!Q33</f>
        <v>0</v>
      </c>
      <c r="E30" s="1972" t="n">
        <f aca="false">Personnel!R33</f>
        <v>0</v>
      </c>
      <c r="F30" s="1972" t="n">
        <f aca="false">Personnel!S33</f>
        <v>0</v>
      </c>
      <c r="G30" s="1972" t="n">
        <f aca="false">Personnel!T33</f>
        <v>0</v>
      </c>
      <c r="H30" s="1972" t="n">
        <f aca="false">Personnel!U33</f>
        <v>0</v>
      </c>
      <c r="I30" s="1972" t="n">
        <f aca="false">Personnel!V33</f>
        <v>0</v>
      </c>
      <c r="J30" s="1972" t="n">
        <f aca="false">Personnel!W33</f>
        <v>0</v>
      </c>
      <c r="K30" s="1972" t="n">
        <f aca="false">Personnel!X33</f>
        <v>0</v>
      </c>
      <c r="L30" s="1972" t="n">
        <f aca="false">Personnel!Y33</f>
        <v>0</v>
      </c>
      <c r="M30" s="1972" t="n">
        <f aca="false">Personnel!Z33</f>
        <v>0</v>
      </c>
      <c r="N30" s="1973" t="n">
        <f aca="false">Personnel!AA33</f>
        <v>0</v>
      </c>
      <c r="O30" s="1882"/>
      <c r="P30" s="1940" t="str">
        <f aca="false">B30</f>
        <v>Admin-2</v>
      </c>
      <c r="Q30" s="1975" t="n">
        <f aca="false">Personnel!AB33</f>
        <v>0</v>
      </c>
      <c r="R30" s="1976" t="n">
        <f aca="false">Personnel!AC33</f>
        <v>0</v>
      </c>
      <c r="S30" s="1976" t="n">
        <f aca="false">Personnel!AD33</f>
        <v>0</v>
      </c>
      <c r="T30" s="1976" t="n">
        <f aca="false">Personnel!AE33</f>
        <v>0</v>
      </c>
      <c r="U30" s="1976" t="n">
        <f aca="false">Personnel!AF33</f>
        <v>0</v>
      </c>
      <c r="V30" s="1976" t="n">
        <f aca="false">Personnel!AG33</f>
        <v>0</v>
      </c>
      <c r="W30" s="1976" t="n">
        <f aca="false">Personnel!AH33</f>
        <v>0</v>
      </c>
      <c r="X30" s="1976" t="n">
        <f aca="false">Personnel!AI33</f>
        <v>0</v>
      </c>
      <c r="Y30" s="1976" t="n">
        <f aca="false">Personnel!AJ33</f>
        <v>0</v>
      </c>
      <c r="Z30" s="1976" t="n">
        <f aca="false">Personnel!AK33</f>
        <v>0</v>
      </c>
      <c r="AA30" s="1976" t="n">
        <f aca="false">Personnel!AL33</f>
        <v>0</v>
      </c>
      <c r="AB30" s="1977" t="n">
        <f aca="false">Personnel!AM33</f>
        <v>0</v>
      </c>
      <c r="AC30" s="1882"/>
      <c r="AD30" s="1944" t="str">
        <f aca="false">P30</f>
        <v>Admin-2</v>
      </c>
      <c r="AE30" s="1979" t="n">
        <f aca="false">Personnel!AN33</f>
        <v>0</v>
      </c>
      <c r="AF30" s="1980" t="n">
        <f aca="false">Personnel!AO33</f>
        <v>0</v>
      </c>
      <c r="AG30" s="1980" t="n">
        <f aca="false">Personnel!AP33</f>
        <v>0</v>
      </c>
      <c r="AH30" s="1980" t="n">
        <f aca="false">Personnel!AQ33</f>
        <v>0</v>
      </c>
      <c r="AI30" s="1980" t="n">
        <f aca="false">Personnel!AR33</f>
        <v>0</v>
      </c>
      <c r="AJ30" s="1980" t="n">
        <f aca="false">Personnel!AS33</f>
        <v>0</v>
      </c>
      <c r="AK30" s="1980" t="n">
        <f aca="false">Personnel!AT33</f>
        <v>0</v>
      </c>
      <c r="AL30" s="1980" t="n">
        <f aca="false">Personnel!AU33</f>
        <v>0</v>
      </c>
      <c r="AM30" s="1980" t="n">
        <f aca="false">Personnel!AV33</f>
        <v>0</v>
      </c>
      <c r="AN30" s="1980" t="n">
        <f aca="false">Personnel!AW33</f>
        <v>0</v>
      </c>
      <c r="AO30" s="1980" t="n">
        <f aca="false">Personnel!AX33</f>
        <v>0</v>
      </c>
      <c r="AP30" s="1981" t="n">
        <f aca="false">Personnel!AY33</f>
        <v>0</v>
      </c>
      <c r="AQ30" s="1882"/>
      <c r="AR30" s="1948" t="str">
        <f aca="false">AD30</f>
        <v>Admin-2</v>
      </c>
      <c r="AS30" s="1983" t="n">
        <f aca="false">Personnel!AZ33</f>
        <v>0</v>
      </c>
      <c r="AT30" s="1984" t="n">
        <f aca="false">Personnel!BA33</f>
        <v>0</v>
      </c>
      <c r="AU30" s="1984" t="n">
        <f aca="false">Personnel!BB33</f>
        <v>0</v>
      </c>
      <c r="AV30" s="1984" t="n">
        <f aca="false">Personnel!BC33</f>
        <v>0</v>
      </c>
      <c r="AW30" s="1984" t="n">
        <f aca="false">Personnel!BD33</f>
        <v>0</v>
      </c>
      <c r="AX30" s="1984" t="n">
        <f aca="false">Personnel!BE33</f>
        <v>0</v>
      </c>
      <c r="AY30" s="1984" t="n">
        <f aca="false">Personnel!BF33</f>
        <v>0</v>
      </c>
      <c r="AZ30" s="1984" t="n">
        <f aca="false">Personnel!BG33</f>
        <v>0</v>
      </c>
      <c r="BA30" s="1984" t="n">
        <f aca="false">Personnel!BH33</f>
        <v>0</v>
      </c>
      <c r="BB30" s="1984" t="n">
        <f aca="false">Personnel!BI33</f>
        <v>0</v>
      </c>
      <c r="BC30" s="1984" t="n">
        <f aca="false">Personnel!BJ33</f>
        <v>0</v>
      </c>
      <c r="BD30" s="1985" t="n">
        <f aca="false">Personnel!BK33</f>
        <v>0</v>
      </c>
      <c r="BE30" s="1466"/>
      <c r="BF30" s="1885"/>
      <c r="BG30" s="1915" t="str">
        <f aca="false">Revenue!A117</f>
        <v>SS-18</v>
      </c>
      <c r="BH30" s="1916" t="n">
        <f aca="false">Revenue!N117</f>
        <v>1083.43054285714</v>
      </c>
      <c r="BI30" s="1916" t="n">
        <f aca="false">Revenue!O117</f>
        <v>1203.81171428571</v>
      </c>
      <c r="BJ30" s="1916" t="n">
        <f aca="false">Revenue!P117</f>
        <v>1324.19288571429</v>
      </c>
      <c r="BK30" s="1916" t="n">
        <f aca="false">Revenue!Q117</f>
        <v>1444.57405714286</v>
      </c>
      <c r="BL30" s="1916" t="n">
        <f aca="false">Revenue!R117</f>
        <v>1564.95522857143</v>
      </c>
      <c r="BM30" s="1916" t="n">
        <f aca="false">Revenue!S117</f>
        <v>1685.3364</v>
      </c>
      <c r="BN30" s="1916" t="n">
        <f aca="false">Revenue!T117</f>
        <v>1805.71757142857</v>
      </c>
      <c r="BO30" s="1916" t="n">
        <f aca="false">Revenue!U117</f>
        <v>1926.09874285714</v>
      </c>
      <c r="BP30" s="1916" t="n">
        <f aca="false">Revenue!V117</f>
        <v>2046.47991428572</v>
      </c>
      <c r="BQ30" s="1916" t="n">
        <f aca="false">Revenue!W117</f>
        <v>2166.86108571429</v>
      </c>
      <c r="BR30" s="1916" t="n">
        <f aca="false">Revenue!X117</f>
        <v>2287.24225714286</v>
      </c>
      <c r="BS30" s="1915" t="n">
        <f aca="false">Revenue!Y117</f>
        <v>2407.62342857143</v>
      </c>
      <c r="BT30" s="1888"/>
      <c r="BU30" s="1952" t="str">
        <f aca="false">BG30</f>
        <v>SS-18</v>
      </c>
      <c r="BV30" s="1952" t="n">
        <f aca="false">Revenue!Z85</f>
        <v>99</v>
      </c>
      <c r="BW30" s="1952" t="n">
        <f aca="false">Revenue!AA85</f>
        <v>99</v>
      </c>
      <c r="BX30" s="1953" t="n">
        <f aca="false">Revenue!AB85</f>
        <v>99</v>
      </c>
      <c r="BY30" s="1952" t="n">
        <f aca="false">Revenue!AC85</f>
        <v>99</v>
      </c>
      <c r="BZ30" s="1952" t="n">
        <f aca="false">Revenue!AD85</f>
        <v>99</v>
      </c>
      <c r="CA30" s="1952" t="n">
        <f aca="false">Revenue!AE85</f>
        <v>99</v>
      </c>
      <c r="CB30" s="1952" t="n">
        <f aca="false">Revenue!AF85</f>
        <v>99</v>
      </c>
      <c r="CC30" s="1952" t="n">
        <f aca="false">Revenue!AG85</f>
        <v>99</v>
      </c>
      <c r="CD30" s="1952" t="n">
        <f aca="false">Revenue!AH85</f>
        <v>99</v>
      </c>
      <c r="CE30" s="1952" t="n">
        <f aca="false">Revenue!AI85</f>
        <v>99</v>
      </c>
      <c r="CF30" s="1952" t="n">
        <f aca="false">Revenue!AJ85</f>
        <v>99</v>
      </c>
      <c r="CG30" s="1952" t="n">
        <f aca="false">Revenue!AK85</f>
        <v>99</v>
      </c>
      <c r="CH30" s="1891"/>
      <c r="CI30" s="1954" t="str">
        <f aca="false">BU30</f>
        <v>SS-18</v>
      </c>
      <c r="CJ30" s="1955" t="n">
        <f aca="false">Revenue!AL85</f>
        <v>99</v>
      </c>
      <c r="CK30" s="1955" t="n">
        <f aca="false">Revenue!AM85</f>
        <v>99</v>
      </c>
      <c r="CL30" s="1955" t="n">
        <f aca="false">Revenue!AN85</f>
        <v>99</v>
      </c>
      <c r="CM30" s="1955" t="n">
        <f aca="false">Revenue!AO85</f>
        <v>99</v>
      </c>
      <c r="CN30" s="1955" t="n">
        <f aca="false">Revenue!AP85</f>
        <v>99</v>
      </c>
      <c r="CO30" s="1955" t="n">
        <f aca="false">Revenue!AQ85</f>
        <v>99</v>
      </c>
      <c r="CP30" s="1955" t="n">
        <f aca="false">Revenue!AR85</f>
        <v>99</v>
      </c>
      <c r="CQ30" s="1955" t="n">
        <f aca="false">Revenue!AS85</f>
        <v>99</v>
      </c>
      <c r="CR30" s="1955" t="n">
        <f aca="false">Revenue!AT85</f>
        <v>99</v>
      </c>
      <c r="CS30" s="1955" t="n">
        <f aca="false">Revenue!AU85</f>
        <v>99</v>
      </c>
      <c r="CT30" s="1955" t="n">
        <f aca="false">Revenue!AV85</f>
        <v>99</v>
      </c>
      <c r="CU30" s="1955" t="n">
        <f aca="false">Revenue!AW85</f>
        <v>99</v>
      </c>
      <c r="CV30" s="1888"/>
      <c r="CW30" s="1956" t="str">
        <f aca="false">CI30</f>
        <v>SS-18</v>
      </c>
      <c r="CX30" s="1957" t="n">
        <f aca="false">Revenue!AX85</f>
        <v>99</v>
      </c>
      <c r="CY30" s="1957" t="n">
        <f aca="false">Revenue!AY85</f>
        <v>99</v>
      </c>
      <c r="CZ30" s="1957" t="n">
        <f aca="false">Revenue!AZ85</f>
        <v>99</v>
      </c>
      <c r="DA30" s="1957" t="n">
        <f aca="false">Revenue!BA85</f>
        <v>99</v>
      </c>
      <c r="DB30" s="1957" t="n">
        <f aca="false">Revenue!BB85</f>
        <v>99</v>
      </c>
      <c r="DC30" s="1957" t="n">
        <f aca="false">Revenue!BC85</f>
        <v>99</v>
      </c>
      <c r="DD30" s="1957" t="n">
        <f aca="false">Revenue!BD85</f>
        <v>99</v>
      </c>
      <c r="DE30" s="1957" t="n">
        <f aca="false">Revenue!BE85</f>
        <v>99</v>
      </c>
      <c r="DF30" s="1957" t="n">
        <f aca="false">Revenue!BF85</f>
        <v>99</v>
      </c>
      <c r="DG30" s="1957" t="n">
        <f aca="false">Revenue!BG85</f>
        <v>99</v>
      </c>
      <c r="DH30" s="1957" t="n">
        <f aca="false">Revenue!BH85</f>
        <v>99</v>
      </c>
      <c r="DI30" s="1957" t="n">
        <f aca="false">Revenue!BI85</f>
        <v>99</v>
      </c>
      <c r="DJ30" s="1466"/>
      <c r="DK30" s="1163"/>
      <c r="DL30" s="1958" t="n">
        <v>0</v>
      </c>
      <c r="DM30" s="2051" t="n">
        <v>0</v>
      </c>
      <c r="DN30" s="2052" t="n">
        <v>0</v>
      </c>
      <c r="DO30" s="2052" t="n">
        <v>0</v>
      </c>
      <c r="DP30" s="2052" t="n">
        <v>0</v>
      </c>
      <c r="DQ30" s="2052" t="n">
        <v>0</v>
      </c>
      <c r="DR30" s="2052" t="n">
        <v>0</v>
      </c>
      <c r="DS30" s="2052" t="n">
        <v>0</v>
      </c>
      <c r="DT30" s="2052" t="n">
        <v>0</v>
      </c>
      <c r="DU30" s="2052" t="n">
        <v>0</v>
      </c>
      <c r="DV30" s="2052" t="n">
        <v>0</v>
      </c>
      <c r="DW30" s="2052" t="n">
        <v>0</v>
      </c>
      <c r="DX30" s="2053" t="n">
        <v>0</v>
      </c>
      <c r="DY30" s="1893"/>
      <c r="DZ30" s="2054" t="n">
        <v>0</v>
      </c>
      <c r="EA30" s="2055" t="n">
        <v>0</v>
      </c>
      <c r="EB30" s="2056" t="n">
        <v>0</v>
      </c>
      <c r="EC30" s="2056" t="n">
        <v>0</v>
      </c>
      <c r="ED30" s="2056" t="n">
        <v>0</v>
      </c>
      <c r="EE30" s="2056" t="n">
        <v>0</v>
      </c>
      <c r="EF30" s="2056" t="n">
        <v>0</v>
      </c>
      <c r="EG30" s="2056" t="n">
        <v>0</v>
      </c>
      <c r="EH30" s="2056" t="n">
        <v>0</v>
      </c>
      <c r="EI30" s="2056" t="n">
        <v>0</v>
      </c>
      <c r="EJ30" s="2056" t="n">
        <v>0</v>
      </c>
      <c r="EK30" s="2056" t="n">
        <v>0</v>
      </c>
      <c r="EL30" s="2057" t="n">
        <v>0</v>
      </c>
      <c r="EM30" s="1893"/>
      <c r="EN30" s="1966" t="n">
        <v>0</v>
      </c>
      <c r="EO30" s="1979" t="n">
        <v>0</v>
      </c>
      <c r="EP30" s="1980" t="n">
        <v>0</v>
      </c>
      <c r="EQ30" s="1980" t="n">
        <v>0</v>
      </c>
      <c r="ER30" s="1980" t="n">
        <v>0</v>
      </c>
      <c r="ES30" s="1980" t="n">
        <v>0</v>
      </c>
      <c r="ET30" s="1980" t="n">
        <v>0</v>
      </c>
      <c r="EU30" s="1980" t="n">
        <v>0</v>
      </c>
      <c r="EV30" s="1980" t="n">
        <v>0</v>
      </c>
      <c r="EW30" s="1980" t="n">
        <v>0</v>
      </c>
      <c r="EX30" s="1980" t="n">
        <v>0</v>
      </c>
      <c r="EY30" s="1980" t="n">
        <v>0</v>
      </c>
      <c r="EZ30" s="1981" t="n">
        <v>0</v>
      </c>
      <c r="FA30" s="1893"/>
      <c r="FB30" s="1967" t="n">
        <v>0</v>
      </c>
      <c r="FC30" s="2058" t="n">
        <v>0</v>
      </c>
      <c r="FD30" s="2059" t="n">
        <v>0</v>
      </c>
      <c r="FE30" s="2059" t="n">
        <v>0</v>
      </c>
      <c r="FF30" s="2059" t="n">
        <v>0</v>
      </c>
      <c r="FG30" s="2059" t="n">
        <v>0</v>
      </c>
      <c r="FH30" s="2059" t="n">
        <v>0</v>
      </c>
      <c r="FI30" s="2059" t="n">
        <v>0</v>
      </c>
      <c r="FJ30" s="2059" t="n">
        <v>0</v>
      </c>
      <c r="FK30" s="2059" t="n">
        <v>0</v>
      </c>
      <c r="FL30" s="2059" t="n">
        <v>0</v>
      </c>
      <c r="FM30" s="2059" t="n">
        <v>0</v>
      </c>
      <c r="FN30" s="2060" t="n">
        <v>0</v>
      </c>
      <c r="FO30" s="1466"/>
      <c r="FP30" s="1896"/>
      <c r="FQ30" s="2101" t="s">
        <v>1735</v>
      </c>
      <c r="FR30" s="1272" t="n">
        <f aca="false">'P&amp;L'!N50</f>
        <v>0.201582409551256</v>
      </c>
      <c r="FS30" s="1272" t="n">
        <f aca="false">'P&amp;L'!O50</f>
        <v>0.20784677712443</v>
      </c>
      <c r="FT30" s="1272" t="n">
        <f aca="false">'P&amp;L'!P50</f>
        <v>0.201814613063125</v>
      </c>
      <c r="FU30" s="1272" t="n">
        <f aca="false">'P&amp;L'!Q50</f>
        <v>0.196787809678705</v>
      </c>
      <c r="FV30" s="1272" t="n">
        <f aca="false">'P&amp;L'!R50</f>
        <v>0.192534360661118</v>
      </c>
      <c r="FW30" s="1272" t="n">
        <f aca="false">'P&amp;L'!S50</f>
        <v>0.188888547217473</v>
      </c>
      <c r="FX30" s="1272" t="n">
        <f aca="false">'P&amp;L'!T50</f>
        <v>0.18572884223298</v>
      </c>
      <c r="FY30" s="1272" t="n">
        <f aca="false">'P&amp;L'!U50</f>
        <v>0.190634919923606</v>
      </c>
      <c r="FZ30" s="1272" t="n">
        <f aca="false">'P&amp;L'!V50</f>
        <v>0.202785039782137</v>
      </c>
      <c r="GA30" s="1272" t="n">
        <f aca="false">'P&amp;L'!W50</f>
        <v>0.213585146323055</v>
      </c>
      <c r="GB30" s="1272" t="n">
        <f aca="false">'P&amp;L'!X50</f>
        <v>0.223248399543876</v>
      </c>
      <c r="GC30" s="1273" t="n">
        <f aca="false">'P&amp;L'!Y50</f>
        <v>0.231945327442614</v>
      </c>
      <c r="GD30" s="1893"/>
      <c r="GE30" s="2101" t="s">
        <v>1735</v>
      </c>
      <c r="GF30" s="1272" t="n">
        <f aca="false">'P&amp;L'!Z50</f>
        <v>0.317638363347106</v>
      </c>
      <c r="GG30" s="1272" t="n">
        <f aca="false">'P&amp;L'!AA50</f>
        <v>0.317638363347106</v>
      </c>
      <c r="GH30" s="1272" t="n">
        <f aca="false">'P&amp;L'!AB50</f>
        <v>0.317638363347106</v>
      </c>
      <c r="GI30" s="1272" t="n">
        <f aca="false">'P&amp;L'!AC50</f>
        <v>0.317638363347106</v>
      </c>
      <c r="GJ30" s="1272" t="n">
        <f aca="false">'P&amp;L'!AD50</f>
        <v>0.317638363347106</v>
      </c>
      <c r="GK30" s="1272" t="n">
        <f aca="false">'P&amp;L'!AE50</f>
        <v>0.317638363347106</v>
      </c>
      <c r="GL30" s="1272" t="n">
        <f aca="false">'P&amp;L'!AF50</f>
        <v>0.317638363347106</v>
      </c>
      <c r="GM30" s="1272" t="n">
        <f aca="false">'P&amp;L'!AG50</f>
        <v>0.317638363347106</v>
      </c>
      <c r="GN30" s="1272" t="n">
        <f aca="false">'P&amp;L'!AH50</f>
        <v>0.317638363347106</v>
      </c>
      <c r="GO30" s="1272" t="n">
        <f aca="false">'P&amp;L'!AI50</f>
        <v>0.317638363347106</v>
      </c>
      <c r="GP30" s="1272" t="n">
        <f aca="false">'P&amp;L'!AJ50</f>
        <v>0.317638363347106</v>
      </c>
      <c r="GQ30" s="1273" t="n">
        <f aca="false">'P&amp;L'!AK50</f>
        <v>0.317638363347106</v>
      </c>
      <c r="GR30" s="1893"/>
      <c r="GS30" s="2101" t="s">
        <v>1735</v>
      </c>
      <c r="GT30" s="1272" t="n">
        <f aca="false">'P&amp;L'!AL50</f>
        <v>0.334103316074629</v>
      </c>
      <c r="GU30" s="1272" t="n">
        <f aca="false">'P&amp;L'!AM50</f>
        <v>0.334103316074629</v>
      </c>
      <c r="GV30" s="1272" t="n">
        <f aca="false">'P&amp;L'!AN50</f>
        <v>0.334103316074629</v>
      </c>
      <c r="GW30" s="1272" t="n">
        <f aca="false">'P&amp;L'!AO50</f>
        <v>0.334103316074629</v>
      </c>
      <c r="GX30" s="1272" t="n">
        <f aca="false">'P&amp;L'!AP50</f>
        <v>0.334103316074629</v>
      </c>
      <c r="GY30" s="1272" t="n">
        <f aca="false">'P&amp;L'!AQ50</f>
        <v>0.334103316074629</v>
      </c>
      <c r="GZ30" s="1272" t="n">
        <f aca="false">'P&amp;L'!AR50</f>
        <v>0.334103316074629</v>
      </c>
      <c r="HA30" s="1272" t="n">
        <f aca="false">'P&amp;L'!AS50</f>
        <v>0.334103316074629</v>
      </c>
      <c r="HB30" s="1272" t="n">
        <f aca="false">'P&amp;L'!AT50</f>
        <v>0.334103316074629</v>
      </c>
      <c r="HC30" s="1272" t="n">
        <f aca="false">'P&amp;L'!AU50</f>
        <v>0.334103316074629</v>
      </c>
      <c r="HD30" s="1272" t="n">
        <f aca="false">'P&amp;L'!AV50</f>
        <v>0.334103316074629</v>
      </c>
      <c r="HE30" s="1273" t="n">
        <f aca="false">'P&amp;L'!AW50</f>
        <v>0.334103316074629</v>
      </c>
      <c r="HF30" s="1896"/>
      <c r="HG30" s="2101" t="s">
        <v>1735</v>
      </c>
      <c r="HH30" s="1272" t="n">
        <f aca="false">'P&amp;L'!AX50</f>
        <v>0.34801141861526</v>
      </c>
      <c r="HI30" s="1272" t="n">
        <f aca="false">'P&amp;L'!AY50</f>
        <v>0.34801141861526</v>
      </c>
      <c r="HJ30" s="1272" t="n">
        <f aca="false">'P&amp;L'!AZ50</f>
        <v>0.34801141861526</v>
      </c>
      <c r="HK30" s="1272" t="n">
        <f aca="false">'P&amp;L'!BA50</f>
        <v>0.34801141861526</v>
      </c>
      <c r="HL30" s="1272" t="n">
        <f aca="false">'P&amp;L'!BB50</f>
        <v>0.34801141861526</v>
      </c>
      <c r="HM30" s="1272" t="n">
        <f aca="false">'P&amp;L'!BC50</f>
        <v>0.34801141861526</v>
      </c>
      <c r="HN30" s="1272" t="n">
        <f aca="false">'P&amp;L'!BD50</f>
        <v>0.34801141861526</v>
      </c>
      <c r="HO30" s="1272" t="n">
        <f aca="false">'P&amp;L'!BE50</f>
        <v>0.34801141861526</v>
      </c>
      <c r="HP30" s="1272" t="n">
        <f aca="false">'P&amp;L'!BF50</f>
        <v>0.34801141861526</v>
      </c>
      <c r="HQ30" s="1272" t="n">
        <f aca="false">'P&amp;L'!BG50</f>
        <v>0.34801141861526</v>
      </c>
      <c r="HR30" s="1272" t="n">
        <f aca="false">'P&amp;L'!BH50</f>
        <v>0.34801141861526</v>
      </c>
      <c r="HS30" s="1273" t="n">
        <f aca="false">'P&amp;L'!BI50</f>
        <v>0.34801141861526</v>
      </c>
    </row>
    <row r="31" customFormat="false" ht="10.5" hidden="false" customHeight="true" outlineLevel="0" collapsed="false">
      <c r="A31" s="1641"/>
      <c r="B31" s="1936" t="str">
        <f aca="false">Personnel!A34</f>
        <v>Trades-3</v>
      </c>
      <c r="C31" s="1971" t="n">
        <f aca="false">Personnel!P34</f>
        <v>0</v>
      </c>
      <c r="D31" s="1972" t="n">
        <f aca="false">Personnel!Q34</f>
        <v>0</v>
      </c>
      <c r="E31" s="1972" t="n">
        <f aca="false">Personnel!R34</f>
        <v>0</v>
      </c>
      <c r="F31" s="1972" t="n">
        <f aca="false">Personnel!S34</f>
        <v>0</v>
      </c>
      <c r="G31" s="1972" t="n">
        <f aca="false">Personnel!T34</f>
        <v>0</v>
      </c>
      <c r="H31" s="1972" t="n">
        <f aca="false">Personnel!U34</f>
        <v>0</v>
      </c>
      <c r="I31" s="1972" t="n">
        <f aca="false">Personnel!V34</f>
        <v>0</v>
      </c>
      <c r="J31" s="1972" t="n">
        <f aca="false">Personnel!W34</f>
        <v>0</v>
      </c>
      <c r="K31" s="1972" t="n">
        <f aca="false">Personnel!X34</f>
        <v>0</v>
      </c>
      <c r="L31" s="1972" t="n">
        <f aca="false">Personnel!Y34</f>
        <v>0</v>
      </c>
      <c r="M31" s="1972" t="n">
        <f aca="false">Personnel!Z34</f>
        <v>0</v>
      </c>
      <c r="N31" s="1973" t="n">
        <f aca="false">Personnel!AA34</f>
        <v>0</v>
      </c>
      <c r="O31" s="1882"/>
      <c r="P31" s="1940" t="str">
        <f aca="false">B31</f>
        <v>Trades-3</v>
      </c>
      <c r="Q31" s="1975" t="n">
        <f aca="false">Personnel!AB34</f>
        <v>0</v>
      </c>
      <c r="R31" s="1976" t="n">
        <f aca="false">Personnel!AC34</f>
        <v>0</v>
      </c>
      <c r="S31" s="1976" t="n">
        <f aca="false">Personnel!AD34</f>
        <v>0</v>
      </c>
      <c r="T31" s="1976" t="n">
        <f aca="false">Personnel!AE34</f>
        <v>0</v>
      </c>
      <c r="U31" s="1976" t="n">
        <f aca="false">Personnel!AF34</f>
        <v>0</v>
      </c>
      <c r="V31" s="1976" t="n">
        <f aca="false">Personnel!AG34</f>
        <v>0</v>
      </c>
      <c r="W31" s="1976" t="n">
        <f aca="false">Personnel!AH34</f>
        <v>0</v>
      </c>
      <c r="X31" s="1976" t="n">
        <f aca="false">Personnel!AI34</f>
        <v>0</v>
      </c>
      <c r="Y31" s="1976" t="n">
        <f aca="false">Personnel!AJ34</f>
        <v>0</v>
      </c>
      <c r="Z31" s="1976" t="n">
        <f aca="false">Personnel!AK34</f>
        <v>0</v>
      </c>
      <c r="AA31" s="1976" t="n">
        <f aca="false">Personnel!AL34</f>
        <v>0</v>
      </c>
      <c r="AB31" s="1977" t="n">
        <f aca="false">Personnel!AM34</f>
        <v>0</v>
      </c>
      <c r="AC31" s="1882"/>
      <c r="AD31" s="1944" t="str">
        <f aca="false">P31</f>
        <v>Trades-3</v>
      </c>
      <c r="AE31" s="1979" t="n">
        <f aca="false">Personnel!AN34</f>
        <v>0</v>
      </c>
      <c r="AF31" s="1980" t="n">
        <f aca="false">Personnel!AO34</f>
        <v>0</v>
      </c>
      <c r="AG31" s="1980" t="n">
        <f aca="false">Personnel!AP34</f>
        <v>0</v>
      </c>
      <c r="AH31" s="1980" t="n">
        <f aca="false">Personnel!AQ34</f>
        <v>0</v>
      </c>
      <c r="AI31" s="1980" t="n">
        <f aca="false">Personnel!AR34</f>
        <v>0</v>
      </c>
      <c r="AJ31" s="1980" t="n">
        <f aca="false">Personnel!AS34</f>
        <v>0</v>
      </c>
      <c r="AK31" s="1980" t="n">
        <f aca="false">Personnel!AT34</f>
        <v>0</v>
      </c>
      <c r="AL31" s="1980" t="n">
        <f aca="false">Personnel!AU34</f>
        <v>0</v>
      </c>
      <c r="AM31" s="1980" t="n">
        <f aca="false">Personnel!AV34</f>
        <v>0</v>
      </c>
      <c r="AN31" s="1980" t="n">
        <f aca="false">Personnel!AW34</f>
        <v>0</v>
      </c>
      <c r="AO31" s="1980" t="n">
        <f aca="false">Personnel!AX34</f>
        <v>0</v>
      </c>
      <c r="AP31" s="1981" t="n">
        <f aca="false">Personnel!AY34</f>
        <v>0</v>
      </c>
      <c r="AQ31" s="1882"/>
      <c r="AR31" s="1948" t="str">
        <f aca="false">AD31</f>
        <v>Trades-3</v>
      </c>
      <c r="AS31" s="1983" t="n">
        <f aca="false">Personnel!AZ34</f>
        <v>0</v>
      </c>
      <c r="AT31" s="1984" t="n">
        <f aca="false">Personnel!BA34</f>
        <v>0</v>
      </c>
      <c r="AU31" s="1984" t="n">
        <f aca="false">Personnel!BB34</f>
        <v>0</v>
      </c>
      <c r="AV31" s="1984" t="n">
        <f aca="false">Personnel!BC34</f>
        <v>0</v>
      </c>
      <c r="AW31" s="1984" t="n">
        <f aca="false">Personnel!BD34</f>
        <v>0</v>
      </c>
      <c r="AX31" s="1984" t="n">
        <f aca="false">Personnel!BE34</f>
        <v>0</v>
      </c>
      <c r="AY31" s="1984" t="n">
        <f aca="false">Personnel!BF34</f>
        <v>0</v>
      </c>
      <c r="AZ31" s="1984" t="n">
        <f aca="false">Personnel!BG34</f>
        <v>0</v>
      </c>
      <c r="BA31" s="1984" t="n">
        <f aca="false">Personnel!BH34</f>
        <v>0</v>
      </c>
      <c r="BB31" s="1984" t="n">
        <f aca="false">Personnel!BI34</f>
        <v>0</v>
      </c>
      <c r="BC31" s="1984" t="n">
        <f aca="false">Personnel!BJ34</f>
        <v>0</v>
      </c>
      <c r="BD31" s="1985" t="n">
        <f aca="false">Personnel!BK34</f>
        <v>0</v>
      </c>
      <c r="BE31" s="1466"/>
      <c r="BF31" s="1885"/>
      <c r="BG31" s="2102" t="str">
        <f aca="false">Revenue!A118</f>
        <v>Total Revenue</v>
      </c>
      <c r="BH31" s="2103" t="n">
        <f aca="false">Revenue!N118</f>
        <v>3283123.76912143</v>
      </c>
      <c r="BI31" s="2103" t="n">
        <f aca="false">Revenue!O118</f>
        <v>3647915.29902381</v>
      </c>
      <c r="BJ31" s="2103" t="n">
        <f aca="false">Revenue!P118</f>
        <v>4012706.82892619</v>
      </c>
      <c r="BK31" s="2103" t="n">
        <f aca="false">Revenue!Q118</f>
        <v>4377498.35882857</v>
      </c>
      <c r="BL31" s="2103" t="n">
        <f aca="false">Revenue!R118</f>
        <v>4742289.88873096</v>
      </c>
      <c r="BM31" s="2103" t="n">
        <f aca="false">Revenue!S118</f>
        <v>5107081.41863334</v>
      </c>
      <c r="BN31" s="2103" t="n">
        <f aca="false">Revenue!T118</f>
        <v>5471872.94853572</v>
      </c>
      <c r="BO31" s="2103" t="n">
        <f aca="false">Revenue!U118</f>
        <v>5836664.4784381</v>
      </c>
      <c r="BP31" s="2103" t="n">
        <f aca="false">Revenue!V118</f>
        <v>6201456.00834048</v>
      </c>
      <c r="BQ31" s="2103" t="n">
        <f aca="false">Revenue!W118</f>
        <v>6566247.53824285</v>
      </c>
      <c r="BR31" s="2103" t="n">
        <f aca="false">Revenue!X118</f>
        <v>6931039.06814524</v>
      </c>
      <c r="BS31" s="2102" t="n">
        <f aca="false">Revenue!Y118</f>
        <v>7295830.59804762</v>
      </c>
      <c r="BT31" s="1888"/>
      <c r="BU31" s="2102" t="str">
        <f aca="false">BG31</f>
        <v>Total Revenue</v>
      </c>
      <c r="BV31" s="2102" t="n">
        <f aca="false">Revenue!Z86</f>
        <v>300000.083333333</v>
      </c>
      <c r="BW31" s="2102" t="n">
        <f aca="false">Revenue!AA86</f>
        <v>300000.083333333</v>
      </c>
      <c r="BX31" s="2104" t="n">
        <f aca="false">Revenue!AB86</f>
        <v>300000.083333333</v>
      </c>
      <c r="BY31" s="2102" t="n">
        <f aca="false">Revenue!AC86</f>
        <v>300000.083333333</v>
      </c>
      <c r="BZ31" s="2102" t="n">
        <f aca="false">Revenue!AD86</f>
        <v>300000.083333333</v>
      </c>
      <c r="CA31" s="2102" t="n">
        <f aca="false">Revenue!AE86</f>
        <v>300000.083333333</v>
      </c>
      <c r="CB31" s="2102" t="n">
        <f aca="false">Revenue!AF86</f>
        <v>300000.083333333</v>
      </c>
      <c r="CC31" s="2102" t="n">
        <f aca="false">Revenue!AG86</f>
        <v>300000.083333333</v>
      </c>
      <c r="CD31" s="2102" t="n">
        <f aca="false">Revenue!AH86</f>
        <v>300000.083333333</v>
      </c>
      <c r="CE31" s="2102" t="n">
        <f aca="false">Revenue!AI86</f>
        <v>300000.083333333</v>
      </c>
      <c r="CF31" s="2102" t="n">
        <f aca="false">Revenue!AJ86</f>
        <v>300000.083333333</v>
      </c>
      <c r="CG31" s="2102" t="n">
        <f aca="false">Revenue!AK86</f>
        <v>300000.083333333</v>
      </c>
      <c r="CH31" s="1891"/>
      <c r="CI31" s="2102" t="str">
        <f aca="false">BU31</f>
        <v>Total Revenue</v>
      </c>
      <c r="CJ31" s="2103" t="n">
        <f aca="false">Revenue!AL86</f>
        <v>300000.083333333</v>
      </c>
      <c r="CK31" s="2103" t="n">
        <f aca="false">Revenue!AM86</f>
        <v>300000.083333333</v>
      </c>
      <c r="CL31" s="2103" t="n">
        <f aca="false">Revenue!AN86</f>
        <v>300000.083333333</v>
      </c>
      <c r="CM31" s="2103" t="n">
        <f aca="false">Revenue!AO86</f>
        <v>300000.083333333</v>
      </c>
      <c r="CN31" s="2103" t="n">
        <f aca="false">Revenue!AP86</f>
        <v>300000.083333333</v>
      </c>
      <c r="CO31" s="2103" t="n">
        <f aca="false">Revenue!AQ86</f>
        <v>300000.083333333</v>
      </c>
      <c r="CP31" s="2103" t="n">
        <f aca="false">Revenue!AR86</f>
        <v>300000.083333333</v>
      </c>
      <c r="CQ31" s="2103" t="n">
        <f aca="false">Revenue!AS86</f>
        <v>300000.083333333</v>
      </c>
      <c r="CR31" s="2103" t="n">
        <f aca="false">Revenue!AT86</f>
        <v>300000.083333333</v>
      </c>
      <c r="CS31" s="2103" t="n">
        <f aca="false">Revenue!AU86</f>
        <v>300000.083333333</v>
      </c>
      <c r="CT31" s="2103" t="n">
        <f aca="false">Revenue!AV86</f>
        <v>300000.083333333</v>
      </c>
      <c r="CU31" s="2103" t="n">
        <f aca="false">Revenue!AW86</f>
        <v>300000.083333333</v>
      </c>
      <c r="CV31" s="1888"/>
      <c r="CW31" s="2103" t="str">
        <f aca="false">CI31</f>
        <v>Total Revenue</v>
      </c>
      <c r="CX31" s="2102" t="n">
        <f aca="false">Revenue!AX86</f>
        <v>300000.083333333</v>
      </c>
      <c r="CY31" s="2102" t="n">
        <f aca="false">Revenue!AY86</f>
        <v>300000.083333333</v>
      </c>
      <c r="CZ31" s="2102" t="n">
        <f aca="false">Revenue!AZ86</f>
        <v>300000.083333333</v>
      </c>
      <c r="DA31" s="2102" t="n">
        <f aca="false">Revenue!BA86</f>
        <v>300000.083333333</v>
      </c>
      <c r="DB31" s="2102" t="n">
        <f aca="false">Revenue!BB86</f>
        <v>300000.083333333</v>
      </c>
      <c r="DC31" s="2102" t="n">
        <f aca="false">Revenue!BC86</f>
        <v>300000.083333333</v>
      </c>
      <c r="DD31" s="2102" t="n">
        <f aca="false">Revenue!BD86</f>
        <v>300000.083333333</v>
      </c>
      <c r="DE31" s="2102" t="n">
        <f aca="false">Revenue!BE86</f>
        <v>300000.083333333</v>
      </c>
      <c r="DF31" s="2102" t="n">
        <f aca="false">Revenue!BF86</f>
        <v>300000.083333333</v>
      </c>
      <c r="DG31" s="2102" t="n">
        <f aca="false">Revenue!BG86</f>
        <v>300000.083333333</v>
      </c>
      <c r="DH31" s="2102" t="n">
        <f aca="false">Revenue!BH86</f>
        <v>300000.083333333</v>
      </c>
      <c r="DI31" s="2102" t="n">
        <f aca="false">Revenue!BI86</f>
        <v>300000.083333333</v>
      </c>
      <c r="DJ31" s="1466"/>
      <c r="DK31" s="1163"/>
      <c r="DL31" s="1958" t="n">
        <v>0</v>
      </c>
      <c r="DM31" s="2051" t="n">
        <v>0</v>
      </c>
      <c r="DN31" s="2052" t="n">
        <v>0</v>
      </c>
      <c r="DO31" s="2052" t="n">
        <v>0</v>
      </c>
      <c r="DP31" s="2052" t="n">
        <v>0</v>
      </c>
      <c r="DQ31" s="2052" t="n">
        <v>0</v>
      </c>
      <c r="DR31" s="2052" t="n">
        <v>0</v>
      </c>
      <c r="DS31" s="2052" t="n">
        <v>0</v>
      </c>
      <c r="DT31" s="2052" t="n">
        <v>0</v>
      </c>
      <c r="DU31" s="2052" t="n">
        <v>0</v>
      </c>
      <c r="DV31" s="2052" t="n">
        <v>0</v>
      </c>
      <c r="DW31" s="2052" t="n">
        <v>0</v>
      </c>
      <c r="DX31" s="2053" t="n">
        <v>0</v>
      </c>
      <c r="DY31" s="1893"/>
      <c r="DZ31" s="2054" t="n">
        <v>0</v>
      </c>
      <c r="EA31" s="2055" t="n">
        <v>0</v>
      </c>
      <c r="EB31" s="2056" t="n">
        <v>0</v>
      </c>
      <c r="EC31" s="2056" t="n">
        <v>0</v>
      </c>
      <c r="ED31" s="2056" t="n">
        <v>0</v>
      </c>
      <c r="EE31" s="2056" t="n">
        <v>0</v>
      </c>
      <c r="EF31" s="2056" t="n">
        <v>0</v>
      </c>
      <c r="EG31" s="2056" t="n">
        <v>0</v>
      </c>
      <c r="EH31" s="2056" t="n">
        <v>0</v>
      </c>
      <c r="EI31" s="2056" t="n">
        <v>0</v>
      </c>
      <c r="EJ31" s="2056" t="n">
        <v>0</v>
      </c>
      <c r="EK31" s="2056" t="n">
        <v>0</v>
      </c>
      <c r="EL31" s="2057" t="n">
        <v>0</v>
      </c>
      <c r="EM31" s="1893"/>
      <c r="EN31" s="1966" t="n">
        <v>0</v>
      </c>
      <c r="EO31" s="1979" t="n">
        <v>0</v>
      </c>
      <c r="EP31" s="1980" t="n">
        <v>0</v>
      </c>
      <c r="EQ31" s="1980" t="n">
        <v>0</v>
      </c>
      <c r="ER31" s="1980" t="n">
        <v>0</v>
      </c>
      <c r="ES31" s="1980" t="n">
        <v>0</v>
      </c>
      <c r="ET31" s="1980" t="n">
        <v>0</v>
      </c>
      <c r="EU31" s="1980" t="n">
        <v>0</v>
      </c>
      <c r="EV31" s="1980" t="n">
        <v>0</v>
      </c>
      <c r="EW31" s="1980" t="n">
        <v>0</v>
      </c>
      <c r="EX31" s="1980" t="n">
        <v>0</v>
      </c>
      <c r="EY31" s="1980" t="n">
        <v>0</v>
      </c>
      <c r="EZ31" s="1981" t="n">
        <v>0</v>
      </c>
      <c r="FA31" s="1893"/>
      <c r="FB31" s="1967" t="n">
        <v>0</v>
      </c>
      <c r="FC31" s="2058" t="n">
        <v>0</v>
      </c>
      <c r="FD31" s="2059" t="n">
        <v>0</v>
      </c>
      <c r="FE31" s="2059" t="n">
        <v>0</v>
      </c>
      <c r="FF31" s="2059" t="n">
        <v>0</v>
      </c>
      <c r="FG31" s="2059" t="n">
        <v>0</v>
      </c>
      <c r="FH31" s="2059" t="n">
        <v>0</v>
      </c>
      <c r="FI31" s="2059" t="n">
        <v>0</v>
      </c>
      <c r="FJ31" s="2059" t="n">
        <v>0</v>
      </c>
      <c r="FK31" s="2059" t="n">
        <v>0</v>
      </c>
      <c r="FL31" s="2059" t="n">
        <v>0</v>
      </c>
      <c r="FM31" s="2059" t="n">
        <v>0</v>
      </c>
      <c r="FN31" s="2060" t="n">
        <v>0</v>
      </c>
      <c r="FO31" s="1466"/>
      <c r="FP31" s="1896"/>
      <c r="FQ31" s="2105" t="s">
        <v>1737</v>
      </c>
      <c r="FR31" s="2106" t="n">
        <f aca="false">'P&amp;L'!N54</f>
        <v>-3467405.14387464</v>
      </c>
      <c r="FS31" s="2106" t="n">
        <f aca="false">'P&amp;L'!O54</f>
        <v>-3012729.72096419</v>
      </c>
      <c r="FT31" s="2106" t="n">
        <f aca="false">'P&amp;L'!P54</f>
        <v>-2511935.39185606</v>
      </c>
      <c r="FU31" s="2106" t="n">
        <f aca="false">'P&amp;L'!Q54</f>
        <v>-1958790.81728803</v>
      </c>
      <c r="FV31" s="2106" t="n">
        <f aca="false">'P&amp;L'!R54</f>
        <v>-1353292.32322225</v>
      </c>
      <c r="FW31" s="2106" t="n">
        <f aca="false">'P&amp;L'!S54</f>
        <v>-695436.217250672</v>
      </c>
      <c r="FX31" s="2106" t="n">
        <f aca="false">'P&amp;L'!T54</f>
        <v>14781.2114967702</v>
      </c>
      <c r="FY31" s="2106" t="n">
        <f aca="false">'P&amp;L'!U54</f>
        <v>822135.692444505</v>
      </c>
      <c r="FZ31" s="2106" t="n">
        <f aca="false">'P&amp;L'!V54</f>
        <v>1775133.97366408</v>
      </c>
      <c r="GA31" s="2106" t="n">
        <f aca="false">'P&amp;L'!W54</f>
        <v>2873779.8219674</v>
      </c>
      <c r="GB31" s="2106" t="n">
        <f aca="false">'P&amp;L'!X54</f>
        <v>4118077.02300044</v>
      </c>
      <c r="GC31" s="2107" t="n">
        <f aca="false">'P&amp;L'!Y54</f>
        <v>5508029.3813374</v>
      </c>
      <c r="GD31" s="1893"/>
      <c r="GE31" s="2105" t="s">
        <v>1737</v>
      </c>
      <c r="GF31" s="2106" t="n">
        <f aca="false">'P&amp;L'!Z54</f>
        <v>9630711.87464148</v>
      </c>
      <c r="GG31" s="2106" t="n">
        <f aca="false">'P&amp;L'!AA54</f>
        <v>13754166.7536711</v>
      </c>
      <c r="GH31" s="2106" t="n">
        <f aca="false">'P&amp;L'!AB54</f>
        <v>17878397.8803549</v>
      </c>
      <c r="GI31" s="2106" t="n">
        <f aca="false">'P&amp;L'!AC54</f>
        <v>22003409.1359311</v>
      </c>
      <c r="GJ31" s="2106" t="n">
        <f aca="false">'P&amp;L'!AD54</f>
        <v>26129204.4210442</v>
      </c>
      <c r="GK31" s="2106" t="n">
        <f aca="false">'P&amp;L'!AE54</f>
        <v>30255787.6558418</v>
      </c>
      <c r="GL31" s="2106" t="n">
        <f aca="false">'P&amp;L'!AF54</f>
        <v>34383162.7800725</v>
      </c>
      <c r="GM31" s="2106" t="n">
        <f aca="false">'P&amp;L'!AG54</f>
        <v>38511333.7531834</v>
      </c>
      <c r="GN31" s="2106" t="n">
        <f aca="false">'P&amp;L'!AH54</f>
        <v>42640304.5544188</v>
      </c>
      <c r="GO31" s="2106" t="n">
        <f aca="false">'P&amp;L'!AI54</f>
        <v>46770079.1829194</v>
      </c>
      <c r="GP31" s="2106" t="n">
        <f aca="false">'P&amp;L'!AJ54</f>
        <v>50900661.6578215</v>
      </c>
      <c r="GQ31" s="2107" t="n">
        <f aca="false">'P&amp;L'!AK54</f>
        <v>55032056.0183571</v>
      </c>
      <c r="GR31" s="1893"/>
      <c r="GS31" s="2105" t="s">
        <v>1737</v>
      </c>
      <c r="GT31" s="2106" t="n">
        <f aca="false">'P&amp;L'!AL54</f>
        <v>59781390.6619156</v>
      </c>
      <c r="GU31" s="2106" t="n">
        <f aca="false">'P&amp;L'!AM54</f>
        <v>64531545.3302612</v>
      </c>
      <c r="GV31" s="2106" t="n">
        <f aca="false">'P&amp;L'!AN54</f>
        <v>69282524.1235177</v>
      </c>
      <c r="GW31" s="2106" t="n">
        <f aca="false">'P&amp;L'!AO54</f>
        <v>74034331.1623096</v>
      </c>
      <c r="GX31" s="2106" t="n">
        <f aca="false">'P&amp;L'!AP54</f>
        <v>78786970.5878648</v>
      </c>
      <c r="GY31" s="2106" t="n">
        <f aca="false">'P&amp;L'!AQ54</f>
        <v>83540446.5621169</v>
      </c>
      <c r="GZ31" s="2106" t="n">
        <f aca="false">'P&amp;L'!AR54</f>
        <v>88294763.2678095</v>
      </c>
      <c r="HA31" s="2106" t="n">
        <f aca="false">'P&amp;L'!AS54</f>
        <v>93049924.9085997</v>
      </c>
      <c r="HB31" s="2106" t="n">
        <f aca="false">'P&amp;L'!AT54</f>
        <v>97805935.7091631</v>
      </c>
      <c r="HC31" s="2106" t="n">
        <f aca="false">'P&amp;L'!AU54</f>
        <v>102562799.915299</v>
      </c>
      <c r="HD31" s="2106" t="n">
        <f aca="false">'P&amp;L'!AV54</f>
        <v>107320521.794034</v>
      </c>
      <c r="HE31" s="2107" t="n">
        <f aca="false">'P&amp;L'!AW54</f>
        <v>112079105.633732</v>
      </c>
      <c r="HF31" s="1896"/>
      <c r="HG31" s="2105" t="s">
        <v>1737</v>
      </c>
      <c r="HH31" s="2106" t="n">
        <f aca="false">'P&amp;L'!AX54</f>
        <v>117452353.51833</v>
      </c>
      <c r="HI31" s="2106" t="n">
        <f aca="false">'P&amp;L'!AY54</f>
        <v>122826472.005049</v>
      </c>
      <c r="HJ31" s="2106" t="n">
        <f aca="false">'P&amp;L'!AZ54</f>
        <v>128201465.446901</v>
      </c>
      <c r="HK31" s="2106" t="n">
        <f aca="false">'P&amp;L'!BA54</f>
        <v>133577338.21866</v>
      </c>
      <c r="HL31" s="2106" t="n">
        <f aca="false">'P&amp;L'!BB54</f>
        <v>138954094.716976</v>
      </c>
      <c r="HM31" s="2106" t="n">
        <f aca="false">'P&amp;L'!BC54</f>
        <v>144331739.360483</v>
      </c>
      <c r="HN31" s="2106" t="n">
        <f aca="false">'P&amp;L'!BD54</f>
        <v>149710276.589906</v>
      </c>
      <c r="HO31" s="2106" t="n">
        <f aca="false">'P&amp;L'!BE54</f>
        <v>155089710.868174</v>
      </c>
      <c r="HP31" s="2106" t="n">
        <f aca="false">'P&amp;L'!BF54</f>
        <v>160470046.680533</v>
      </c>
      <c r="HQ31" s="2106" t="n">
        <f aca="false">'P&amp;L'!BG54</f>
        <v>165851288.534651</v>
      </c>
      <c r="HR31" s="2106" t="n">
        <f aca="false">'P&amp;L'!BH54</f>
        <v>171233440.960739</v>
      </c>
      <c r="HS31" s="2107" t="n">
        <f aca="false">'P&amp;L'!BI54</f>
        <v>176616508.511656</v>
      </c>
    </row>
    <row r="32" customFormat="false" ht="10.5" hidden="false" customHeight="true" outlineLevel="0" collapsed="false">
      <c r="A32" s="1641"/>
      <c r="B32" s="1936" t="str">
        <f aca="false">Personnel!A35</f>
        <v>Admin-3</v>
      </c>
      <c r="C32" s="1971" t="n">
        <f aca="false">Personnel!P35</f>
        <v>0</v>
      </c>
      <c r="D32" s="1972" t="n">
        <f aca="false">Personnel!Q35</f>
        <v>0</v>
      </c>
      <c r="E32" s="1972" t="n">
        <f aca="false">Personnel!R35</f>
        <v>0</v>
      </c>
      <c r="F32" s="1972" t="n">
        <f aca="false">Personnel!S35</f>
        <v>0</v>
      </c>
      <c r="G32" s="1972" t="n">
        <f aca="false">Personnel!T35</f>
        <v>0</v>
      </c>
      <c r="H32" s="1972" t="n">
        <f aca="false">Personnel!U35</f>
        <v>0</v>
      </c>
      <c r="I32" s="1972" t="n">
        <f aca="false">Personnel!V35</f>
        <v>0</v>
      </c>
      <c r="J32" s="1972" t="n">
        <f aca="false">Personnel!W35</f>
        <v>0</v>
      </c>
      <c r="K32" s="1972" t="n">
        <f aca="false">Personnel!X35</f>
        <v>0</v>
      </c>
      <c r="L32" s="1972" t="n">
        <f aca="false">Personnel!Y35</f>
        <v>0</v>
      </c>
      <c r="M32" s="1972" t="n">
        <f aca="false">Personnel!Z35</f>
        <v>0</v>
      </c>
      <c r="N32" s="1973" t="n">
        <f aca="false">Personnel!AA35</f>
        <v>0</v>
      </c>
      <c r="O32" s="1882"/>
      <c r="P32" s="1940" t="str">
        <f aca="false">B32</f>
        <v>Admin-3</v>
      </c>
      <c r="Q32" s="1975" t="n">
        <f aca="false">Personnel!AB35</f>
        <v>0</v>
      </c>
      <c r="R32" s="1976" t="n">
        <f aca="false">Personnel!AC35</f>
        <v>0</v>
      </c>
      <c r="S32" s="1976" t="n">
        <f aca="false">Personnel!AD35</f>
        <v>0</v>
      </c>
      <c r="T32" s="1976" t="n">
        <f aca="false">Personnel!AE35</f>
        <v>0</v>
      </c>
      <c r="U32" s="1976" t="n">
        <f aca="false">Personnel!AF35</f>
        <v>0</v>
      </c>
      <c r="V32" s="1976" t="n">
        <f aca="false">Personnel!AG35</f>
        <v>0</v>
      </c>
      <c r="W32" s="1976" t="n">
        <f aca="false">Personnel!AH35</f>
        <v>0</v>
      </c>
      <c r="X32" s="1976" t="n">
        <f aca="false">Personnel!AI35</f>
        <v>0</v>
      </c>
      <c r="Y32" s="1976" t="n">
        <f aca="false">Personnel!AJ35</f>
        <v>0</v>
      </c>
      <c r="Z32" s="1976" t="n">
        <f aca="false">Personnel!AK35</f>
        <v>0</v>
      </c>
      <c r="AA32" s="1976" t="n">
        <f aca="false">Personnel!AL35</f>
        <v>0</v>
      </c>
      <c r="AB32" s="1977" t="n">
        <f aca="false">Personnel!AM35</f>
        <v>0</v>
      </c>
      <c r="AC32" s="1882"/>
      <c r="AD32" s="1944" t="str">
        <f aca="false">P32</f>
        <v>Admin-3</v>
      </c>
      <c r="AE32" s="1979" t="n">
        <f aca="false">Personnel!AN35</f>
        <v>0</v>
      </c>
      <c r="AF32" s="1980" t="n">
        <f aca="false">Personnel!AO35</f>
        <v>0</v>
      </c>
      <c r="AG32" s="1980" t="n">
        <f aca="false">Personnel!AP35</f>
        <v>0</v>
      </c>
      <c r="AH32" s="1980" t="n">
        <f aca="false">Personnel!AQ35</f>
        <v>0</v>
      </c>
      <c r="AI32" s="1980" t="n">
        <f aca="false">Personnel!AR35</f>
        <v>0</v>
      </c>
      <c r="AJ32" s="1980" t="n">
        <f aca="false">Personnel!AS35</f>
        <v>0</v>
      </c>
      <c r="AK32" s="1980" t="n">
        <f aca="false">Personnel!AT35</f>
        <v>0</v>
      </c>
      <c r="AL32" s="1980" t="n">
        <f aca="false">Personnel!AU35</f>
        <v>0</v>
      </c>
      <c r="AM32" s="1980" t="n">
        <f aca="false">Personnel!AV35</f>
        <v>0</v>
      </c>
      <c r="AN32" s="1980" t="n">
        <f aca="false">Personnel!AW35</f>
        <v>0</v>
      </c>
      <c r="AO32" s="1980" t="n">
        <f aca="false">Personnel!AX35</f>
        <v>0</v>
      </c>
      <c r="AP32" s="1981" t="n">
        <f aca="false">Personnel!AY35</f>
        <v>0</v>
      </c>
      <c r="AQ32" s="1882"/>
      <c r="AR32" s="1948" t="str">
        <f aca="false">AD32</f>
        <v>Admin-3</v>
      </c>
      <c r="AS32" s="1983" t="n">
        <f aca="false">Personnel!AZ35</f>
        <v>0</v>
      </c>
      <c r="AT32" s="1984" t="n">
        <f aca="false">Personnel!BA35</f>
        <v>0</v>
      </c>
      <c r="AU32" s="1984" t="n">
        <f aca="false">Personnel!BB35</f>
        <v>0</v>
      </c>
      <c r="AV32" s="1984" t="n">
        <f aca="false">Personnel!BC35</f>
        <v>0</v>
      </c>
      <c r="AW32" s="1984" t="n">
        <f aca="false">Personnel!BD35</f>
        <v>0</v>
      </c>
      <c r="AX32" s="1984" t="n">
        <f aca="false">Personnel!BE35</f>
        <v>0</v>
      </c>
      <c r="AY32" s="1984" t="n">
        <f aca="false">Personnel!BF35</f>
        <v>0</v>
      </c>
      <c r="AZ32" s="1984" t="n">
        <f aca="false">Personnel!BG35</f>
        <v>0</v>
      </c>
      <c r="BA32" s="1984" t="n">
        <f aca="false">Personnel!BH35</f>
        <v>0</v>
      </c>
      <c r="BB32" s="1984" t="n">
        <f aca="false">Personnel!BI35</f>
        <v>0</v>
      </c>
      <c r="BC32" s="1984" t="n">
        <f aca="false">Personnel!BJ35</f>
        <v>0</v>
      </c>
      <c r="BD32" s="1985" t="n">
        <f aca="false">Personnel!BK35</f>
        <v>0</v>
      </c>
      <c r="BE32" s="1466"/>
      <c r="BF32" s="1885"/>
      <c r="BG32" s="2061"/>
      <c r="BH32" s="2062"/>
      <c r="BI32" s="2062"/>
      <c r="BJ32" s="2062"/>
      <c r="BK32" s="2062"/>
      <c r="BL32" s="2062"/>
      <c r="BM32" s="2062"/>
      <c r="BN32" s="2062"/>
      <c r="BO32" s="2062"/>
      <c r="BP32" s="2062"/>
      <c r="BQ32" s="2062"/>
      <c r="BR32" s="2062"/>
      <c r="BS32" s="2061"/>
      <c r="BT32" s="1888"/>
      <c r="BU32" s="2061"/>
      <c r="BV32" s="2061"/>
      <c r="BW32" s="2061"/>
      <c r="BX32" s="2063"/>
      <c r="BY32" s="2061"/>
      <c r="BZ32" s="2061"/>
      <c r="CA32" s="2061"/>
      <c r="CB32" s="2061"/>
      <c r="CC32" s="2061"/>
      <c r="CD32" s="2061"/>
      <c r="CE32" s="2061"/>
      <c r="CF32" s="2061"/>
      <c r="CG32" s="2061"/>
      <c r="CH32" s="1891"/>
      <c r="CI32" s="2061"/>
      <c r="CJ32" s="2062"/>
      <c r="CK32" s="2062"/>
      <c r="CL32" s="2062"/>
      <c r="CM32" s="2062"/>
      <c r="CN32" s="2062"/>
      <c r="CO32" s="2062"/>
      <c r="CP32" s="2062"/>
      <c r="CQ32" s="2062"/>
      <c r="CR32" s="2062"/>
      <c r="CS32" s="2062"/>
      <c r="CT32" s="2062"/>
      <c r="CU32" s="2062"/>
      <c r="CV32" s="1888"/>
      <c r="CW32" s="2062"/>
      <c r="CX32" s="2061"/>
      <c r="CY32" s="2061"/>
      <c r="CZ32" s="2061"/>
      <c r="DA32" s="2061"/>
      <c r="DB32" s="2061"/>
      <c r="DC32" s="2061"/>
      <c r="DD32" s="2061"/>
      <c r="DE32" s="2061"/>
      <c r="DF32" s="2061"/>
      <c r="DG32" s="2061"/>
      <c r="DH32" s="2061"/>
      <c r="DI32" s="2061"/>
      <c r="DJ32" s="1466"/>
      <c r="DK32" s="1163"/>
      <c r="DL32" s="1958" t="n">
        <v>0</v>
      </c>
      <c r="DM32" s="2051" t="n">
        <v>0</v>
      </c>
      <c r="DN32" s="2052" t="n">
        <v>0</v>
      </c>
      <c r="DO32" s="2052" t="n">
        <v>0</v>
      </c>
      <c r="DP32" s="2052" t="n">
        <v>0</v>
      </c>
      <c r="DQ32" s="2052" t="n">
        <v>0</v>
      </c>
      <c r="DR32" s="2052" t="n">
        <v>0</v>
      </c>
      <c r="DS32" s="2052" t="n">
        <v>0</v>
      </c>
      <c r="DT32" s="2052" t="n">
        <v>0</v>
      </c>
      <c r="DU32" s="2052" t="n">
        <v>0</v>
      </c>
      <c r="DV32" s="2052" t="n">
        <v>0</v>
      </c>
      <c r="DW32" s="2052" t="n">
        <v>0</v>
      </c>
      <c r="DX32" s="2053" t="n">
        <v>0</v>
      </c>
      <c r="DY32" s="1893"/>
      <c r="DZ32" s="2054" t="n">
        <v>0</v>
      </c>
      <c r="EA32" s="2055" t="n">
        <v>0</v>
      </c>
      <c r="EB32" s="2056" t="n">
        <v>0</v>
      </c>
      <c r="EC32" s="2056" t="n">
        <v>0</v>
      </c>
      <c r="ED32" s="2056" t="n">
        <v>0</v>
      </c>
      <c r="EE32" s="2056" t="n">
        <v>0</v>
      </c>
      <c r="EF32" s="2056" t="n">
        <v>0</v>
      </c>
      <c r="EG32" s="2056" t="n">
        <v>0</v>
      </c>
      <c r="EH32" s="2056" t="n">
        <v>0</v>
      </c>
      <c r="EI32" s="2056" t="n">
        <v>0</v>
      </c>
      <c r="EJ32" s="2056" t="n">
        <v>0</v>
      </c>
      <c r="EK32" s="2056" t="n">
        <v>0</v>
      </c>
      <c r="EL32" s="2057" t="n">
        <v>0</v>
      </c>
      <c r="EM32" s="1893"/>
      <c r="EN32" s="1966" t="n">
        <v>0</v>
      </c>
      <c r="EO32" s="1979" t="n">
        <v>0</v>
      </c>
      <c r="EP32" s="1980" t="n">
        <v>0</v>
      </c>
      <c r="EQ32" s="1980" t="n">
        <v>0</v>
      </c>
      <c r="ER32" s="1980" t="n">
        <v>0</v>
      </c>
      <c r="ES32" s="1980" t="n">
        <v>0</v>
      </c>
      <c r="ET32" s="1980" t="n">
        <v>0</v>
      </c>
      <c r="EU32" s="1980" t="n">
        <v>0</v>
      </c>
      <c r="EV32" s="1980" t="n">
        <v>0</v>
      </c>
      <c r="EW32" s="1980" t="n">
        <v>0</v>
      </c>
      <c r="EX32" s="1980" t="n">
        <v>0</v>
      </c>
      <c r="EY32" s="1980" t="n">
        <v>0</v>
      </c>
      <c r="EZ32" s="1981" t="n">
        <v>0</v>
      </c>
      <c r="FA32" s="1893"/>
      <c r="FB32" s="1967" t="n">
        <v>0</v>
      </c>
      <c r="FC32" s="2058" t="n">
        <v>0</v>
      </c>
      <c r="FD32" s="2059" t="n">
        <v>0</v>
      </c>
      <c r="FE32" s="2059" t="n">
        <v>0</v>
      </c>
      <c r="FF32" s="2059" t="n">
        <v>0</v>
      </c>
      <c r="FG32" s="2059" t="n">
        <v>0</v>
      </c>
      <c r="FH32" s="2059" t="n">
        <v>0</v>
      </c>
      <c r="FI32" s="2059" t="n">
        <v>0</v>
      </c>
      <c r="FJ32" s="2059" t="n">
        <v>0</v>
      </c>
      <c r="FK32" s="2059" t="n">
        <v>0</v>
      </c>
      <c r="FL32" s="2059" t="n">
        <v>0</v>
      </c>
      <c r="FM32" s="2059" t="n">
        <v>0</v>
      </c>
      <c r="FN32" s="2060" t="n">
        <v>0</v>
      </c>
      <c r="FO32" s="1466"/>
      <c r="FP32" s="1466"/>
      <c r="FQ32" s="1466"/>
      <c r="FR32" s="2003"/>
      <c r="FS32" s="2003"/>
      <c r="FT32" s="2003"/>
      <c r="FU32" s="2003"/>
      <c r="FV32" s="2003"/>
      <c r="FW32" s="2003"/>
      <c r="FX32" s="2003"/>
      <c r="FY32" s="2003"/>
      <c r="FZ32" s="2003"/>
      <c r="GA32" s="2003"/>
      <c r="GB32" s="2003"/>
      <c r="GC32" s="2003"/>
      <c r="GD32" s="1466"/>
      <c r="GE32" s="1466"/>
      <c r="GF32" s="2003"/>
      <c r="GG32" s="2003"/>
      <c r="GH32" s="2003"/>
      <c r="GI32" s="2003"/>
      <c r="GJ32" s="2003"/>
      <c r="GK32" s="2003"/>
      <c r="GL32" s="2003"/>
      <c r="GM32" s="2003"/>
      <c r="GN32" s="2003"/>
      <c r="GO32" s="2003"/>
      <c r="GP32" s="2003"/>
      <c r="GQ32" s="2003"/>
      <c r="GR32" s="1466"/>
      <c r="GS32" s="2040"/>
      <c r="GT32" s="2003"/>
      <c r="GU32" s="2003"/>
      <c r="GV32" s="2003"/>
      <c r="GW32" s="2003"/>
      <c r="GX32" s="2003"/>
      <c r="GY32" s="2003"/>
      <c r="GZ32" s="2003"/>
      <c r="HA32" s="2003"/>
      <c r="HB32" s="2003"/>
      <c r="HC32" s="2003"/>
      <c r="HD32" s="2003"/>
      <c r="HE32" s="2003"/>
      <c r="HF32" s="1466"/>
      <c r="HG32" s="1466"/>
      <c r="HH32" s="1321"/>
      <c r="HI32" s="1321"/>
      <c r="HJ32" s="1321"/>
      <c r="HK32" s="1321"/>
      <c r="HL32" s="1321"/>
      <c r="HM32" s="1321"/>
      <c r="HN32" s="1321"/>
      <c r="HO32" s="1321"/>
      <c r="HP32" s="1321"/>
      <c r="HQ32" s="1321"/>
      <c r="HR32" s="1321"/>
      <c r="HS32" s="1321"/>
    </row>
    <row r="33" customFormat="false" ht="10.5" hidden="false" customHeight="true" outlineLevel="0" collapsed="false">
      <c r="A33" s="1641"/>
      <c r="B33" s="2008" t="n">
        <f aca="false">Personnel!A36</f>
        <v>0</v>
      </c>
      <c r="C33" s="1971" t="n">
        <f aca="false">Personnel!P36</f>
        <v>0</v>
      </c>
      <c r="D33" s="1972" t="n">
        <f aca="false">Personnel!Q36</f>
        <v>0</v>
      </c>
      <c r="E33" s="1972" t="n">
        <f aca="false">Personnel!R36</f>
        <v>0</v>
      </c>
      <c r="F33" s="1972" t="n">
        <f aca="false">Personnel!S36</f>
        <v>0</v>
      </c>
      <c r="G33" s="1972" t="n">
        <f aca="false">Personnel!T36</f>
        <v>0</v>
      </c>
      <c r="H33" s="1972" t="n">
        <f aca="false">Personnel!U36</f>
        <v>0</v>
      </c>
      <c r="I33" s="1972" t="n">
        <f aca="false">Personnel!V36</f>
        <v>0</v>
      </c>
      <c r="J33" s="1972" t="n">
        <f aca="false">Personnel!W36</f>
        <v>0</v>
      </c>
      <c r="K33" s="1972" t="n">
        <f aca="false">Personnel!X36</f>
        <v>0</v>
      </c>
      <c r="L33" s="1972" t="n">
        <f aca="false">Personnel!Y36</f>
        <v>0</v>
      </c>
      <c r="M33" s="1972" t="n">
        <f aca="false">Personnel!Z36</f>
        <v>0</v>
      </c>
      <c r="N33" s="1973" t="n">
        <f aca="false">Personnel!AA36</f>
        <v>0</v>
      </c>
      <c r="O33" s="1882"/>
      <c r="P33" s="2009" t="n">
        <f aca="false">B33</f>
        <v>0</v>
      </c>
      <c r="Q33" s="1975" t="n">
        <f aca="false">Personnel!AB36</f>
        <v>0</v>
      </c>
      <c r="R33" s="1976" t="n">
        <f aca="false">Personnel!AC36</f>
        <v>0</v>
      </c>
      <c r="S33" s="1976" t="n">
        <f aca="false">Personnel!AD36</f>
        <v>0</v>
      </c>
      <c r="T33" s="1976" t="n">
        <f aca="false">Personnel!AE36</f>
        <v>0</v>
      </c>
      <c r="U33" s="1976" t="n">
        <f aca="false">Personnel!AF36</f>
        <v>0</v>
      </c>
      <c r="V33" s="1976" t="n">
        <f aca="false">Personnel!AG36</f>
        <v>0</v>
      </c>
      <c r="W33" s="1976" t="n">
        <f aca="false">Personnel!AH36</f>
        <v>0</v>
      </c>
      <c r="X33" s="1976" t="n">
        <f aca="false">Personnel!AI36</f>
        <v>0</v>
      </c>
      <c r="Y33" s="1976" t="n">
        <f aca="false">Personnel!AJ36</f>
        <v>0</v>
      </c>
      <c r="Z33" s="1976" t="n">
        <f aca="false">Personnel!AK36</f>
        <v>0</v>
      </c>
      <c r="AA33" s="1976" t="n">
        <f aca="false">Personnel!AL36</f>
        <v>0</v>
      </c>
      <c r="AB33" s="1977" t="n">
        <f aca="false">Personnel!AM36</f>
        <v>0</v>
      </c>
      <c r="AC33" s="1882"/>
      <c r="AD33" s="2010" t="n">
        <f aca="false">P33</f>
        <v>0</v>
      </c>
      <c r="AE33" s="1979" t="n">
        <f aca="false">Personnel!AN36</f>
        <v>0</v>
      </c>
      <c r="AF33" s="1980" t="n">
        <f aca="false">Personnel!AO36</f>
        <v>0</v>
      </c>
      <c r="AG33" s="1980" t="n">
        <f aca="false">Personnel!AP36</f>
        <v>0</v>
      </c>
      <c r="AH33" s="1980" t="n">
        <f aca="false">Personnel!AQ36</f>
        <v>0</v>
      </c>
      <c r="AI33" s="1980" t="n">
        <f aca="false">Personnel!AR36</f>
        <v>0</v>
      </c>
      <c r="AJ33" s="1980" t="n">
        <f aca="false">Personnel!AS36</f>
        <v>0</v>
      </c>
      <c r="AK33" s="1980" t="n">
        <f aca="false">Personnel!AT36</f>
        <v>0</v>
      </c>
      <c r="AL33" s="1980" t="n">
        <f aca="false">Personnel!AU36</f>
        <v>0</v>
      </c>
      <c r="AM33" s="1980" t="n">
        <f aca="false">Personnel!AV36</f>
        <v>0</v>
      </c>
      <c r="AN33" s="1980" t="n">
        <f aca="false">Personnel!AW36</f>
        <v>0</v>
      </c>
      <c r="AO33" s="1980" t="n">
        <f aca="false">Personnel!AX36</f>
        <v>0</v>
      </c>
      <c r="AP33" s="1981" t="n">
        <f aca="false">Personnel!AY36</f>
        <v>0</v>
      </c>
      <c r="AQ33" s="1882"/>
      <c r="AR33" s="2011" t="n">
        <f aca="false">AD33</f>
        <v>0</v>
      </c>
      <c r="AS33" s="1983" t="n">
        <f aca="false">Personnel!AZ36</f>
        <v>0</v>
      </c>
      <c r="AT33" s="1984" t="n">
        <f aca="false">Personnel!BA36</f>
        <v>0</v>
      </c>
      <c r="AU33" s="1984" t="n">
        <f aca="false">Personnel!BB36</f>
        <v>0</v>
      </c>
      <c r="AV33" s="1984" t="n">
        <f aca="false">Personnel!BC36</f>
        <v>0</v>
      </c>
      <c r="AW33" s="1984" t="n">
        <f aca="false">Personnel!BD36</f>
        <v>0</v>
      </c>
      <c r="AX33" s="1984" t="n">
        <f aca="false">Personnel!BE36</f>
        <v>0</v>
      </c>
      <c r="AY33" s="1984" t="n">
        <f aca="false">Personnel!BF36</f>
        <v>0</v>
      </c>
      <c r="AZ33" s="1984" t="n">
        <f aca="false">Personnel!BG36</f>
        <v>0</v>
      </c>
      <c r="BA33" s="1984" t="n">
        <f aca="false">Personnel!BH36</f>
        <v>0</v>
      </c>
      <c r="BB33" s="1984" t="n">
        <f aca="false">Personnel!BI36</f>
        <v>0</v>
      </c>
      <c r="BC33" s="1984" t="n">
        <f aca="false">Personnel!BJ36</f>
        <v>0</v>
      </c>
      <c r="BD33" s="1985" t="n">
        <f aca="false">Personnel!BK36</f>
        <v>0</v>
      </c>
      <c r="BE33" s="1466"/>
      <c r="BF33" s="1885"/>
      <c r="BG33" s="2102" t="str">
        <f aca="false">Revenue!A120</f>
        <v>Direct Cost of Revenue</v>
      </c>
      <c r="BH33" s="2103" t="str">
        <f aca="false">Revenue!N120</f>
        <v>Month 13</v>
      </c>
      <c r="BI33" s="2103" t="str">
        <f aca="false">Revenue!O120</f>
        <v>Month 14</v>
      </c>
      <c r="BJ33" s="2103" t="str">
        <f aca="false">Revenue!P120</f>
        <v>Month 15</v>
      </c>
      <c r="BK33" s="2103" t="str">
        <f aca="false">Revenue!Q120</f>
        <v>Month 16</v>
      </c>
      <c r="BL33" s="2103" t="str">
        <f aca="false">Revenue!R120</f>
        <v>Month 17</v>
      </c>
      <c r="BM33" s="2103" t="str">
        <f aca="false">Revenue!S120</f>
        <v>Month 18</v>
      </c>
      <c r="BN33" s="2103" t="str">
        <f aca="false">Revenue!T120</f>
        <v>Month 19</v>
      </c>
      <c r="BO33" s="2103" t="str">
        <f aca="false">Revenue!U120</f>
        <v>Month 20</v>
      </c>
      <c r="BP33" s="2103" t="str">
        <f aca="false">Revenue!V120</f>
        <v>Month 21</v>
      </c>
      <c r="BQ33" s="2103" t="str">
        <f aca="false">Revenue!W120</f>
        <v>Month 22</v>
      </c>
      <c r="BR33" s="2103" t="str">
        <f aca="false">Revenue!X120</f>
        <v>Month 23</v>
      </c>
      <c r="BS33" s="2102" t="str">
        <f aca="false">Revenue!Y120</f>
        <v>Month 24</v>
      </c>
      <c r="BT33" s="1888"/>
      <c r="BU33" s="2102" t="str">
        <f aca="false">BG33</f>
        <v>Direct Cost of Revenue</v>
      </c>
      <c r="BV33" s="2102" t="str">
        <f aca="false">Revenue!Z88</f>
        <v>Month 25</v>
      </c>
      <c r="BW33" s="2102" t="str">
        <f aca="false">Revenue!AA88</f>
        <v>Month 26</v>
      </c>
      <c r="BX33" s="2104" t="str">
        <f aca="false">Revenue!AB88</f>
        <v>Month 27</v>
      </c>
      <c r="BY33" s="2102" t="str">
        <f aca="false">Revenue!AC88</f>
        <v>Month 28</v>
      </c>
      <c r="BZ33" s="2102" t="str">
        <f aca="false">Revenue!AD88</f>
        <v>Month 29</v>
      </c>
      <c r="CA33" s="2102" t="str">
        <f aca="false">Revenue!AE88</f>
        <v>Month 30</v>
      </c>
      <c r="CB33" s="2102" t="str">
        <f aca="false">Revenue!AF88</f>
        <v>Month 31</v>
      </c>
      <c r="CC33" s="2102" t="str">
        <f aca="false">Revenue!AG88</f>
        <v>Month 32</v>
      </c>
      <c r="CD33" s="2102" t="str">
        <f aca="false">Revenue!AH88</f>
        <v>Month 33</v>
      </c>
      <c r="CE33" s="2102" t="str">
        <f aca="false">Revenue!AI88</f>
        <v>Month 34</v>
      </c>
      <c r="CF33" s="2102" t="str">
        <f aca="false">Revenue!AJ88</f>
        <v>Month 35</v>
      </c>
      <c r="CG33" s="2102" t="str">
        <f aca="false">Revenue!AK88</f>
        <v>Month 36</v>
      </c>
      <c r="CH33" s="1891"/>
      <c r="CI33" s="2102" t="str">
        <f aca="false">BU33</f>
        <v>Direct Cost of Revenue</v>
      </c>
      <c r="CJ33" s="2103" t="str">
        <f aca="false">Revenue!AL88</f>
        <v>Month 37</v>
      </c>
      <c r="CK33" s="2103" t="str">
        <f aca="false">Revenue!AM88</f>
        <v>Month 38</v>
      </c>
      <c r="CL33" s="2103" t="str">
        <f aca="false">Revenue!AN88</f>
        <v>Month 39</v>
      </c>
      <c r="CM33" s="2103" t="str">
        <f aca="false">Revenue!AO88</f>
        <v>Month 40</v>
      </c>
      <c r="CN33" s="2103" t="str">
        <f aca="false">Revenue!AP88</f>
        <v>Month 41</v>
      </c>
      <c r="CO33" s="2103" t="str">
        <f aca="false">Revenue!AQ88</f>
        <v>Month 42</v>
      </c>
      <c r="CP33" s="2103" t="str">
        <f aca="false">Revenue!AR88</f>
        <v>Month 43</v>
      </c>
      <c r="CQ33" s="2103" t="str">
        <f aca="false">Revenue!AS88</f>
        <v>Month 44</v>
      </c>
      <c r="CR33" s="2103" t="str">
        <f aca="false">Revenue!AT88</f>
        <v>Month 45</v>
      </c>
      <c r="CS33" s="2103" t="str">
        <f aca="false">Revenue!AU88</f>
        <v>Month 46</v>
      </c>
      <c r="CT33" s="2103" t="str">
        <f aca="false">Revenue!AV88</f>
        <v>Month 47</v>
      </c>
      <c r="CU33" s="2103" t="str">
        <f aca="false">Revenue!AW88</f>
        <v>Month 48</v>
      </c>
      <c r="CV33" s="1888"/>
      <c r="CW33" s="2103" t="str">
        <f aca="false">CI33</f>
        <v>Direct Cost of Revenue</v>
      </c>
      <c r="CX33" s="2102" t="str">
        <f aca="false">Revenue!AX88</f>
        <v>Month 49</v>
      </c>
      <c r="CY33" s="2102" t="str">
        <f aca="false">Revenue!AY88</f>
        <v>Month 50</v>
      </c>
      <c r="CZ33" s="2102" t="str">
        <f aca="false">Revenue!AZ88</f>
        <v>Month 51</v>
      </c>
      <c r="DA33" s="2102" t="str">
        <f aca="false">Revenue!BA88</f>
        <v>Month 52</v>
      </c>
      <c r="DB33" s="2102" t="str">
        <f aca="false">Revenue!BB88</f>
        <v>Month 53</v>
      </c>
      <c r="DC33" s="2102" t="str">
        <f aca="false">Revenue!BC88</f>
        <v>Month 54</v>
      </c>
      <c r="DD33" s="2102" t="str">
        <f aca="false">Revenue!BD88</f>
        <v>Month 55</v>
      </c>
      <c r="DE33" s="2102" t="str">
        <f aca="false">Revenue!BE88</f>
        <v>Month 56</v>
      </c>
      <c r="DF33" s="2102" t="str">
        <f aca="false">Revenue!BF88</f>
        <v>Month 57</v>
      </c>
      <c r="DG33" s="2102" t="str">
        <f aca="false">Revenue!BG88</f>
        <v>Month 58</v>
      </c>
      <c r="DH33" s="2102" t="str">
        <f aca="false">Revenue!BH88</f>
        <v>Month 59</v>
      </c>
      <c r="DI33" s="2102" t="str">
        <f aca="false">Revenue!BI88</f>
        <v>Month 60</v>
      </c>
      <c r="DJ33" s="1466"/>
      <c r="DK33" s="1163"/>
      <c r="DL33" s="1958" t="n">
        <v>0</v>
      </c>
      <c r="DM33" s="2051" t="n">
        <v>0</v>
      </c>
      <c r="DN33" s="2052" t="n">
        <v>0</v>
      </c>
      <c r="DO33" s="2052" t="n">
        <v>0</v>
      </c>
      <c r="DP33" s="2052" t="n">
        <v>0</v>
      </c>
      <c r="DQ33" s="2052" t="n">
        <v>0</v>
      </c>
      <c r="DR33" s="2052" t="n">
        <v>0</v>
      </c>
      <c r="DS33" s="2052" t="n">
        <v>0</v>
      </c>
      <c r="DT33" s="2052" t="n">
        <v>0</v>
      </c>
      <c r="DU33" s="2052" t="n">
        <v>0</v>
      </c>
      <c r="DV33" s="2052" t="n">
        <v>0</v>
      </c>
      <c r="DW33" s="2052" t="n">
        <v>0</v>
      </c>
      <c r="DX33" s="2053" t="n">
        <v>0</v>
      </c>
      <c r="DY33" s="1893"/>
      <c r="DZ33" s="2054" t="n">
        <v>0</v>
      </c>
      <c r="EA33" s="2055" t="n">
        <v>0</v>
      </c>
      <c r="EB33" s="2056" t="n">
        <v>0</v>
      </c>
      <c r="EC33" s="2056" t="n">
        <v>0</v>
      </c>
      <c r="ED33" s="2056" t="n">
        <v>0</v>
      </c>
      <c r="EE33" s="2056" t="n">
        <v>0</v>
      </c>
      <c r="EF33" s="2056" t="n">
        <v>0</v>
      </c>
      <c r="EG33" s="2056" t="n">
        <v>0</v>
      </c>
      <c r="EH33" s="2056" t="n">
        <v>0</v>
      </c>
      <c r="EI33" s="2056" t="n">
        <v>0</v>
      </c>
      <c r="EJ33" s="2056" t="n">
        <v>0</v>
      </c>
      <c r="EK33" s="2056" t="n">
        <v>0</v>
      </c>
      <c r="EL33" s="2057" t="n">
        <v>0</v>
      </c>
      <c r="EM33" s="1893"/>
      <c r="EN33" s="1966" t="n">
        <v>0</v>
      </c>
      <c r="EO33" s="1979" t="n">
        <v>0</v>
      </c>
      <c r="EP33" s="1980" t="n">
        <v>0</v>
      </c>
      <c r="EQ33" s="1980" t="n">
        <v>0</v>
      </c>
      <c r="ER33" s="1980" t="n">
        <v>0</v>
      </c>
      <c r="ES33" s="1980" t="n">
        <v>0</v>
      </c>
      <c r="ET33" s="1980" t="n">
        <v>0</v>
      </c>
      <c r="EU33" s="1980" t="n">
        <v>0</v>
      </c>
      <c r="EV33" s="1980" t="n">
        <v>0</v>
      </c>
      <c r="EW33" s="1980" t="n">
        <v>0</v>
      </c>
      <c r="EX33" s="1980" t="n">
        <v>0</v>
      </c>
      <c r="EY33" s="1980" t="n">
        <v>0</v>
      </c>
      <c r="EZ33" s="1981" t="n">
        <v>0</v>
      </c>
      <c r="FA33" s="1893"/>
      <c r="FB33" s="1967" t="n">
        <v>0</v>
      </c>
      <c r="FC33" s="2058" t="n">
        <v>0</v>
      </c>
      <c r="FD33" s="2059" t="n">
        <v>0</v>
      </c>
      <c r="FE33" s="2059" t="n">
        <v>0</v>
      </c>
      <c r="FF33" s="2059" t="n">
        <v>0</v>
      </c>
      <c r="FG33" s="2059" t="n">
        <v>0</v>
      </c>
      <c r="FH33" s="2059" t="n">
        <v>0</v>
      </c>
      <c r="FI33" s="2059" t="n">
        <v>0</v>
      </c>
      <c r="FJ33" s="2059" t="n">
        <v>0</v>
      </c>
      <c r="FK33" s="2059" t="n">
        <v>0</v>
      </c>
      <c r="FL33" s="2059" t="n">
        <v>0</v>
      </c>
      <c r="FM33" s="2059" t="n">
        <v>0</v>
      </c>
      <c r="FN33" s="2060" t="n">
        <v>0</v>
      </c>
      <c r="FO33" s="1466"/>
      <c r="FP33" s="1466"/>
      <c r="FQ33" s="1466"/>
      <c r="FR33" s="2003"/>
      <c r="FS33" s="2003"/>
      <c r="FT33" s="2003"/>
      <c r="FU33" s="2003"/>
      <c r="FV33" s="2003"/>
      <c r="FW33" s="2003"/>
      <c r="FX33" s="2003"/>
      <c r="FY33" s="2003"/>
      <c r="FZ33" s="2003"/>
      <c r="GA33" s="2003"/>
      <c r="GB33" s="2003"/>
      <c r="GC33" s="2003"/>
      <c r="GD33" s="1466"/>
      <c r="GE33" s="1466"/>
      <c r="GF33" s="2003"/>
      <c r="GG33" s="2003"/>
      <c r="GH33" s="2003"/>
      <c r="GI33" s="2003"/>
      <c r="GJ33" s="2003"/>
      <c r="GK33" s="2003"/>
      <c r="GL33" s="2003"/>
      <c r="GM33" s="2003"/>
      <c r="GN33" s="2003"/>
      <c r="GO33" s="2003"/>
      <c r="GP33" s="2003"/>
      <c r="GQ33" s="2003"/>
      <c r="GR33" s="1466"/>
      <c r="GS33" s="2040"/>
      <c r="GT33" s="2003"/>
      <c r="GU33" s="2003"/>
      <c r="GV33" s="2003"/>
      <c r="GW33" s="2003"/>
      <c r="GX33" s="2003"/>
      <c r="GY33" s="2003"/>
      <c r="GZ33" s="2003"/>
      <c r="HA33" s="2003"/>
      <c r="HB33" s="2003"/>
      <c r="HC33" s="2003"/>
      <c r="HD33" s="2003"/>
      <c r="HE33" s="2003"/>
      <c r="HF33" s="1466"/>
      <c r="HG33" s="1466"/>
      <c r="HH33" s="1321"/>
      <c r="HI33" s="1321"/>
      <c r="HJ33" s="1321"/>
      <c r="HK33" s="1321"/>
      <c r="HL33" s="1321"/>
      <c r="HM33" s="1321"/>
      <c r="HN33" s="1321"/>
      <c r="HO33" s="1321"/>
      <c r="HP33" s="1321"/>
      <c r="HQ33" s="1321"/>
      <c r="HR33" s="1321"/>
      <c r="HS33" s="1321"/>
    </row>
    <row r="34" customFormat="false" ht="10.5" hidden="false" customHeight="true" outlineLevel="0" collapsed="false">
      <c r="A34" s="1641"/>
      <c r="B34" s="2008" t="n">
        <f aca="false">Personnel!A37</f>
        <v>0</v>
      </c>
      <c r="C34" s="1971" t="n">
        <f aca="false">Personnel!P37</f>
        <v>0</v>
      </c>
      <c r="D34" s="1972" t="n">
        <f aca="false">Personnel!Q37</f>
        <v>0</v>
      </c>
      <c r="E34" s="1972" t="n">
        <f aca="false">Personnel!R37</f>
        <v>0</v>
      </c>
      <c r="F34" s="1972" t="n">
        <f aca="false">Personnel!S37</f>
        <v>0</v>
      </c>
      <c r="G34" s="1972" t="n">
        <f aca="false">Personnel!T37</f>
        <v>0</v>
      </c>
      <c r="H34" s="1972" t="n">
        <f aca="false">Personnel!U37</f>
        <v>0</v>
      </c>
      <c r="I34" s="1972" t="n">
        <f aca="false">Personnel!V37</f>
        <v>0</v>
      </c>
      <c r="J34" s="1972" t="n">
        <f aca="false">Personnel!W37</f>
        <v>0</v>
      </c>
      <c r="K34" s="1972" t="n">
        <f aca="false">Personnel!X37</f>
        <v>0</v>
      </c>
      <c r="L34" s="1972" t="n">
        <f aca="false">Personnel!Y37</f>
        <v>0</v>
      </c>
      <c r="M34" s="1972" t="n">
        <f aca="false">Personnel!Z37</f>
        <v>0</v>
      </c>
      <c r="N34" s="1973" t="n">
        <f aca="false">Personnel!AA37</f>
        <v>0</v>
      </c>
      <c r="O34" s="1882"/>
      <c r="P34" s="2009" t="n">
        <f aca="false">B34</f>
        <v>0</v>
      </c>
      <c r="Q34" s="1975" t="n">
        <f aca="false">Personnel!AB37</f>
        <v>0</v>
      </c>
      <c r="R34" s="1976" t="n">
        <f aca="false">Personnel!AC37</f>
        <v>0</v>
      </c>
      <c r="S34" s="1976" t="n">
        <f aca="false">Personnel!AD37</f>
        <v>0</v>
      </c>
      <c r="T34" s="1976" t="n">
        <f aca="false">Personnel!AE37</f>
        <v>0</v>
      </c>
      <c r="U34" s="1976" t="n">
        <f aca="false">Personnel!AF37</f>
        <v>0</v>
      </c>
      <c r="V34" s="1976" t="n">
        <f aca="false">Personnel!AG37</f>
        <v>0</v>
      </c>
      <c r="W34" s="1976" t="n">
        <f aca="false">Personnel!AH37</f>
        <v>0</v>
      </c>
      <c r="X34" s="1976" t="n">
        <f aca="false">Personnel!AI37</f>
        <v>0</v>
      </c>
      <c r="Y34" s="1976" t="n">
        <f aca="false">Personnel!AJ37</f>
        <v>0</v>
      </c>
      <c r="Z34" s="1976" t="n">
        <f aca="false">Personnel!AK37</f>
        <v>0</v>
      </c>
      <c r="AA34" s="1976" t="n">
        <f aca="false">Personnel!AL37</f>
        <v>0</v>
      </c>
      <c r="AB34" s="1977" t="n">
        <f aca="false">Personnel!AM37</f>
        <v>0</v>
      </c>
      <c r="AC34" s="1882"/>
      <c r="AD34" s="2010" t="n">
        <f aca="false">P34</f>
        <v>0</v>
      </c>
      <c r="AE34" s="1979" t="n">
        <f aca="false">Personnel!AN37</f>
        <v>0</v>
      </c>
      <c r="AF34" s="1980" t="n">
        <f aca="false">Personnel!AO37</f>
        <v>0</v>
      </c>
      <c r="AG34" s="1980" t="n">
        <f aca="false">Personnel!AP37</f>
        <v>0</v>
      </c>
      <c r="AH34" s="1980" t="n">
        <f aca="false">Personnel!AQ37</f>
        <v>0</v>
      </c>
      <c r="AI34" s="1980" t="n">
        <f aca="false">Personnel!AR37</f>
        <v>0</v>
      </c>
      <c r="AJ34" s="1980" t="n">
        <f aca="false">Personnel!AS37</f>
        <v>0</v>
      </c>
      <c r="AK34" s="1980" t="n">
        <f aca="false">Personnel!AT37</f>
        <v>0</v>
      </c>
      <c r="AL34" s="1980" t="n">
        <f aca="false">Personnel!AU37</f>
        <v>0</v>
      </c>
      <c r="AM34" s="1980" t="n">
        <f aca="false">Personnel!AV37</f>
        <v>0</v>
      </c>
      <c r="AN34" s="1980" t="n">
        <f aca="false">Personnel!AW37</f>
        <v>0</v>
      </c>
      <c r="AO34" s="1980" t="n">
        <f aca="false">Personnel!AX37</f>
        <v>0</v>
      </c>
      <c r="AP34" s="1981" t="n">
        <f aca="false">Personnel!AY37</f>
        <v>0</v>
      </c>
      <c r="AQ34" s="1882"/>
      <c r="AR34" s="2011" t="n">
        <f aca="false">AD34</f>
        <v>0</v>
      </c>
      <c r="AS34" s="1983" t="n">
        <f aca="false">Personnel!AZ37</f>
        <v>0</v>
      </c>
      <c r="AT34" s="1984" t="n">
        <f aca="false">Personnel!BA37</f>
        <v>0</v>
      </c>
      <c r="AU34" s="1984" t="n">
        <f aca="false">Personnel!BB37</f>
        <v>0</v>
      </c>
      <c r="AV34" s="1984" t="n">
        <f aca="false">Personnel!BC37</f>
        <v>0</v>
      </c>
      <c r="AW34" s="1984" t="n">
        <f aca="false">Personnel!BD37</f>
        <v>0</v>
      </c>
      <c r="AX34" s="1984" t="n">
        <f aca="false">Personnel!BE37</f>
        <v>0</v>
      </c>
      <c r="AY34" s="1984" t="n">
        <f aca="false">Personnel!BF37</f>
        <v>0</v>
      </c>
      <c r="AZ34" s="1984" t="n">
        <f aca="false">Personnel!BG37</f>
        <v>0</v>
      </c>
      <c r="BA34" s="1984" t="n">
        <f aca="false">Personnel!BH37</f>
        <v>0</v>
      </c>
      <c r="BB34" s="1984" t="n">
        <f aca="false">Personnel!BI37</f>
        <v>0</v>
      </c>
      <c r="BC34" s="1984" t="n">
        <f aca="false">Personnel!BJ37</f>
        <v>0</v>
      </c>
      <c r="BD34" s="1985" t="n">
        <f aca="false">Personnel!BK37</f>
        <v>0</v>
      </c>
      <c r="BE34" s="1466"/>
      <c r="BF34" s="1885"/>
      <c r="BG34" s="2108" t="str">
        <f aca="false">Revenue!A121</f>
        <v>CS-2.5</v>
      </c>
      <c r="BH34" s="2109" t="n">
        <f aca="false">Revenue!N121</f>
        <v>23031</v>
      </c>
      <c r="BI34" s="2109" t="n">
        <f aca="false">Revenue!O121</f>
        <v>25590</v>
      </c>
      <c r="BJ34" s="2109" t="n">
        <f aca="false">Revenue!P121</f>
        <v>28149</v>
      </c>
      <c r="BK34" s="2109" t="n">
        <f aca="false">Revenue!Q121</f>
        <v>30708</v>
      </c>
      <c r="BL34" s="2109" t="n">
        <f aca="false">Revenue!R121</f>
        <v>33267</v>
      </c>
      <c r="BM34" s="2109" t="n">
        <f aca="false">Revenue!S121</f>
        <v>35826.0000000001</v>
      </c>
      <c r="BN34" s="2109" t="n">
        <f aca="false">Revenue!T121</f>
        <v>38385.0000000001</v>
      </c>
      <c r="BO34" s="2109" t="n">
        <f aca="false">Revenue!U121</f>
        <v>40944</v>
      </c>
      <c r="BP34" s="2109" t="n">
        <f aca="false">Revenue!V121</f>
        <v>43502.9999999999</v>
      </c>
      <c r="BQ34" s="2109" t="n">
        <f aca="false">Revenue!W121</f>
        <v>46061.9999999999</v>
      </c>
      <c r="BR34" s="2109" t="n">
        <f aca="false">Revenue!X121</f>
        <v>48621.0000000001</v>
      </c>
      <c r="BS34" s="2108" t="n">
        <f aca="false">Revenue!Y121</f>
        <v>51180.0000000001</v>
      </c>
      <c r="BT34" s="1888"/>
      <c r="BU34" s="1952" t="str">
        <f aca="false">BG34</f>
        <v>CS-2.5</v>
      </c>
      <c r="BV34" s="1952" t="n">
        <f aca="false">Revenue!Z89</f>
        <v>120906.25</v>
      </c>
      <c r="BW34" s="1952" t="n">
        <f aca="false">Revenue!AA89</f>
        <v>120906.25</v>
      </c>
      <c r="BX34" s="1953" t="n">
        <f aca="false">Revenue!AB89</f>
        <v>120906.25</v>
      </c>
      <c r="BY34" s="1952" t="n">
        <f aca="false">Revenue!AC89</f>
        <v>120906.25</v>
      </c>
      <c r="BZ34" s="1952" t="n">
        <f aca="false">Revenue!AD89</f>
        <v>120906.25</v>
      </c>
      <c r="CA34" s="1952" t="n">
        <f aca="false">Revenue!AE89</f>
        <v>120906.25</v>
      </c>
      <c r="CB34" s="1952" t="n">
        <f aca="false">Revenue!AF89</f>
        <v>120906.25</v>
      </c>
      <c r="CC34" s="1952" t="n">
        <f aca="false">Revenue!AG89</f>
        <v>120906.25</v>
      </c>
      <c r="CD34" s="1952" t="n">
        <f aca="false">Revenue!AH89</f>
        <v>120906.25</v>
      </c>
      <c r="CE34" s="1952" t="n">
        <f aca="false">Revenue!AI89</f>
        <v>120906.25</v>
      </c>
      <c r="CF34" s="1952" t="n">
        <f aca="false">Revenue!AJ89</f>
        <v>120906.25</v>
      </c>
      <c r="CG34" s="1952" t="n">
        <f aca="false">Revenue!AK89</f>
        <v>120906.25</v>
      </c>
      <c r="CH34" s="1891"/>
      <c r="CI34" s="1954" t="str">
        <f aca="false">BU34</f>
        <v>CS-2.5</v>
      </c>
      <c r="CJ34" s="1955" t="n">
        <f aca="false">Revenue!AL89</f>
        <v>130981.770833334</v>
      </c>
      <c r="CK34" s="1955" t="n">
        <f aca="false">Revenue!AM89</f>
        <v>130981.770833334</v>
      </c>
      <c r="CL34" s="1955" t="n">
        <f aca="false">Revenue!AN89</f>
        <v>130981.770833334</v>
      </c>
      <c r="CM34" s="1955" t="n">
        <f aca="false">Revenue!AO89</f>
        <v>130981.770833334</v>
      </c>
      <c r="CN34" s="1955" t="n">
        <f aca="false">Revenue!AP89</f>
        <v>130981.770833334</v>
      </c>
      <c r="CO34" s="1955" t="n">
        <f aca="false">Revenue!AQ89</f>
        <v>130981.770833334</v>
      </c>
      <c r="CP34" s="1955" t="n">
        <f aca="false">Revenue!AR89</f>
        <v>130981.770833334</v>
      </c>
      <c r="CQ34" s="1955" t="n">
        <f aca="false">Revenue!AS89</f>
        <v>130981.770833334</v>
      </c>
      <c r="CR34" s="1955" t="n">
        <f aca="false">Revenue!AT89</f>
        <v>130981.770833334</v>
      </c>
      <c r="CS34" s="1955" t="n">
        <f aca="false">Revenue!AU89</f>
        <v>130981.770833334</v>
      </c>
      <c r="CT34" s="1955" t="n">
        <f aca="false">Revenue!AV89</f>
        <v>130981.770833334</v>
      </c>
      <c r="CU34" s="1955" t="n">
        <f aca="false">Revenue!AW89</f>
        <v>130981.770833334</v>
      </c>
      <c r="CV34" s="1888"/>
      <c r="CW34" s="1956" t="str">
        <f aca="false">CI34</f>
        <v>CS-2.5</v>
      </c>
      <c r="CX34" s="1957" t="n">
        <f aca="false">Revenue!AX89</f>
        <v>141057.291666667</v>
      </c>
      <c r="CY34" s="1957" t="n">
        <f aca="false">Revenue!AY89</f>
        <v>141057.291666667</v>
      </c>
      <c r="CZ34" s="1957" t="n">
        <f aca="false">Revenue!AZ89</f>
        <v>141057.291666667</v>
      </c>
      <c r="DA34" s="1957" t="n">
        <f aca="false">Revenue!BA89</f>
        <v>141057.291666667</v>
      </c>
      <c r="DB34" s="1957" t="n">
        <f aca="false">Revenue!BB89</f>
        <v>141057.291666667</v>
      </c>
      <c r="DC34" s="1957" t="n">
        <f aca="false">Revenue!BC89</f>
        <v>141057.291666667</v>
      </c>
      <c r="DD34" s="1957" t="n">
        <f aca="false">Revenue!BD89</f>
        <v>141057.291666667</v>
      </c>
      <c r="DE34" s="1957" t="n">
        <f aca="false">Revenue!BE89</f>
        <v>141057.291666667</v>
      </c>
      <c r="DF34" s="1957" t="n">
        <f aca="false">Revenue!BF89</f>
        <v>141057.291666667</v>
      </c>
      <c r="DG34" s="1957" t="n">
        <f aca="false">Revenue!BG89</f>
        <v>141057.291666667</v>
      </c>
      <c r="DH34" s="1957" t="n">
        <f aca="false">Revenue!BH89</f>
        <v>141057.291666667</v>
      </c>
      <c r="DI34" s="1957" t="n">
        <f aca="false">Revenue!BI89</f>
        <v>141057.291666667</v>
      </c>
      <c r="DJ34" s="1466"/>
      <c r="DK34" s="1163"/>
      <c r="DL34" s="1958" t="n">
        <v>0</v>
      </c>
      <c r="DM34" s="2051" t="n">
        <v>0</v>
      </c>
      <c r="DN34" s="2052" t="n">
        <v>0</v>
      </c>
      <c r="DO34" s="2052" t="n">
        <v>0</v>
      </c>
      <c r="DP34" s="2052" t="n">
        <v>0</v>
      </c>
      <c r="DQ34" s="2052" t="n">
        <v>0</v>
      </c>
      <c r="DR34" s="2052" t="n">
        <v>0</v>
      </c>
      <c r="DS34" s="2052" t="n">
        <v>0</v>
      </c>
      <c r="DT34" s="2052" t="n">
        <v>0</v>
      </c>
      <c r="DU34" s="2052" t="n">
        <v>0</v>
      </c>
      <c r="DV34" s="2052" t="n">
        <v>0</v>
      </c>
      <c r="DW34" s="2052" t="n">
        <v>0</v>
      </c>
      <c r="DX34" s="2053" t="n">
        <v>0</v>
      </c>
      <c r="DY34" s="1893"/>
      <c r="DZ34" s="2054" t="n">
        <v>0</v>
      </c>
      <c r="EA34" s="2055" t="n">
        <v>0</v>
      </c>
      <c r="EB34" s="2056" t="n">
        <v>0</v>
      </c>
      <c r="EC34" s="2056" t="n">
        <v>0</v>
      </c>
      <c r="ED34" s="2056" t="n">
        <v>0</v>
      </c>
      <c r="EE34" s="2056" t="n">
        <v>0</v>
      </c>
      <c r="EF34" s="2056" t="n">
        <v>0</v>
      </c>
      <c r="EG34" s="2056" t="n">
        <v>0</v>
      </c>
      <c r="EH34" s="2056" t="n">
        <v>0</v>
      </c>
      <c r="EI34" s="2056" t="n">
        <v>0</v>
      </c>
      <c r="EJ34" s="2056" t="n">
        <v>0</v>
      </c>
      <c r="EK34" s="2056" t="n">
        <v>0</v>
      </c>
      <c r="EL34" s="2057" t="n">
        <v>0</v>
      </c>
      <c r="EM34" s="1893"/>
      <c r="EN34" s="1966" t="n">
        <v>0</v>
      </c>
      <c r="EO34" s="1979" t="n">
        <v>0</v>
      </c>
      <c r="EP34" s="1980" t="n">
        <v>0</v>
      </c>
      <c r="EQ34" s="1980" t="n">
        <v>0</v>
      </c>
      <c r="ER34" s="1980" t="n">
        <v>0</v>
      </c>
      <c r="ES34" s="1980" t="n">
        <v>0</v>
      </c>
      <c r="ET34" s="1980" t="n">
        <v>0</v>
      </c>
      <c r="EU34" s="1980" t="n">
        <v>0</v>
      </c>
      <c r="EV34" s="1980" t="n">
        <v>0</v>
      </c>
      <c r="EW34" s="1980" t="n">
        <v>0</v>
      </c>
      <c r="EX34" s="1980" t="n">
        <v>0</v>
      </c>
      <c r="EY34" s="1980" t="n">
        <v>0</v>
      </c>
      <c r="EZ34" s="1981" t="n">
        <v>0</v>
      </c>
      <c r="FA34" s="1893"/>
      <c r="FB34" s="1967" t="n">
        <v>0</v>
      </c>
      <c r="FC34" s="2058" t="n">
        <v>0</v>
      </c>
      <c r="FD34" s="2059" t="n">
        <v>0</v>
      </c>
      <c r="FE34" s="2059" t="n">
        <v>0</v>
      </c>
      <c r="FF34" s="2059" t="n">
        <v>0</v>
      </c>
      <c r="FG34" s="2059" t="n">
        <v>0</v>
      </c>
      <c r="FH34" s="2059" t="n">
        <v>0</v>
      </c>
      <c r="FI34" s="2059" t="n">
        <v>0</v>
      </c>
      <c r="FJ34" s="2059" t="n">
        <v>0</v>
      </c>
      <c r="FK34" s="2059" t="n">
        <v>0</v>
      </c>
      <c r="FL34" s="2059" t="n">
        <v>0</v>
      </c>
      <c r="FM34" s="2059" t="n">
        <v>0</v>
      </c>
      <c r="FN34" s="2060" t="n">
        <v>0</v>
      </c>
      <c r="FO34" s="1466"/>
      <c r="FP34" s="1466"/>
      <c r="FQ34" s="1466"/>
      <c r="FR34" s="2003"/>
      <c r="FS34" s="2003"/>
      <c r="FT34" s="2003"/>
      <c r="FU34" s="2003"/>
      <c r="FV34" s="2003"/>
      <c r="FW34" s="2003"/>
      <c r="FX34" s="2003"/>
      <c r="FY34" s="2003"/>
      <c r="FZ34" s="2003"/>
      <c r="GA34" s="2003"/>
      <c r="GB34" s="2003"/>
      <c r="GC34" s="2003"/>
      <c r="GD34" s="1466"/>
      <c r="GE34" s="1466"/>
      <c r="GF34" s="2003"/>
      <c r="GG34" s="2003"/>
      <c r="GH34" s="2003"/>
      <c r="GI34" s="2003"/>
      <c r="GJ34" s="2003"/>
      <c r="GK34" s="2003"/>
      <c r="GL34" s="2003"/>
      <c r="GM34" s="2003"/>
      <c r="GN34" s="2003"/>
      <c r="GO34" s="2003"/>
      <c r="GP34" s="2003"/>
      <c r="GQ34" s="2003"/>
      <c r="GR34" s="1466"/>
      <c r="GS34" s="2040"/>
      <c r="GT34" s="2003"/>
      <c r="GU34" s="2003"/>
      <c r="GV34" s="2003"/>
      <c r="GW34" s="2003"/>
      <c r="GX34" s="2003"/>
      <c r="GY34" s="2003"/>
      <c r="GZ34" s="2003"/>
      <c r="HA34" s="2003"/>
      <c r="HB34" s="2003"/>
      <c r="HC34" s="2003"/>
      <c r="HD34" s="2003"/>
      <c r="HE34" s="2003"/>
      <c r="HF34" s="1466"/>
      <c r="HG34" s="1466"/>
      <c r="HH34" s="1321"/>
      <c r="HI34" s="1321"/>
      <c r="HJ34" s="1321"/>
      <c r="HK34" s="1321"/>
      <c r="HL34" s="1321"/>
      <c r="HM34" s="1321"/>
      <c r="HN34" s="1321"/>
      <c r="HO34" s="1321"/>
      <c r="HP34" s="1321"/>
      <c r="HQ34" s="1321"/>
      <c r="HR34" s="1321"/>
      <c r="HS34" s="1321"/>
    </row>
    <row r="35" customFormat="false" ht="10.5" hidden="false" customHeight="true" outlineLevel="0" collapsed="false">
      <c r="A35" s="1641"/>
      <c r="B35" s="2008" t="n">
        <f aca="false">Personnel!A38</f>
        <v>0</v>
      </c>
      <c r="C35" s="1971" t="n">
        <f aca="false">Personnel!P38</f>
        <v>0</v>
      </c>
      <c r="D35" s="1972" t="n">
        <f aca="false">Personnel!Q38</f>
        <v>0</v>
      </c>
      <c r="E35" s="1972" t="n">
        <f aca="false">Personnel!R38</f>
        <v>0</v>
      </c>
      <c r="F35" s="1972" t="n">
        <f aca="false">Personnel!S38</f>
        <v>0</v>
      </c>
      <c r="G35" s="1972" t="n">
        <f aca="false">Personnel!T38</f>
        <v>0</v>
      </c>
      <c r="H35" s="1972" t="n">
        <f aca="false">Personnel!U38</f>
        <v>0</v>
      </c>
      <c r="I35" s="1972" t="n">
        <f aca="false">Personnel!V38</f>
        <v>0</v>
      </c>
      <c r="J35" s="1972" t="n">
        <f aca="false">Personnel!W38</f>
        <v>0</v>
      </c>
      <c r="K35" s="1972" t="n">
        <f aca="false">Personnel!X38</f>
        <v>0</v>
      </c>
      <c r="L35" s="1972" t="n">
        <f aca="false">Personnel!Y38</f>
        <v>0</v>
      </c>
      <c r="M35" s="1972" t="n">
        <f aca="false">Personnel!Z38</f>
        <v>0</v>
      </c>
      <c r="N35" s="1973" t="n">
        <f aca="false">Personnel!AA38</f>
        <v>0</v>
      </c>
      <c r="O35" s="1882"/>
      <c r="P35" s="2009" t="n">
        <f aca="false">B35</f>
        <v>0</v>
      </c>
      <c r="Q35" s="1975" t="n">
        <f aca="false">Personnel!AB38</f>
        <v>0</v>
      </c>
      <c r="R35" s="1976" t="n">
        <f aca="false">Personnel!AC38</f>
        <v>0</v>
      </c>
      <c r="S35" s="1976" t="n">
        <f aca="false">Personnel!AD38</f>
        <v>0</v>
      </c>
      <c r="T35" s="1976" t="n">
        <f aca="false">Personnel!AE38</f>
        <v>0</v>
      </c>
      <c r="U35" s="1976" t="n">
        <f aca="false">Personnel!AF38</f>
        <v>0</v>
      </c>
      <c r="V35" s="1976" t="n">
        <f aca="false">Personnel!AG38</f>
        <v>0</v>
      </c>
      <c r="W35" s="1976" t="n">
        <f aca="false">Personnel!AH38</f>
        <v>0</v>
      </c>
      <c r="X35" s="1976" t="n">
        <f aca="false">Personnel!AI38</f>
        <v>0</v>
      </c>
      <c r="Y35" s="1976" t="n">
        <f aca="false">Personnel!AJ38</f>
        <v>0</v>
      </c>
      <c r="Z35" s="1976" t="n">
        <f aca="false">Personnel!AK38</f>
        <v>0</v>
      </c>
      <c r="AA35" s="1976" t="n">
        <f aca="false">Personnel!AL38</f>
        <v>0</v>
      </c>
      <c r="AB35" s="1977" t="n">
        <f aca="false">Personnel!AM38</f>
        <v>0</v>
      </c>
      <c r="AC35" s="1882"/>
      <c r="AD35" s="2010" t="n">
        <f aca="false">P35</f>
        <v>0</v>
      </c>
      <c r="AE35" s="1979" t="n">
        <f aca="false">Personnel!AN38</f>
        <v>0</v>
      </c>
      <c r="AF35" s="1980" t="n">
        <f aca="false">Personnel!AO38</f>
        <v>0</v>
      </c>
      <c r="AG35" s="1980" t="n">
        <f aca="false">Personnel!AP38</f>
        <v>0</v>
      </c>
      <c r="AH35" s="1980" t="n">
        <f aca="false">Personnel!AQ38</f>
        <v>0</v>
      </c>
      <c r="AI35" s="1980" t="n">
        <f aca="false">Personnel!AR38</f>
        <v>0</v>
      </c>
      <c r="AJ35" s="1980" t="n">
        <f aca="false">Personnel!AS38</f>
        <v>0</v>
      </c>
      <c r="AK35" s="1980" t="n">
        <f aca="false">Personnel!AT38</f>
        <v>0</v>
      </c>
      <c r="AL35" s="1980" t="n">
        <f aca="false">Personnel!AU38</f>
        <v>0</v>
      </c>
      <c r="AM35" s="1980" t="n">
        <f aca="false">Personnel!AV38</f>
        <v>0</v>
      </c>
      <c r="AN35" s="1980" t="n">
        <f aca="false">Personnel!AW38</f>
        <v>0</v>
      </c>
      <c r="AO35" s="1980" t="n">
        <f aca="false">Personnel!AX38</f>
        <v>0</v>
      </c>
      <c r="AP35" s="1981" t="n">
        <f aca="false">Personnel!AY38</f>
        <v>0</v>
      </c>
      <c r="AQ35" s="1882"/>
      <c r="AR35" s="2011" t="n">
        <f aca="false">AD35</f>
        <v>0</v>
      </c>
      <c r="AS35" s="1983" t="n">
        <f aca="false">Personnel!AZ38</f>
        <v>0</v>
      </c>
      <c r="AT35" s="1984" t="n">
        <f aca="false">Personnel!BA38</f>
        <v>0</v>
      </c>
      <c r="AU35" s="1984" t="n">
        <f aca="false">Personnel!BB38</f>
        <v>0</v>
      </c>
      <c r="AV35" s="1984" t="n">
        <f aca="false">Personnel!BC38</f>
        <v>0</v>
      </c>
      <c r="AW35" s="1984" t="n">
        <f aca="false">Personnel!BD38</f>
        <v>0</v>
      </c>
      <c r="AX35" s="1984" t="n">
        <f aca="false">Personnel!BE38</f>
        <v>0</v>
      </c>
      <c r="AY35" s="1984" t="n">
        <f aca="false">Personnel!BF38</f>
        <v>0</v>
      </c>
      <c r="AZ35" s="1984" t="n">
        <f aca="false">Personnel!BG38</f>
        <v>0</v>
      </c>
      <c r="BA35" s="1984" t="n">
        <f aca="false">Personnel!BH38</f>
        <v>0</v>
      </c>
      <c r="BB35" s="1984" t="n">
        <f aca="false">Personnel!BI38</f>
        <v>0</v>
      </c>
      <c r="BC35" s="1984" t="n">
        <f aca="false">Personnel!BJ38</f>
        <v>0</v>
      </c>
      <c r="BD35" s="1985" t="n">
        <f aca="false">Personnel!BK38</f>
        <v>0</v>
      </c>
      <c r="BE35" s="1466"/>
      <c r="BF35" s="1885"/>
      <c r="BG35" s="2108" t="str">
        <f aca="false">Revenue!A122</f>
        <v>CS-3</v>
      </c>
      <c r="BH35" s="2109" t="n">
        <f aca="false">Revenue!N122</f>
        <v>19822.5</v>
      </c>
      <c r="BI35" s="2109" t="n">
        <f aca="false">Revenue!O122</f>
        <v>22025</v>
      </c>
      <c r="BJ35" s="2109" t="n">
        <f aca="false">Revenue!P122</f>
        <v>24227.5</v>
      </c>
      <c r="BK35" s="2109" t="n">
        <f aca="false">Revenue!Q122</f>
        <v>26430</v>
      </c>
      <c r="BL35" s="2109" t="n">
        <f aca="false">Revenue!R122</f>
        <v>28632.5</v>
      </c>
      <c r="BM35" s="2109" t="n">
        <f aca="false">Revenue!S122</f>
        <v>30835.0000000001</v>
      </c>
      <c r="BN35" s="2109" t="n">
        <f aca="false">Revenue!T122</f>
        <v>33037.5</v>
      </c>
      <c r="BO35" s="2109" t="n">
        <f aca="false">Revenue!U122</f>
        <v>35240</v>
      </c>
      <c r="BP35" s="2109" t="n">
        <f aca="false">Revenue!V122</f>
        <v>37442.4999999999</v>
      </c>
      <c r="BQ35" s="2109" t="n">
        <f aca="false">Revenue!W122</f>
        <v>39644.9999999999</v>
      </c>
      <c r="BR35" s="2109" t="n">
        <f aca="false">Revenue!X122</f>
        <v>41847.5000000001</v>
      </c>
      <c r="BS35" s="2108" t="n">
        <f aca="false">Revenue!Y122</f>
        <v>44050.0000000001</v>
      </c>
      <c r="BT35" s="1888"/>
      <c r="BU35" s="1952" t="str">
        <f aca="false">BG35</f>
        <v>CS-3</v>
      </c>
      <c r="BV35" s="1952" t="n">
        <f aca="false">Revenue!Z90</f>
        <v>120906.25</v>
      </c>
      <c r="BW35" s="1952" t="n">
        <f aca="false">Revenue!AA90</f>
        <v>120906.25</v>
      </c>
      <c r="BX35" s="1953" t="n">
        <f aca="false">Revenue!AB90</f>
        <v>120906.25</v>
      </c>
      <c r="BY35" s="1952" t="n">
        <f aca="false">Revenue!AC90</f>
        <v>120906.25</v>
      </c>
      <c r="BZ35" s="1952" t="n">
        <f aca="false">Revenue!AD90</f>
        <v>120906.25</v>
      </c>
      <c r="CA35" s="1952" t="n">
        <f aca="false">Revenue!AE90</f>
        <v>120906.25</v>
      </c>
      <c r="CB35" s="1952" t="n">
        <f aca="false">Revenue!AF90</f>
        <v>120906.25</v>
      </c>
      <c r="CC35" s="1952" t="n">
        <f aca="false">Revenue!AG90</f>
        <v>120906.25</v>
      </c>
      <c r="CD35" s="1952" t="n">
        <f aca="false">Revenue!AH90</f>
        <v>120906.25</v>
      </c>
      <c r="CE35" s="1952" t="n">
        <f aca="false">Revenue!AI90</f>
        <v>120906.25</v>
      </c>
      <c r="CF35" s="1952" t="n">
        <f aca="false">Revenue!AJ90</f>
        <v>120906.25</v>
      </c>
      <c r="CG35" s="1952" t="n">
        <f aca="false">Revenue!AK90</f>
        <v>120906.25</v>
      </c>
      <c r="CH35" s="1891"/>
      <c r="CI35" s="1954" t="str">
        <f aca="false">BU35</f>
        <v>CS-3</v>
      </c>
      <c r="CJ35" s="1955" t="n">
        <f aca="false">Revenue!AL90</f>
        <v>130981.770833334</v>
      </c>
      <c r="CK35" s="1955" t="n">
        <f aca="false">Revenue!AM90</f>
        <v>130981.770833334</v>
      </c>
      <c r="CL35" s="1955" t="n">
        <f aca="false">Revenue!AN90</f>
        <v>130981.770833334</v>
      </c>
      <c r="CM35" s="1955" t="n">
        <f aca="false">Revenue!AO90</f>
        <v>130981.770833334</v>
      </c>
      <c r="CN35" s="1955" t="n">
        <f aca="false">Revenue!AP90</f>
        <v>130981.770833334</v>
      </c>
      <c r="CO35" s="1955" t="n">
        <f aca="false">Revenue!AQ90</f>
        <v>130981.770833334</v>
      </c>
      <c r="CP35" s="1955" t="n">
        <f aca="false">Revenue!AR90</f>
        <v>130981.770833334</v>
      </c>
      <c r="CQ35" s="1955" t="n">
        <f aca="false">Revenue!AS90</f>
        <v>130981.770833334</v>
      </c>
      <c r="CR35" s="1955" t="n">
        <f aca="false">Revenue!AT90</f>
        <v>130981.770833334</v>
      </c>
      <c r="CS35" s="1955" t="n">
        <f aca="false">Revenue!AU90</f>
        <v>130981.770833334</v>
      </c>
      <c r="CT35" s="1955" t="n">
        <f aca="false">Revenue!AV90</f>
        <v>130981.770833334</v>
      </c>
      <c r="CU35" s="1955" t="n">
        <f aca="false">Revenue!AW90</f>
        <v>130981.770833334</v>
      </c>
      <c r="CV35" s="1888"/>
      <c r="CW35" s="1956" t="str">
        <f aca="false">CI35</f>
        <v>CS-3</v>
      </c>
      <c r="CX35" s="1957" t="n">
        <f aca="false">Revenue!AX90</f>
        <v>141057.291666667</v>
      </c>
      <c r="CY35" s="1957" t="n">
        <f aca="false">Revenue!AY90</f>
        <v>141057.291666667</v>
      </c>
      <c r="CZ35" s="1957" t="n">
        <f aca="false">Revenue!AZ90</f>
        <v>141057.291666667</v>
      </c>
      <c r="DA35" s="1957" t="n">
        <f aca="false">Revenue!BA90</f>
        <v>141057.291666667</v>
      </c>
      <c r="DB35" s="1957" t="n">
        <f aca="false">Revenue!BB90</f>
        <v>141057.291666667</v>
      </c>
      <c r="DC35" s="1957" t="n">
        <f aca="false">Revenue!BC90</f>
        <v>141057.291666667</v>
      </c>
      <c r="DD35" s="1957" t="n">
        <f aca="false">Revenue!BD90</f>
        <v>141057.291666667</v>
      </c>
      <c r="DE35" s="1957" t="n">
        <f aca="false">Revenue!BE90</f>
        <v>141057.291666667</v>
      </c>
      <c r="DF35" s="1957" t="n">
        <f aca="false">Revenue!BF90</f>
        <v>141057.291666667</v>
      </c>
      <c r="DG35" s="1957" t="n">
        <f aca="false">Revenue!BG90</f>
        <v>141057.291666667</v>
      </c>
      <c r="DH35" s="1957" t="n">
        <f aca="false">Revenue!BH90</f>
        <v>141057.291666667</v>
      </c>
      <c r="DI35" s="1957" t="n">
        <f aca="false">Revenue!BI90</f>
        <v>141057.291666667</v>
      </c>
      <c r="DJ35" s="1466"/>
      <c r="DK35" s="1163"/>
      <c r="DL35" s="1958" t="n">
        <v>0</v>
      </c>
      <c r="DM35" s="2051" t="n">
        <v>0</v>
      </c>
      <c r="DN35" s="2052" t="n">
        <v>0</v>
      </c>
      <c r="DO35" s="2052" t="n">
        <v>0</v>
      </c>
      <c r="DP35" s="2052" t="n">
        <v>0</v>
      </c>
      <c r="DQ35" s="2052" t="n">
        <v>0</v>
      </c>
      <c r="DR35" s="2052" t="n">
        <v>0</v>
      </c>
      <c r="DS35" s="2052" t="n">
        <v>0</v>
      </c>
      <c r="DT35" s="2052" t="n">
        <v>0</v>
      </c>
      <c r="DU35" s="2052" t="n">
        <v>0</v>
      </c>
      <c r="DV35" s="2052" t="n">
        <v>0</v>
      </c>
      <c r="DW35" s="2052" t="n">
        <v>0</v>
      </c>
      <c r="DX35" s="2053" t="n">
        <v>0</v>
      </c>
      <c r="DY35" s="1893"/>
      <c r="DZ35" s="2054" t="n">
        <v>0</v>
      </c>
      <c r="EA35" s="2055" t="n">
        <v>0</v>
      </c>
      <c r="EB35" s="2056" t="n">
        <v>0</v>
      </c>
      <c r="EC35" s="2056" t="n">
        <v>0</v>
      </c>
      <c r="ED35" s="2056" t="n">
        <v>0</v>
      </c>
      <c r="EE35" s="2056" t="n">
        <v>0</v>
      </c>
      <c r="EF35" s="2056" t="n">
        <v>0</v>
      </c>
      <c r="EG35" s="2056" t="n">
        <v>0</v>
      </c>
      <c r="EH35" s="2056" t="n">
        <v>0</v>
      </c>
      <c r="EI35" s="2056" t="n">
        <v>0</v>
      </c>
      <c r="EJ35" s="2056" t="n">
        <v>0</v>
      </c>
      <c r="EK35" s="2056" t="n">
        <v>0</v>
      </c>
      <c r="EL35" s="2057" t="n">
        <v>0</v>
      </c>
      <c r="EM35" s="1893"/>
      <c r="EN35" s="1966" t="n">
        <v>0</v>
      </c>
      <c r="EO35" s="1979" t="n">
        <v>0</v>
      </c>
      <c r="EP35" s="1980" t="n">
        <v>0</v>
      </c>
      <c r="EQ35" s="1980" t="n">
        <v>0</v>
      </c>
      <c r="ER35" s="1980" t="n">
        <v>0</v>
      </c>
      <c r="ES35" s="1980" t="n">
        <v>0</v>
      </c>
      <c r="ET35" s="1980" t="n">
        <v>0</v>
      </c>
      <c r="EU35" s="1980" t="n">
        <v>0</v>
      </c>
      <c r="EV35" s="1980" t="n">
        <v>0</v>
      </c>
      <c r="EW35" s="1980" t="n">
        <v>0</v>
      </c>
      <c r="EX35" s="1980" t="n">
        <v>0</v>
      </c>
      <c r="EY35" s="1980" t="n">
        <v>0</v>
      </c>
      <c r="EZ35" s="1981" t="n">
        <v>0</v>
      </c>
      <c r="FA35" s="1893"/>
      <c r="FB35" s="1967" t="n">
        <v>0</v>
      </c>
      <c r="FC35" s="2058" t="n">
        <v>0</v>
      </c>
      <c r="FD35" s="2059" t="n">
        <v>0</v>
      </c>
      <c r="FE35" s="2059" t="n">
        <v>0</v>
      </c>
      <c r="FF35" s="2059" t="n">
        <v>0</v>
      </c>
      <c r="FG35" s="2059" t="n">
        <v>0</v>
      </c>
      <c r="FH35" s="2059" t="n">
        <v>0</v>
      </c>
      <c r="FI35" s="2059" t="n">
        <v>0</v>
      </c>
      <c r="FJ35" s="2059" t="n">
        <v>0</v>
      </c>
      <c r="FK35" s="2059" t="n">
        <v>0</v>
      </c>
      <c r="FL35" s="2059" t="n">
        <v>0</v>
      </c>
      <c r="FM35" s="2059" t="n">
        <v>0</v>
      </c>
      <c r="FN35" s="2060" t="n">
        <v>0</v>
      </c>
      <c r="FO35" s="1466"/>
      <c r="FP35" s="1466"/>
      <c r="FQ35" s="1466"/>
      <c r="FR35" s="2003"/>
      <c r="FS35" s="2003"/>
      <c r="FT35" s="2003"/>
      <c r="FU35" s="2003"/>
      <c r="FV35" s="2003"/>
      <c r="FW35" s="2003"/>
      <c r="FX35" s="2003"/>
      <c r="FY35" s="2003"/>
      <c r="FZ35" s="2003"/>
      <c r="GA35" s="2003"/>
      <c r="GB35" s="2003"/>
      <c r="GC35" s="2003"/>
      <c r="GD35" s="1466"/>
      <c r="GE35" s="1466"/>
      <c r="GF35" s="2003"/>
      <c r="GG35" s="2003"/>
      <c r="GH35" s="2003"/>
      <c r="GI35" s="2003"/>
      <c r="GJ35" s="2003"/>
      <c r="GK35" s="2003"/>
      <c r="GL35" s="2003"/>
      <c r="GM35" s="2003"/>
      <c r="GN35" s="2003"/>
      <c r="GO35" s="2003"/>
      <c r="GP35" s="2003"/>
      <c r="GQ35" s="2003"/>
      <c r="GR35" s="1466"/>
      <c r="GS35" s="2040"/>
      <c r="GT35" s="2003"/>
      <c r="GU35" s="2003"/>
      <c r="GV35" s="2003"/>
      <c r="GW35" s="2003"/>
      <c r="GX35" s="2003"/>
      <c r="GY35" s="2003"/>
      <c r="GZ35" s="2003"/>
      <c r="HA35" s="2003"/>
      <c r="HB35" s="2003"/>
      <c r="HC35" s="2003"/>
      <c r="HD35" s="2003"/>
      <c r="HE35" s="2003"/>
      <c r="HF35" s="1466"/>
      <c r="HG35" s="1466"/>
      <c r="HH35" s="1321"/>
      <c r="HI35" s="1321"/>
      <c r="HJ35" s="1321"/>
      <c r="HK35" s="1321"/>
      <c r="HL35" s="1321"/>
      <c r="HM35" s="1321"/>
      <c r="HN35" s="1321"/>
      <c r="HO35" s="1321"/>
      <c r="HP35" s="1321"/>
      <c r="HQ35" s="1321"/>
      <c r="HR35" s="1321"/>
      <c r="HS35" s="1321"/>
    </row>
    <row r="36" customFormat="false" ht="10.5" hidden="false" customHeight="true" outlineLevel="0" collapsed="false">
      <c r="A36" s="1641"/>
      <c r="B36" s="2008" t="n">
        <f aca="false">Personnel!A39</f>
        <v>0</v>
      </c>
      <c r="C36" s="1971" t="n">
        <f aca="false">Personnel!P39</f>
        <v>0</v>
      </c>
      <c r="D36" s="1972" t="n">
        <f aca="false">Personnel!Q39</f>
        <v>0</v>
      </c>
      <c r="E36" s="1972" t="n">
        <f aca="false">Personnel!R39</f>
        <v>0</v>
      </c>
      <c r="F36" s="1972" t="n">
        <f aca="false">Personnel!S39</f>
        <v>0</v>
      </c>
      <c r="G36" s="1972" t="n">
        <f aca="false">Personnel!T39</f>
        <v>0</v>
      </c>
      <c r="H36" s="1972" t="n">
        <f aca="false">Personnel!U39</f>
        <v>0</v>
      </c>
      <c r="I36" s="1972" t="n">
        <f aca="false">Personnel!V39</f>
        <v>0</v>
      </c>
      <c r="J36" s="1972" t="n">
        <f aca="false">Personnel!W39</f>
        <v>0</v>
      </c>
      <c r="K36" s="1972" t="n">
        <f aca="false">Personnel!X39</f>
        <v>0</v>
      </c>
      <c r="L36" s="1972" t="n">
        <f aca="false">Personnel!Y39</f>
        <v>0</v>
      </c>
      <c r="M36" s="1972" t="n">
        <f aca="false">Personnel!Z39</f>
        <v>0</v>
      </c>
      <c r="N36" s="1973" t="n">
        <f aca="false">Personnel!AA39</f>
        <v>0</v>
      </c>
      <c r="O36" s="1882"/>
      <c r="P36" s="2009" t="n">
        <f aca="false">B36</f>
        <v>0</v>
      </c>
      <c r="Q36" s="1975" t="n">
        <f aca="false">Personnel!AB39</f>
        <v>0</v>
      </c>
      <c r="R36" s="1976" t="n">
        <f aca="false">Personnel!AC39</f>
        <v>0</v>
      </c>
      <c r="S36" s="1976" t="n">
        <f aca="false">Personnel!AD39</f>
        <v>0</v>
      </c>
      <c r="T36" s="1976" t="n">
        <f aca="false">Personnel!AE39</f>
        <v>0</v>
      </c>
      <c r="U36" s="1976" t="n">
        <f aca="false">Personnel!AF39</f>
        <v>0</v>
      </c>
      <c r="V36" s="1976" t="n">
        <f aca="false">Personnel!AG39</f>
        <v>0</v>
      </c>
      <c r="W36" s="1976" t="n">
        <f aca="false">Personnel!AH39</f>
        <v>0</v>
      </c>
      <c r="X36" s="1976" t="n">
        <f aca="false">Personnel!AI39</f>
        <v>0</v>
      </c>
      <c r="Y36" s="1976" t="n">
        <f aca="false">Personnel!AJ39</f>
        <v>0</v>
      </c>
      <c r="Z36" s="1976" t="n">
        <f aca="false">Personnel!AK39</f>
        <v>0</v>
      </c>
      <c r="AA36" s="1976" t="n">
        <f aca="false">Personnel!AL39</f>
        <v>0</v>
      </c>
      <c r="AB36" s="1977" t="n">
        <f aca="false">Personnel!AM39</f>
        <v>0</v>
      </c>
      <c r="AC36" s="1882"/>
      <c r="AD36" s="2010" t="n">
        <f aca="false">P36</f>
        <v>0</v>
      </c>
      <c r="AE36" s="1979" t="n">
        <f aca="false">Personnel!AN39</f>
        <v>0</v>
      </c>
      <c r="AF36" s="1980" t="n">
        <f aca="false">Personnel!AO39</f>
        <v>0</v>
      </c>
      <c r="AG36" s="1980" t="n">
        <f aca="false">Personnel!AP39</f>
        <v>0</v>
      </c>
      <c r="AH36" s="1980" t="n">
        <f aca="false">Personnel!AQ39</f>
        <v>0</v>
      </c>
      <c r="AI36" s="1980" t="n">
        <f aca="false">Personnel!AR39</f>
        <v>0</v>
      </c>
      <c r="AJ36" s="1980" t="n">
        <f aca="false">Personnel!AS39</f>
        <v>0</v>
      </c>
      <c r="AK36" s="1980" t="n">
        <f aca="false">Personnel!AT39</f>
        <v>0</v>
      </c>
      <c r="AL36" s="1980" t="n">
        <f aca="false">Personnel!AU39</f>
        <v>0</v>
      </c>
      <c r="AM36" s="1980" t="n">
        <f aca="false">Personnel!AV39</f>
        <v>0</v>
      </c>
      <c r="AN36" s="1980" t="n">
        <f aca="false">Personnel!AW39</f>
        <v>0</v>
      </c>
      <c r="AO36" s="1980" t="n">
        <f aca="false">Personnel!AX39</f>
        <v>0</v>
      </c>
      <c r="AP36" s="1981" t="n">
        <f aca="false">Personnel!AY39</f>
        <v>0</v>
      </c>
      <c r="AQ36" s="1882"/>
      <c r="AR36" s="2011" t="n">
        <f aca="false">AD36</f>
        <v>0</v>
      </c>
      <c r="AS36" s="1983" t="n">
        <f aca="false">Personnel!AZ39</f>
        <v>0</v>
      </c>
      <c r="AT36" s="1984" t="n">
        <f aca="false">Personnel!BA39</f>
        <v>0</v>
      </c>
      <c r="AU36" s="1984" t="n">
        <f aca="false">Personnel!BB39</f>
        <v>0</v>
      </c>
      <c r="AV36" s="1984" t="n">
        <f aca="false">Personnel!BC39</f>
        <v>0</v>
      </c>
      <c r="AW36" s="1984" t="n">
        <f aca="false">Personnel!BD39</f>
        <v>0</v>
      </c>
      <c r="AX36" s="1984" t="n">
        <f aca="false">Personnel!BE39</f>
        <v>0</v>
      </c>
      <c r="AY36" s="1984" t="n">
        <f aca="false">Personnel!BF39</f>
        <v>0</v>
      </c>
      <c r="AZ36" s="1984" t="n">
        <f aca="false">Personnel!BG39</f>
        <v>0</v>
      </c>
      <c r="BA36" s="1984" t="n">
        <f aca="false">Personnel!BH39</f>
        <v>0</v>
      </c>
      <c r="BB36" s="1984" t="n">
        <f aca="false">Personnel!BI39</f>
        <v>0</v>
      </c>
      <c r="BC36" s="1984" t="n">
        <f aca="false">Personnel!BJ39</f>
        <v>0</v>
      </c>
      <c r="BD36" s="1985" t="n">
        <f aca="false">Personnel!BK39</f>
        <v>0</v>
      </c>
      <c r="BE36" s="1466"/>
      <c r="BF36" s="1885"/>
      <c r="BG36" s="2108" t="str">
        <f aca="false">Revenue!A123</f>
        <v>CS-4</v>
      </c>
      <c r="BH36" s="2109" t="n">
        <f aca="false">Revenue!N123</f>
        <v>50966.71875</v>
      </c>
      <c r="BI36" s="2109" t="n">
        <f aca="false">Revenue!O123</f>
        <v>56629.6875000001</v>
      </c>
      <c r="BJ36" s="2109" t="n">
        <f aca="false">Revenue!P123</f>
        <v>62292.6562499999</v>
      </c>
      <c r="BK36" s="2109" t="n">
        <f aca="false">Revenue!Q123</f>
        <v>67955.625</v>
      </c>
      <c r="BL36" s="2109" t="n">
        <f aca="false">Revenue!R123</f>
        <v>73618.5937500002</v>
      </c>
      <c r="BM36" s="2109" t="n">
        <f aca="false">Revenue!S123</f>
        <v>79281.5625</v>
      </c>
      <c r="BN36" s="2109" t="n">
        <f aca="false">Revenue!T123</f>
        <v>84944.5312500001</v>
      </c>
      <c r="BO36" s="2109" t="n">
        <f aca="false">Revenue!U123</f>
        <v>90607.5</v>
      </c>
      <c r="BP36" s="2109" t="n">
        <f aca="false">Revenue!V123</f>
        <v>96270.4687500001</v>
      </c>
      <c r="BQ36" s="2109" t="n">
        <f aca="false">Revenue!W123</f>
        <v>101933.4375</v>
      </c>
      <c r="BR36" s="2109" t="n">
        <f aca="false">Revenue!X123</f>
        <v>107596.40625</v>
      </c>
      <c r="BS36" s="2108" t="n">
        <f aca="false">Revenue!Y123</f>
        <v>113259.375</v>
      </c>
      <c r="BT36" s="1888"/>
      <c r="BU36" s="1952" t="str">
        <f aca="false">BG36</f>
        <v>CS-4</v>
      </c>
      <c r="BV36" s="1952" t="n">
        <f aca="false">Revenue!Z91</f>
        <v>362718.75</v>
      </c>
      <c r="BW36" s="1952" t="n">
        <f aca="false">Revenue!AA91</f>
        <v>362718.75</v>
      </c>
      <c r="BX36" s="1953" t="n">
        <f aca="false">Revenue!AB91</f>
        <v>362718.75</v>
      </c>
      <c r="BY36" s="1952" t="n">
        <f aca="false">Revenue!AC91</f>
        <v>362718.75</v>
      </c>
      <c r="BZ36" s="1952" t="n">
        <f aca="false">Revenue!AD91</f>
        <v>362718.75</v>
      </c>
      <c r="CA36" s="1952" t="n">
        <f aca="false">Revenue!AE91</f>
        <v>362718.75</v>
      </c>
      <c r="CB36" s="1952" t="n">
        <f aca="false">Revenue!AF91</f>
        <v>362718.75</v>
      </c>
      <c r="CC36" s="1952" t="n">
        <f aca="false">Revenue!AG91</f>
        <v>362718.75</v>
      </c>
      <c r="CD36" s="1952" t="n">
        <f aca="false">Revenue!AH91</f>
        <v>362718.75</v>
      </c>
      <c r="CE36" s="1952" t="n">
        <f aca="false">Revenue!AI91</f>
        <v>362718.75</v>
      </c>
      <c r="CF36" s="1952" t="n">
        <f aca="false">Revenue!AJ91</f>
        <v>362718.75</v>
      </c>
      <c r="CG36" s="1952" t="n">
        <f aca="false">Revenue!AK91</f>
        <v>362718.75</v>
      </c>
      <c r="CH36" s="1891"/>
      <c r="CI36" s="1954" t="str">
        <f aca="false">BU36</f>
        <v>CS-4</v>
      </c>
      <c r="CJ36" s="1955" t="n">
        <f aca="false">Revenue!AL91</f>
        <v>392945.3125</v>
      </c>
      <c r="CK36" s="1955" t="n">
        <f aca="false">Revenue!AM91</f>
        <v>392945.3125</v>
      </c>
      <c r="CL36" s="1955" t="n">
        <f aca="false">Revenue!AN91</f>
        <v>392945.3125</v>
      </c>
      <c r="CM36" s="1955" t="n">
        <f aca="false">Revenue!AO91</f>
        <v>392945.3125</v>
      </c>
      <c r="CN36" s="1955" t="n">
        <f aca="false">Revenue!AP91</f>
        <v>392945.3125</v>
      </c>
      <c r="CO36" s="1955" t="n">
        <f aca="false">Revenue!AQ91</f>
        <v>392945.3125</v>
      </c>
      <c r="CP36" s="1955" t="n">
        <f aca="false">Revenue!AR91</f>
        <v>392945.3125</v>
      </c>
      <c r="CQ36" s="1955" t="n">
        <f aca="false">Revenue!AS91</f>
        <v>392945.3125</v>
      </c>
      <c r="CR36" s="1955" t="n">
        <f aca="false">Revenue!AT91</f>
        <v>392945.3125</v>
      </c>
      <c r="CS36" s="1955" t="n">
        <f aca="false">Revenue!AU91</f>
        <v>392945.3125</v>
      </c>
      <c r="CT36" s="1955" t="n">
        <f aca="false">Revenue!AV91</f>
        <v>392945.3125</v>
      </c>
      <c r="CU36" s="1955" t="n">
        <f aca="false">Revenue!AW91</f>
        <v>392945.3125</v>
      </c>
      <c r="CV36" s="1888"/>
      <c r="CW36" s="1956" t="str">
        <f aca="false">CI36</f>
        <v>CS-4</v>
      </c>
      <c r="CX36" s="1957" t="n">
        <f aca="false">Revenue!AX91</f>
        <v>423171.875</v>
      </c>
      <c r="CY36" s="1957" t="n">
        <f aca="false">Revenue!AY91</f>
        <v>423171.875</v>
      </c>
      <c r="CZ36" s="1957" t="n">
        <f aca="false">Revenue!AZ91</f>
        <v>423171.875</v>
      </c>
      <c r="DA36" s="1957" t="n">
        <f aca="false">Revenue!BA91</f>
        <v>423171.875</v>
      </c>
      <c r="DB36" s="1957" t="n">
        <f aca="false">Revenue!BB91</f>
        <v>423171.875</v>
      </c>
      <c r="DC36" s="1957" t="n">
        <f aca="false">Revenue!BC91</f>
        <v>423171.875</v>
      </c>
      <c r="DD36" s="1957" t="n">
        <f aca="false">Revenue!BD91</f>
        <v>423171.875</v>
      </c>
      <c r="DE36" s="1957" t="n">
        <f aca="false">Revenue!BE91</f>
        <v>423171.875</v>
      </c>
      <c r="DF36" s="1957" t="n">
        <f aca="false">Revenue!BF91</f>
        <v>423171.875</v>
      </c>
      <c r="DG36" s="1957" t="n">
        <f aca="false">Revenue!BG91</f>
        <v>423171.875</v>
      </c>
      <c r="DH36" s="1957" t="n">
        <f aca="false">Revenue!BH91</f>
        <v>423171.875</v>
      </c>
      <c r="DI36" s="1957" t="n">
        <f aca="false">Revenue!BI91</f>
        <v>423171.875</v>
      </c>
      <c r="DJ36" s="1466"/>
      <c r="DK36" s="1163"/>
      <c r="DL36" s="1958" t="n">
        <v>0</v>
      </c>
      <c r="DM36" s="2051" t="n">
        <v>0</v>
      </c>
      <c r="DN36" s="2052" t="n">
        <v>0</v>
      </c>
      <c r="DO36" s="2052" t="n">
        <v>0</v>
      </c>
      <c r="DP36" s="2052" t="n">
        <v>0</v>
      </c>
      <c r="DQ36" s="2052" t="n">
        <v>0</v>
      </c>
      <c r="DR36" s="2052" t="n">
        <v>0</v>
      </c>
      <c r="DS36" s="2052" t="n">
        <v>0</v>
      </c>
      <c r="DT36" s="2052" t="n">
        <v>0</v>
      </c>
      <c r="DU36" s="2052" t="n">
        <v>0</v>
      </c>
      <c r="DV36" s="2052" t="n">
        <v>0</v>
      </c>
      <c r="DW36" s="2052" t="n">
        <v>0</v>
      </c>
      <c r="DX36" s="2053" t="n">
        <v>0</v>
      </c>
      <c r="DY36" s="1893"/>
      <c r="DZ36" s="2054" t="n">
        <v>0</v>
      </c>
      <c r="EA36" s="2055" t="n">
        <v>0</v>
      </c>
      <c r="EB36" s="2056" t="n">
        <v>0</v>
      </c>
      <c r="EC36" s="2056" t="n">
        <v>0</v>
      </c>
      <c r="ED36" s="2056" t="n">
        <v>0</v>
      </c>
      <c r="EE36" s="2056" t="n">
        <v>0</v>
      </c>
      <c r="EF36" s="2056" t="n">
        <v>0</v>
      </c>
      <c r="EG36" s="2056" t="n">
        <v>0</v>
      </c>
      <c r="EH36" s="2056" t="n">
        <v>0</v>
      </c>
      <c r="EI36" s="2056" t="n">
        <v>0</v>
      </c>
      <c r="EJ36" s="2056" t="n">
        <v>0</v>
      </c>
      <c r="EK36" s="2056" t="n">
        <v>0</v>
      </c>
      <c r="EL36" s="2057" t="n">
        <v>0</v>
      </c>
      <c r="EM36" s="1893"/>
      <c r="EN36" s="1966" t="n">
        <v>0</v>
      </c>
      <c r="EO36" s="1979" t="n">
        <v>0</v>
      </c>
      <c r="EP36" s="1980" t="n">
        <v>0</v>
      </c>
      <c r="EQ36" s="1980" t="n">
        <v>0</v>
      </c>
      <c r="ER36" s="1980" t="n">
        <v>0</v>
      </c>
      <c r="ES36" s="1980" t="n">
        <v>0</v>
      </c>
      <c r="ET36" s="1980" t="n">
        <v>0</v>
      </c>
      <c r="EU36" s="1980" t="n">
        <v>0</v>
      </c>
      <c r="EV36" s="1980" t="n">
        <v>0</v>
      </c>
      <c r="EW36" s="1980" t="n">
        <v>0</v>
      </c>
      <c r="EX36" s="1980" t="n">
        <v>0</v>
      </c>
      <c r="EY36" s="1980" t="n">
        <v>0</v>
      </c>
      <c r="EZ36" s="1981" t="n">
        <v>0</v>
      </c>
      <c r="FA36" s="1893"/>
      <c r="FB36" s="1967" t="n">
        <v>0</v>
      </c>
      <c r="FC36" s="2058" t="n">
        <v>0</v>
      </c>
      <c r="FD36" s="2059" t="n">
        <v>0</v>
      </c>
      <c r="FE36" s="2059" t="n">
        <v>0</v>
      </c>
      <c r="FF36" s="2059" t="n">
        <v>0</v>
      </c>
      <c r="FG36" s="2059" t="n">
        <v>0</v>
      </c>
      <c r="FH36" s="2059" t="n">
        <v>0</v>
      </c>
      <c r="FI36" s="2059" t="n">
        <v>0</v>
      </c>
      <c r="FJ36" s="2059" t="n">
        <v>0</v>
      </c>
      <c r="FK36" s="2059" t="n">
        <v>0</v>
      </c>
      <c r="FL36" s="2059" t="n">
        <v>0</v>
      </c>
      <c r="FM36" s="2059" t="n">
        <v>0</v>
      </c>
      <c r="FN36" s="2060" t="n">
        <v>0</v>
      </c>
      <c r="FO36" s="1466"/>
      <c r="FP36" s="1466"/>
      <c r="FQ36" s="1466"/>
      <c r="FR36" s="2003"/>
      <c r="FS36" s="2003"/>
      <c r="FT36" s="2003"/>
      <c r="FU36" s="2003"/>
      <c r="FV36" s="2003"/>
      <c r="FW36" s="2003"/>
      <c r="FX36" s="2003"/>
      <c r="FY36" s="2003"/>
      <c r="FZ36" s="2003"/>
      <c r="GA36" s="2003"/>
      <c r="GB36" s="2003"/>
      <c r="GC36" s="2003"/>
      <c r="GD36" s="1466"/>
      <c r="GE36" s="1466"/>
      <c r="GF36" s="2003"/>
      <c r="GG36" s="2003"/>
      <c r="GH36" s="2003"/>
      <c r="GI36" s="2003"/>
      <c r="GJ36" s="2003"/>
      <c r="GK36" s="2003"/>
      <c r="GL36" s="2003"/>
      <c r="GM36" s="2003"/>
      <c r="GN36" s="2003"/>
      <c r="GO36" s="2003"/>
      <c r="GP36" s="2003"/>
      <c r="GQ36" s="2003"/>
      <c r="GR36" s="1466"/>
      <c r="GS36" s="2040"/>
      <c r="GT36" s="2003"/>
      <c r="GU36" s="2003"/>
      <c r="GV36" s="2003"/>
      <c r="GW36" s="2003"/>
      <c r="GX36" s="2003"/>
      <c r="GY36" s="2003"/>
      <c r="GZ36" s="2003"/>
      <c r="HA36" s="2003"/>
      <c r="HB36" s="2003"/>
      <c r="HC36" s="2003"/>
      <c r="HD36" s="2003"/>
      <c r="HE36" s="2003"/>
      <c r="HF36" s="1466"/>
      <c r="HG36" s="1466"/>
      <c r="HH36" s="1321"/>
      <c r="HI36" s="1321"/>
      <c r="HJ36" s="1321"/>
      <c r="HK36" s="1321"/>
      <c r="HL36" s="1321"/>
      <c r="HM36" s="1321"/>
      <c r="HN36" s="1321"/>
      <c r="HO36" s="1321"/>
      <c r="HP36" s="1321"/>
      <c r="HQ36" s="1321"/>
      <c r="HR36" s="1321"/>
      <c r="HS36" s="1321"/>
    </row>
    <row r="37" customFormat="false" ht="10.5" hidden="false" customHeight="true" outlineLevel="0" collapsed="false">
      <c r="A37" s="1641"/>
      <c r="B37" s="2008" t="n">
        <f aca="false">Personnel!A40</f>
        <v>0</v>
      </c>
      <c r="C37" s="1971" t="n">
        <f aca="false">Personnel!P40</f>
        <v>0</v>
      </c>
      <c r="D37" s="1972" t="n">
        <f aca="false">Personnel!Q40</f>
        <v>0</v>
      </c>
      <c r="E37" s="1972" t="n">
        <f aca="false">Personnel!R40</f>
        <v>0</v>
      </c>
      <c r="F37" s="1972" t="n">
        <f aca="false">Personnel!S40</f>
        <v>0</v>
      </c>
      <c r="G37" s="1972" t="n">
        <f aca="false">Personnel!T40</f>
        <v>0</v>
      </c>
      <c r="H37" s="1972" t="n">
        <f aca="false">Personnel!U40</f>
        <v>0</v>
      </c>
      <c r="I37" s="1972" t="n">
        <f aca="false">Personnel!V40</f>
        <v>0</v>
      </c>
      <c r="J37" s="1972" t="n">
        <f aca="false">Personnel!W40</f>
        <v>0</v>
      </c>
      <c r="K37" s="1972" t="n">
        <f aca="false">Personnel!X40</f>
        <v>0</v>
      </c>
      <c r="L37" s="1972" t="n">
        <f aca="false">Personnel!Y40</f>
        <v>0</v>
      </c>
      <c r="M37" s="1972" t="n">
        <f aca="false">Personnel!Z40</f>
        <v>0</v>
      </c>
      <c r="N37" s="1973" t="n">
        <f aca="false">Personnel!AA40</f>
        <v>0</v>
      </c>
      <c r="O37" s="1882"/>
      <c r="P37" s="2009" t="n">
        <f aca="false">B37</f>
        <v>0</v>
      </c>
      <c r="Q37" s="1975" t="n">
        <f aca="false">Personnel!AB40</f>
        <v>0</v>
      </c>
      <c r="R37" s="1976" t="n">
        <f aca="false">Personnel!AC40</f>
        <v>0</v>
      </c>
      <c r="S37" s="1976" t="n">
        <f aca="false">Personnel!AD40</f>
        <v>0</v>
      </c>
      <c r="T37" s="1976" t="n">
        <f aca="false">Personnel!AE40</f>
        <v>0</v>
      </c>
      <c r="U37" s="1976" t="n">
        <f aca="false">Personnel!AF40</f>
        <v>0</v>
      </c>
      <c r="V37" s="1976" t="n">
        <f aca="false">Personnel!AG40</f>
        <v>0</v>
      </c>
      <c r="W37" s="1976" t="n">
        <f aca="false">Personnel!AH40</f>
        <v>0</v>
      </c>
      <c r="X37" s="1976" t="n">
        <f aca="false">Personnel!AI40</f>
        <v>0</v>
      </c>
      <c r="Y37" s="1976" t="n">
        <f aca="false">Personnel!AJ40</f>
        <v>0</v>
      </c>
      <c r="Z37" s="1976" t="n">
        <f aca="false">Personnel!AK40</f>
        <v>0</v>
      </c>
      <c r="AA37" s="1976" t="n">
        <f aca="false">Personnel!AL40</f>
        <v>0</v>
      </c>
      <c r="AB37" s="1977" t="n">
        <f aca="false">Personnel!AM40</f>
        <v>0</v>
      </c>
      <c r="AC37" s="1882"/>
      <c r="AD37" s="2010" t="n">
        <f aca="false">P37</f>
        <v>0</v>
      </c>
      <c r="AE37" s="1979" t="n">
        <f aca="false">Personnel!AN40</f>
        <v>0</v>
      </c>
      <c r="AF37" s="1980" t="n">
        <f aca="false">Personnel!AO40</f>
        <v>0</v>
      </c>
      <c r="AG37" s="1980" t="n">
        <f aca="false">Personnel!AP40</f>
        <v>0</v>
      </c>
      <c r="AH37" s="1980" t="n">
        <f aca="false">Personnel!AQ40</f>
        <v>0</v>
      </c>
      <c r="AI37" s="1980" t="n">
        <f aca="false">Personnel!AR40</f>
        <v>0</v>
      </c>
      <c r="AJ37" s="1980" t="n">
        <f aca="false">Personnel!AS40</f>
        <v>0</v>
      </c>
      <c r="AK37" s="1980" t="n">
        <f aca="false">Personnel!AT40</f>
        <v>0</v>
      </c>
      <c r="AL37" s="1980" t="n">
        <f aca="false">Personnel!AU40</f>
        <v>0</v>
      </c>
      <c r="AM37" s="1980" t="n">
        <f aca="false">Personnel!AV40</f>
        <v>0</v>
      </c>
      <c r="AN37" s="1980" t="n">
        <f aca="false">Personnel!AW40</f>
        <v>0</v>
      </c>
      <c r="AO37" s="1980" t="n">
        <f aca="false">Personnel!AX40</f>
        <v>0</v>
      </c>
      <c r="AP37" s="1981" t="n">
        <f aca="false">Personnel!AY40</f>
        <v>0</v>
      </c>
      <c r="AQ37" s="1882"/>
      <c r="AR37" s="2011" t="n">
        <f aca="false">AD37</f>
        <v>0</v>
      </c>
      <c r="AS37" s="1983" t="n">
        <f aca="false">Personnel!AZ40</f>
        <v>0</v>
      </c>
      <c r="AT37" s="1984" t="n">
        <f aca="false">Personnel!BA40</f>
        <v>0</v>
      </c>
      <c r="AU37" s="1984" t="n">
        <f aca="false">Personnel!BB40</f>
        <v>0</v>
      </c>
      <c r="AV37" s="1984" t="n">
        <f aca="false">Personnel!BC40</f>
        <v>0</v>
      </c>
      <c r="AW37" s="1984" t="n">
        <f aca="false">Personnel!BD40</f>
        <v>0</v>
      </c>
      <c r="AX37" s="1984" t="n">
        <f aca="false">Personnel!BE40</f>
        <v>0</v>
      </c>
      <c r="AY37" s="1984" t="n">
        <f aca="false">Personnel!BF40</f>
        <v>0</v>
      </c>
      <c r="AZ37" s="1984" t="n">
        <f aca="false">Personnel!BG40</f>
        <v>0</v>
      </c>
      <c r="BA37" s="1984" t="n">
        <f aca="false">Personnel!BH40</f>
        <v>0</v>
      </c>
      <c r="BB37" s="1984" t="n">
        <f aca="false">Personnel!BI40</f>
        <v>0</v>
      </c>
      <c r="BC37" s="1984" t="n">
        <f aca="false">Personnel!BJ40</f>
        <v>0</v>
      </c>
      <c r="BD37" s="1985" t="n">
        <f aca="false">Personnel!BK40</f>
        <v>0</v>
      </c>
      <c r="BE37" s="1466"/>
      <c r="BF37" s="1885"/>
      <c r="BG37" s="2108" t="str">
        <f aca="false">Revenue!A124</f>
        <v>CS-6</v>
      </c>
      <c r="BH37" s="2109" t="n">
        <f aca="false">Revenue!N124</f>
        <v>80223.7499999999</v>
      </c>
      <c r="BI37" s="2109" t="n">
        <f aca="false">Revenue!O124</f>
        <v>89137.5000000001</v>
      </c>
      <c r="BJ37" s="2109" t="n">
        <f aca="false">Revenue!P124</f>
        <v>98051.2500000001</v>
      </c>
      <c r="BK37" s="2109" t="n">
        <f aca="false">Revenue!Q124</f>
        <v>106965</v>
      </c>
      <c r="BL37" s="2109" t="n">
        <f aca="false">Revenue!R124</f>
        <v>115878.75</v>
      </c>
      <c r="BM37" s="2109" t="n">
        <f aca="false">Revenue!S124</f>
        <v>124792.5</v>
      </c>
      <c r="BN37" s="2109" t="n">
        <f aca="false">Revenue!T124</f>
        <v>133706.25</v>
      </c>
      <c r="BO37" s="2109" t="n">
        <f aca="false">Revenue!U124</f>
        <v>142620</v>
      </c>
      <c r="BP37" s="2109" t="n">
        <f aca="false">Revenue!V124</f>
        <v>151533.75</v>
      </c>
      <c r="BQ37" s="2109" t="n">
        <f aca="false">Revenue!W124</f>
        <v>160447.5</v>
      </c>
      <c r="BR37" s="2109" t="n">
        <f aca="false">Revenue!X124</f>
        <v>169361.25</v>
      </c>
      <c r="BS37" s="2108" t="n">
        <f aca="false">Revenue!Y124</f>
        <v>178275</v>
      </c>
      <c r="BT37" s="1888"/>
      <c r="BU37" s="1952" t="str">
        <f aca="false">BG37</f>
        <v>CS-6</v>
      </c>
      <c r="BV37" s="1952" t="n">
        <f aca="false">Revenue!Z92</f>
        <v>725437.5</v>
      </c>
      <c r="BW37" s="1952" t="n">
        <f aca="false">Revenue!AA92</f>
        <v>725437.5</v>
      </c>
      <c r="BX37" s="1953" t="n">
        <f aca="false">Revenue!AB92</f>
        <v>725437.5</v>
      </c>
      <c r="BY37" s="1952" t="n">
        <f aca="false">Revenue!AC92</f>
        <v>725437.5</v>
      </c>
      <c r="BZ37" s="1952" t="n">
        <f aca="false">Revenue!AD92</f>
        <v>725437.5</v>
      </c>
      <c r="CA37" s="1952" t="n">
        <f aca="false">Revenue!AE92</f>
        <v>725437.5</v>
      </c>
      <c r="CB37" s="1952" t="n">
        <f aca="false">Revenue!AF92</f>
        <v>725437.5</v>
      </c>
      <c r="CC37" s="1952" t="n">
        <f aca="false">Revenue!AG92</f>
        <v>725437.5</v>
      </c>
      <c r="CD37" s="1952" t="n">
        <f aca="false">Revenue!AH92</f>
        <v>725437.5</v>
      </c>
      <c r="CE37" s="1952" t="n">
        <f aca="false">Revenue!AI92</f>
        <v>725437.5</v>
      </c>
      <c r="CF37" s="1952" t="n">
        <f aca="false">Revenue!AJ92</f>
        <v>725437.5</v>
      </c>
      <c r="CG37" s="1952" t="n">
        <f aca="false">Revenue!AK92</f>
        <v>725437.5</v>
      </c>
      <c r="CH37" s="1891"/>
      <c r="CI37" s="1954" t="str">
        <f aca="false">BU37</f>
        <v>CS-6</v>
      </c>
      <c r="CJ37" s="1955" t="n">
        <f aca="false">Revenue!AL92</f>
        <v>785890.625</v>
      </c>
      <c r="CK37" s="1955" t="n">
        <f aca="false">Revenue!AM92</f>
        <v>785890.625</v>
      </c>
      <c r="CL37" s="1955" t="n">
        <f aca="false">Revenue!AN92</f>
        <v>785890.625</v>
      </c>
      <c r="CM37" s="1955" t="n">
        <f aca="false">Revenue!AO92</f>
        <v>785890.625</v>
      </c>
      <c r="CN37" s="1955" t="n">
        <f aca="false">Revenue!AP92</f>
        <v>785890.625</v>
      </c>
      <c r="CO37" s="1955" t="n">
        <f aca="false">Revenue!AQ92</f>
        <v>785890.625</v>
      </c>
      <c r="CP37" s="1955" t="n">
        <f aca="false">Revenue!AR92</f>
        <v>785890.625</v>
      </c>
      <c r="CQ37" s="1955" t="n">
        <f aca="false">Revenue!AS92</f>
        <v>785890.625</v>
      </c>
      <c r="CR37" s="1955" t="n">
        <f aca="false">Revenue!AT92</f>
        <v>785890.625</v>
      </c>
      <c r="CS37" s="1955" t="n">
        <f aca="false">Revenue!AU92</f>
        <v>785890.625</v>
      </c>
      <c r="CT37" s="1955" t="n">
        <f aca="false">Revenue!AV92</f>
        <v>785890.625</v>
      </c>
      <c r="CU37" s="1955" t="n">
        <f aca="false">Revenue!AW92</f>
        <v>785890.625</v>
      </c>
      <c r="CV37" s="1888"/>
      <c r="CW37" s="1956" t="str">
        <f aca="false">CI37</f>
        <v>CS-6</v>
      </c>
      <c r="CX37" s="1957" t="n">
        <f aca="false">Revenue!AX92</f>
        <v>846343.75</v>
      </c>
      <c r="CY37" s="1957" t="n">
        <f aca="false">Revenue!AY92</f>
        <v>846343.75</v>
      </c>
      <c r="CZ37" s="1957" t="n">
        <f aca="false">Revenue!AZ92</f>
        <v>846343.75</v>
      </c>
      <c r="DA37" s="1957" t="n">
        <f aca="false">Revenue!BA92</f>
        <v>846343.75</v>
      </c>
      <c r="DB37" s="1957" t="n">
        <f aca="false">Revenue!BB92</f>
        <v>846343.75</v>
      </c>
      <c r="DC37" s="1957" t="n">
        <f aca="false">Revenue!BC92</f>
        <v>846343.75</v>
      </c>
      <c r="DD37" s="1957" t="n">
        <f aca="false">Revenue!BD92</f>
        <v>846343.75</v>
      </c>
      <c r="DE37" s="1957" t="n">
        <f aca="false">Revenue!BE92</f>
        <v>846343.75</v>
      </c>
      <c r="DF37" s="1957" t="n">
        <f aca="false">Revenue!BF92</f>
        <v>846343.75</v>
      </c>
      <c r="DG37" s="1957" t="n">
        <f aca="false">Revenue!BG92</f>
        <v>846343.75</v>
      </c>
      <c r="DH37" s="1957" t="n">
        <f aca="false">Revenue!BH92</f>
        <v>846343.75</v>
      </c>
      <c r="DI37" s="1957" t="n">
        <f aca="false">Revenue!BI92</f>
        <v>846343.75</v>
      </c>
      <c r="DJ37" s="1466"/>
      <c r="DK37" s="1163"/>
      <c r="DL37" s="1986" t="n">
        <v>0</v>
      </c>
      <c r="DM37" s="2076" t="n">
        <v>0</v>
      </c>
      <c r="DN37" s="2077" t="n">
        <v>0</v>
      </c>
      <c r="DO37" s="2077" t="n">
        <v>0</v>
      </c>
      <c r="DP37" s="2077" t="n">
        <v>0</v>
      </c>
      <c r="DQ37" s="2077" t="n">
        <v>0</v>
      </c>
      <c r="DR37" s="2077" t="n">
        <v>0</v>
      </c>
      <c r="DS37" s="2077" t="n">
        <v>0</v>
      </c>
      <c r="DT37" s="2077" t="n">
        <v>0</v>
      </c>
      <c r="DU37" s="2077" t="n">
        <v>0</v>
      </c>
      <c r="DV37" s="2077" t="n">
        <v>0</v>
      </c>
      <c r="DW37" s="2077" t="n">
        <v>0</v>
      </c>
      <c r="DX37" s="2078" t="n">
        <v>0</v>
      </c>
      <c r="DY37" s="1893"/>
      <c r="DZ37" s="2079" t="n">
        <v>0</v>
      </c>
      <c r="EA37" s="2080" t="n">
        <v>0</v>
      </c>
      <c r="EB37" s="2081" t="n">
        <v>0</v>
      </c>
      <c r="EC37" s="2081" t="n">
        <v>0</v>
      </c>
      <c r="ED37" s="2081" t="n">
        <v>0</v>
      </c>
      <c r="EE37" s="2081" t="n">
        <v>0</v>
      </c>
      <c r="EF37" s="2081" t="n">
        <v>0</v>
      </c>
      <c r="EG37" s="2081" t="n">
        <v>0</v>
      </c>
      <c r="EH37" s="2081" t="n">
        <v>0</v>
      </c>
      <c r="EI37" s="2081" t="n">
        <v>0</v>
      </c>
      <c r="EJ37" s="2081" t="n">
        <v>0</v>
      </c>
      <c r="EK37" s="2081" t="n">
        <v>0</v>
      </c>
      <c r="EL37" s="2082" t="n">
        <v>0</v>
      </c>
      <c r="EM37" s="1893"/>
      <c r="EN37" s="2083" t="n">
        <v>0</v>
      </c>
      <c r="EO37" s="2070" t="n">
        <v>0</v>
      </c>
      <c r="EP37" s="2071" t="n">
        <v>0</v>
      </c>
      <c r="EQ37" s="2071" t="n">
        <v>0</v>
      </c>
      <c r="ER37" s="2071" t="n">
        <v>0</v>
      </c>
      <c r="ES37" s="2071" t="n">
        <v>0</v>
      </c>
      <c r="ET37" s="2071" t="n">
        <v>0</v>
      </c>
      <c r="EU37" s="2071" t="n">
        <v>0</v>
      </c>
      <c r="EV37" s="2071" t="n">
        <v>0</v>
      </c>
      <c r="EW37" s="2071" t="n">
        <v>0</v>
      </c>
      <c r="EX37" s="2071" t="n">
        <v>0</v>
      </c>
      <c r="EY37" s="2071" t="n">
        <v>0</v>
      </c>
      <c r="EZ37" s="2072" t="n">
        <v>0</v>
      </c>
      <c r="FA37" s="1893"/>
      <c r="FB37" s="2084" t="n">
        <v>0</v>
      </c>
      <c r="FC37" s="2085" t="n">
        <v>0</v>
      </c>
      <c r="FD37" s="2086" t="n">
        <v>0</v>
      </c>
      <c r="FE37" s="2086" t="n">
        <v>0</v>
      </c>
      <c r="FF37" s="2086" t="n">
        <v>0</v>
      </c>
      <c r="FG37" s="2086" t="n">
        <v>0</v>
      </c>
      <c r="FH37" s="2086" t="n">
        <v>0</v>
      </c>
      <c r="FI37" s="2086" t="n">
        <v>0</v>
      </c>
      <c r="FJ37" s="2086" t="n">
        <v>0</v>
      </c>
      <c r="FK37" s="2086" t="n">
        <v>0</v>
      </c>
      <c r="FL37" s="2086" t="n">
        <v>0</v>
      </c>
      <c r="FM37" s="2086" t="n">
        <v>0</v>
      </c>
      <c r="FN37" s="2087" t="n">
        <v>0</v>
      </c>
      <c r="FO37" s="1466"/>
      <c r="FP37" s="1466"/>
      <c r="FQ37" s="1466"/>
      <c r="FR37" s="2003"/>
      <c r="FS37" s="2003"/>
      <c r="FT37" s="2003"/>
      <c r="FU37" s="2003"/>
      <c r="FV37" s="2003"/>
      <c r="FW37" s="2003"/>
      <c r="FX37" s="2003"/>
      <c r="FY37" s="2003"/>
      <c r="FZ37" s="2003"/>
      <c r="GA37" s="2003"/>
      <c r="GB37" s="2003"/>
      <c r="GC37" s="2003"/>
      <c r="GD37" s="1466"/>
      <c r="GE37" s="1466"/>
      <c r="GF37" s="2003"/>
      <c r="GG37" s="2003"/>
      <c r="GH37" s="2003"/>
      <c r="GI37" s="2003"/>
      <c r="GJ37" s="2003"/>
      <c r="GK37" s="2003"/>
      <c r="GL37" s="2003"/>
      <c r="GM37" s="2003"/>
      <c r="GN37" s="2003"/>
      <c r="GO37" s="2003"/>
      <c r="GP37" s="2003"/>
      <c r="GQ37" s="2003"/>
      <c r="GR37" s="1466"/>
      <c r="GS37" s="2040"/>
      <c r="GT37" s="2003"/>
      <c r="GU37" s="2003"/>
      <c r="GV37" s="2003"/>
      <c r="GW37" s="2003"/>
      <c r="GX37" s="2003"/>
      <c r="GY37" s="2003"/>
      <c r="GZ37" s="2003"/>
      <c r="HA37" s="2003"/>
      <c r="HB37" s="2003"/>
      <c r="HC37" s="2003"/>
      <c r="HD37" s="2003"/>
      <c r="HE37" s="2003"/>
      <c r="HF37" s="1466"/>
      <c r="HG37" s="1466"/>
      <c r="HH37" s="1321"/>
      <c r="HI37" s="1321"/>
      <c r="HJ37" s="1321"/>
      <c r="HK37" s="1321"/>
      <c r="HL37" s="1321"/>
      <c r="HM37" s="1321"/>
      <c r="HN37" s="1321"/>
      <c r="HO37" s="1321"/>
      <c r="HP37" s="1321"/>
      <c r="HQ37" s="1321"/>
      <c r="HR37" s="1321"/>
      <c r="HS37" s="1321"/>
    </row>
    <row r="38" customFormat="false" ht="10.5" hidden="false" customHeight="true" outlineLevel="0" collapsed="false">
      <c r="A38" s="1641"/>
      <c r="B38" s="2027" t="str">
        <f aca="false">'Tables 5Y'!$R$41</f>
        <v>Total Payroll</v>
      </c>
      <c r="C38" s="2064" t="n">
        <f aca="false">Personnel!P41</f>
        <v>533399.958</v>
      </c>
      <c r="D38" s="2065" t="n">
        <f aca="false">Personnel!Q41</f>
        <v>651699.958</v>
      </c>
      <c r="E38" s="2065" t="n">
        <f aca="false">Personnel!R41</f>
        <v>879199.958</v>
      </c>
      <c r="F38" s="2065" t="n">
        <f aca="false">Personnel!S41</f>
        <v>1106699.958</v>
      </c>
      <c r="G38" s="2065" t="n">
        <f aca="false">Personnel!T41</f>
        <v>1334199.958</v>
      </c>
      <c r="H38" s="2065" t="n">
        <f aca="false">Personnel!U41</f>
        <v>1561699.958</v>
      </c>
      <c r="I38" s="2065" t="n">
        <f aca="false">Personnel!V41</f>
        <v>1789199.958</v>
      </c>
      <c r="J38" s="2065" t="n">
        <f aca="false">Personnel!W41</f>
        <v>1907499.958</v>
      </c>
      <c r="K38" s="2065" t="n">
        <f aca="false">Personnel!X41</f>
        <v>1907499.958</v>
      </c>
      <c r="L38" s="2065" t="n">
        <f aca="false">Personnel!Y41</f>
        <v>1907499.958</v>
      </c>
      <c r="M38" s="2065" t="n">
        <f aca="false">Personnel!Z41</f>
        <v>1907499.958</v>
      </c>
      <c r="N38" s="2066" t="n">
        <f aca="false">Personnel!AA41</f>
        <v>1907499.958</v>
      </c>
      <c r="O38" s="1882"/>
      <c r="P38" s="2031" t="str">
        <f aca="false">'Tables 5Y'!$R$41</f>
        <v>Total Payroll</v>
      </c>
      <c r="Q38" s="2067" t="n">
        <f aca="false">Personnel!AB41</f>
        <v>2048812.43385</v>
      </c>
      <c r="R38" s="2068" t="n">
        <f aca="false">Personnel!AC41</f>
        <v>2048812.43385</v>
      </c>
      <c r="S38" s="2068" t="n">
        <f aca="false">Personnel!AD41</f>
        <v>2048812.43385</v>
      </c>
      <c r="T38" s="2068" t="n">
        <f aca="false">Personnel!AE41</f>
        <v>2048812.43385</v>
      </c>
      <c r="U38" s="2068" t="n">
        <f aca="false">Personnel!AF41</f>
        <v>2048812.43385</v>
      </c>
      <c r="V38" s="2068" t="n">
        <f aca="false">Personnel!AG41</f>
        <v>2048812.43385</v>
      </c>
      <c r="W38" s="2068" t="n">
        <f aca="false">Personnel!AH41</f>
        <v>2048812.43385</v>
      </c>
      <c r="X38" s="2068" t="n">
        <f aca="false">Personnel!AI41</f>
        <v>2048812.43385</v>
      </c>
      <c r="Y38" s="2068" t="n">
        <f aca="false">Personnel!AJ41</f>
        <v>2048812.43385</v>
      </c>
      <c r="Z38" s="2068" t="n">
        <f aca="false">Personnel!AK41</f>
        <v>2048812.43385</v>
      </c>
      <c r="AA38" s="2068" t="n">
        <f aca="false">Personnel!AL41</f>
        <v>2048812.43385</v>
      </c>
      <c r="AB38" s="2069" t="n">
        <f aca="false">Personnel!AM41</f>
        <v>2048812.43385</v>
      </c>
      <c r="AC38" s="1882"/>
      <c r="AD38" s="2035" t="str">
        <f aca="false">'Tables 5Y'!$R$41</f>
        <v>Total Payroll</v>
      </c>
      <c r="AE38" s="2070" t="n">
        <f aca="false">Personnel!AN41</f>
        <v>2151253.0555425</v>
      </c>
      <c r="AF38" s="2071" t="n">
        <f aca="false">Personnel!AO41</f>
        <v>2151253.0555425</v>
      </c>
      <c r="AG38" s="2071" t="n">
        <f aca="false">Personnel!AP41</f>
        <v>2151253.0555425</v>
      </c>
      <c r="AH38" s="2071" t="n">
        <f aca="false">Personnel!AQ41</f>
        <v>2151253.0555425</v>
      </c>
      <c r="AI38" s="2071" t="n">
        <f aca="false">Personnel!AR41</f>
        <v>2151253.0555425</v>
      </c>
      <c r="AJ38" s="2071" t="n">
        <f aca="false">Personnel!AS41</f>
        <v>2151253.0555425</v>
      </c>
      <c r="AK38" s="2071" t="n">
        <f aca="false">Personnel!AT41</f>
        <v>2151253.0555425</v>
      </c>
      <c r="AL38" s="2071" t="n">
        <f aca="false">Personnel!AU41</f>
        <v>2151253.0555425</v>
      </c>
      <c r="AM38" s="2071" t="n">
        <f aca="false">Personnel!AV41</f>
        <v>2151253.0555425</v>
      </c>
      <c r="AN38" s="2071" t="n">
        <f aca="false">Personnel!AW41</f>
        <v>2151253.0555425</v>
      </c>
      <c r="AO38" s="2071" t="n">
        <f aca="false">Personnel!AX41</f>
        <v>2151253.0555425</v>
      </c>
      <c r="AP38" s="2072" t="n">
        <f aca="false">Personnel!AY41</f>
        <v>2151253.0555425</v>
      </c>
      <c r="AQ38" s="1882"/>
      <c r="AR38" s="2036" t="str">
        <f aca="false">'Tables 5Y'!$R$41</f>
        <v>Total Payroll</v>
      </c>
      <c r="AS38" s="2073" t="n">
        <f aca="false">Personnel!AZ41</f>
        <v>2258815.70831963</v>
      </c>
      <c r="AT38" s="2074" t="n">
        <f aca="false">Personnel!BA41</f>
        <v>2258815.70831963</v>
      </c>
      <c r="AU38" s="2074" t="n">
        <f aca="false">Personnel!BB41</f>
        <v>2258815.70831963</v>
      </c>
      <c r="AV38" s="2074" t="n">
        <f aca="false">Personnel!BC41</f>
        <v>2258815.70831963</v>
      </c>
      <c r="AW38" s="2074" t="n">
        <f aca="false">Personnel!BD41</f>
        <v>2258815.70831963</v>
      </c>
      <c r="AX38" s="2074" t="n">
        <f aca="false">Personnel!BE41</f>
        <v>2258815.70831963</v>
      </c>
      <c r="AY38" s="2074" t="n">
        <f aca="false">Personnel!BF41</f>
        <v>2258815.70831963</v>
      </c>
      <c r="AZ38" s="2074" t="n">
        <f aca="false">Personnel!BG41</f>
        <v>2258815.70831963</v>
      </c>
      <c r="BA38" s="2074" t="n">
        <f aca="false">Personnel!BH41</f>
        <v>2258815.70831963</v>
      </c>
      <c r="BB38" s="2074" t="n">
        <f aca="false">Personnel!BI41</f>
        <v>2258815.70831963</v>
      </c>
      <c r="BC38" s="2074" t="n">
        <f aca="false">Personnel!BJ41</f>
        <v>2258815.70831963</v>
      </c>
      <c r="BD38" s="2075" t="n">
        <f aca="false">Personnel!BK41</f>
        <v>2258815.70831963</v>
      </c>
      <c r="BE38" s="1466"/>
      <c r="BF38" s="1885"/>
      <c r="BG38" s="2108" t="str">
        <f aca="false">Revenue!A125</f>
        <v>CS-8</v>
      </c>
      <c r="BH38" s="2109" t="n">
        <f aca="false">Revenue!N125</f>
        <v>83151.5625</v>
      </c>
      <c r="BI38" s="2109" t="n">
        <f aca="false">Revenue!O125</f>
        <v>92390.625</v>
      </c>
      <c r="BJ38" s="2109" t="n">
        <f aca="false">Revenue!P125</f>
        <v>101629.6875</v>
      </c>
      <c r="BK38" s="2109" t="n">
        <f aca="false">Revenue!Q125</f>
        <v>110868.75</v>
      </c>
      <c r="BL38" s="2109" t="n">
        <f aca="false">Revenue!R125</f>
        <v>120107.8125</v>
      </c>
      <c r="BM38" s="2109" t="n">
        <f aca="false">Revenue!S125</f>
        <v>129346.875</v>
      </c>
      <c r="BN38" s="2109" t="n">
        <f aca="false">Revenue!T125</f>
        <v>138585.9375</v>
      </c>
      <c r="BO38" s="2109" t="n">
        <f aca="false">Revenue!U125</f>
        <v>147825</v>
      </c>
      <c r="BP38" s="2109" t="n">
        <f aca="false">Revenue!V125</f>
        <v>157064.0625</v>
      </c>
      <c r="BQ38" s="2109" t="n">
        <f aca="false">Revenue!W125</f>
        <v>166303.125</v>
      </c>
      <c r="BR38" s="2109" t="n">
        <f aca="false">Revenue!X125</f>
        <v>175542.1875</v>
      </c>
      <c r="BS38" s="2108" t="n">
        <f aca="false">Revenue!Y125</f>
        <v>184781.25</v>
      </c>
      <c r="BT38" s="1888"/>
      <c r="BU38" s="1952" t="str">
        <f aca="false">BG38</f>
        <v>CS-8</v>
      </c>
      <c r="BV38" s="1952" t="n">
        <f aca="false">Revenue!Z93</f>
        <v>967249.999999998</v>
      </c>
      <c r="BW38" s="1952" t="n">
        <f aca="false">Revenue!AA93</f>
        <v>967249.999999998</v>
      </c>
      <c r="BX38" s="1953" t="n">
        <f aca="false">Revenue!AB93</f>
        <v>967249.999999998</v>
      </c>
      <c r="BY38" s="1952" t="n">
        <f aca="false">Revenue!AC93</f>
        <v>967249.999999998</v>
      </c>
      <c r="BZ38" s="1952" t="n">
        <f aca="false">Revenue!AD93</f>
        <v>967249.999999998</v>
      </c>
      <c r="CA38" s="1952" t="n">
        <f aca="false">Revenue!AE93</f>
        <v>967249.999999998</v>
      </c>
      <c r="CB38" s="1952" t="n">
        <f aca="false">Revenue!AF93</f>
        <v>967249.999999998</v>
      </c>
      <c r="CC38" s="1952" t="n">
        <f aca="false">Revenue!AG93</f>
        <v>967249.999999998</v>
      </c>
      <c r="CD38" s="1952" t="n">
        <f aca="false">Revenue!AH93</f>
        <v>967249.999999998</v>
      </c>
      <c r="CE38" s="1952" t="n">
        <f aca="false">Revenue!AI93</f>
        <v>967249.999999998</v>
      </c>
      <c r="CF38" s="1952" t="n">
        <f aca="false">Revenue!AJ93</f>
        <v>967249.999999998</v>
      </c>
      <c r="CG38" s="1952" t="n">
        <f aca="false">Revenue!AK93</f>
        <v>967249.999999998</v>
      </c>
      <c r="CH38" s="1891"/>
      <c r="CI38" s="1954" t="str">
        <f aca="false">BU38</f>
        <v>CS-8</v>
      </c>
      <c r="CJ38" s="1955" t="n">
        <f aca="false">Revenue!AL93</f>
        <v>1047854.16666667</v>
      </c>
      <c r="CK38" s="1955" t="n">
        <f aca="false">Revenue!AM93</f>
        <v>1047854.16666667</v>
      </c>
      <c r="CL38" s="1955" t="n">
        <f aca="false">Revenue!AN93</f>
        <v>1047854.16666667</v>
      </c>
      <c r="CM38" s="1955" t="n">
        <f aca="false">Revenue!AO93</f>
        <v>1047854.16666667</v>
      </c>
      <c r="CN38" s="1955" t="n">
        <f aca="false">Revenue!AP93</f>
        <v>1047854.16666667</v>
      </c>
      <c r="CO38" s="1955" t="n">
        <f aca="false">Revenue!AQ93</f>
        <v>1047854.16666667</v>
      </c>
      <c r="CP38" s="1955" t="n">
        <f aca="false">Revenue!AR93</f>
        <v>1047854.16666667</v>
      </c>
      <c r="CQ38" s="1955" t="n">
        <f aca="false">Revenue!AS93</f>
        <v>1047854.16666667</v>
      </c>
      <c r="CR38" s="1955" t="n">
        <f aca="false">Revenue!AT93</f>
        <v>1047854.16666667</v>
      </c>
      <c r="CS38" s="1955" t="n">
        <f aca="false">Revenue!AU93</f>
        <v>1047854.16666667</v>
      </c>
      <c r="CT38" s="1955" t="n">
        <f aca="false">Revenue!AV93</f>
        <v>1047854.16666667</v>
      </c>
      <c r="CU38" s="1955" t="n">
        <f aca="false">Revenue!AW93</f>
        <v>1047854.16666667</v>
      </c>
      <c r="CV38" s="1888"/>
      <c r="CW38" s="1956" t="str">
        <f aca="false">CI38</f>
        <v>CS-8</v>
      </c>
      <c r="CX38" s="1957" t="n">
        <f aca="false">Revenue!AX93</f>
        <v>1128458.33333333</v>
      </c>
      <c r="CY38" s="1957" t="n">
        <f aca="false">Revenue!AY93</f>
        <v>1128458.33333333</v>
      </c>
      <c r="CZ38" s="1957" t="n">
        <f aca="false">Revenue!AZ93</f>
        <v>1128458.33333333</v>
      </c>
      <c r="DA38" s="1957" t="n">
        <f aca="false">Revenue!BA93</f>
        <v>1128458.33333333</v>
      </c>
      <c r="DB38" s="1957" t="n">
        <f aca="false">Revenue!BB93</f>
        <v>1128458.33333333</v>
      </c>
      <c r="DC38" s="1957" t="n">
        <f aca="false">Revenue!BC93</f>
        <v>1128458.33333333</v>
      </c>
      <c r="DD38" s="1957" t="n">
        <f aca="false">Revenue!BD93</f>
        <v>1128458.33333333</v>
      </c>
      <c r="DE38" s="1957" t="n">
        <f aca="false">Revenue!BE93</f>
        <v>1128458.33333333</v>
      </c>
      <c r="DF38" s="1957" t="n">
        <f aca="false">Revenue!BF93</f>
        <v>1128458.33333333</v>
      </c>
      <c r="DG38" s="1957" t="n">
        <f aca="false">Revenue!BG93</f>
        <v>1128458.33333333</v>
      </c>
      <c r="DH38" s="1957" t="n">
        <f aca="false">Revenue!BH93</f>
        <v>1128458.33333333</v>
      </c>
      <c r="DI38" s="1957" t="n">
        <f aca="false">Revenue!BI93</f>
        <v>1128458.33333333</v>
      </c>
      <c r="DJ38" s="1466"/>
      <c r="DK38" s="1466"/>
      <c r="DL38" s="1466"/>
      <c r="DM38" s="1466"/>
      <c r="DN38" s="1466"/>
      <c r="DO38" s="1466"/>
      <c r="DP38" s="1466"/>
      <c r="DQ38" s="1466"/>
      <c r="DR38" s="1466"/>
      <c r="DS38" s="1466"/>
      <c r="DT38" s="1466"/>
      <c r="DU38" s="1466"/>
      <c r="DV38" s="1466"/>
      <c r="DW38" s="1466"/>
      <c r="DX38" s="1466"/>
      <c r="DY38" s="1466"/>
      <c r="DZ38" s="1321"/>
      <c r="EA38" s="1466"/>
      <c r="EB38" s="1466"/>
      <c r="EC38" s="1466"/>
      <c r="ED38" s="1466"/>
      <c r="EE38" s="1466"/>
      <c r="EF38" s="1466"/>
      <c r="EG38" s="1466"/>
      <c r="EH38" s="1466"/>
      <c r="EI38" s="1466"/>
      <c r="EJ38" s="1466"/>
      <c r="EK38" s="1466"/>
      <c r="EL38" s="1466"/>
      <c r="EM38" s="1466"/>
      <c r="EN38" s="1321"/>
      <c r="EO38" s="1321"/>
      <c r="EP38" s="1321"/>
      <c r="EQ38" s="1321"/>
      <c r="ER38" s="1321"/>
      <c r="ES38" s="1321"/>
      <c r="ET38" s="1321"/>
      <c r="EU38" s="1321"/>
      <c r="EV38" s="1321"/>
      <c r="EW38" s="1321"/>
      <c r="EX38" s="1321"/>
      <c r="EY38" s="1321"/>
      <c r="EZ38" s="1321"/>
      <c r="FA38" s="1466"/>
      <c r="FB38" s="1321"/>
      <c r="FC38" s="1466"/>
      <c r="FD38" s="1466"/>
      <c r="FE38" s="1466"/>
      <c r="FF38" s="1466"/>
      <c r="FG38" s="1466"/>
      <c r="FH38" s="1466"/>
      <c r="FI38" s="1466"/>
      <c r="FJ38" s="1466"/>
      <c r="FK38" s="1466"/>
      <c r="FL38" s="1466"/>
      <c r="FM38" s="1466"/>
      <c r="FN38" s="1466"/>
      <c r="FO38" s="1466"/>
      <c r="FP38" s="1466"/>
      <c r="FQ38" s="1466"/>
      <c r="FR38" s="2003"/>
      <c r="FS38" s="2003"/>
      <c r="FT38" s="2003"/>
      <c r="FU38" s="2003"/>
      <c r="FV38" s="2003"/>
      <c r="FW38" s="2003"/>
      <c r="FX38" s="2003"/>
      <c r="FY38" s="2003"/>
      <c r="FZ38" s="2003"/>
      <c r="GA38" s="2003"/>
      <c r="GB38" s="2003"/>
      <c r="GC38" s="2003"/>
      <c r="GD38" s="1466"/>
      <c r="GE38" s="1466"/>
      <c r="GF38" s="2003"/>
      <c r="GG38" s="2003"/>
      <c r="GH38" s="2003"/>
      <c r="GI38" s="2003"/>
      <c r="GJ38" s="2003"/>
      <c r="GK38" s="2003"/>
      <c r="GL38" s="2003"/>
      <c r="GM38" s="2003"/>
      <c r="GN38" s="2003"/>
      <c r="GO38" s="2003"/>
      <c r="GP38" s="2003"/>
      <c r="GQ38" s="2003"/>
      <c r="GR38" s="1466"/>
      <c r="GS38" s="2040"/>
      <c r="GT38" s="2003"/>
      <c r="GU38" s="2003"/>
      <c r="GV38" s="2003"/>
      <c r="GW38" s="2003"/>
      <c r="GX38" s="2003"/>
      <c r="GY38" s="2003"/>
      <c r="GZ38" s="2003"/>
      <c r="HA38" s="2003"/>
      <c r="HB38" s="2003"/>
      <c r="HC38" s="2003"/>
      <c r="HD38" s="2003"/>
      <c r="HE38" s="2003"/>
      <c r="HF38" s="1466"/>
      <c r="HG38" s="1466"/>
      <c r="HH38" s="1321"/>
      <c r="HI38" s="1321"/>
      <c r="HJ38" s="1321"/>
      <c r="HK38" s="1321"/>
      <c r="HL38" s="1321"/>
      <c r="HM38" s="1321"/>
      <c r="HN38" s="1321"/>
      <c r="HO38" s="1321"/>
      <c r="HP38" s="1321"/>
      <c r="HQ38" s="1321"/>
      <c r="HR38" s="1321"/>
      <c r="HS38" s="1321"/>
    </row>
    <row r="39" customFormat="false" ht="10.5" hidden="false" customHeight="true" outlineLevel="0" collapsed="false">
      <c r="A39" s="46"/>
      <c r="O39" s="46"/>
      <c r="AC39" s="46"/>
      <c r="AQ39" s="46"/>
      <c r="BE39" s="1466"/>
      <c r="BF39" s="1885"/>
      <c r="BG39" s="2108" t="str">
        <f aca="false">Revenue!A126</f>
        <v>CS-10</v>
      </c>
      <c r="BH39" s="2109" t="n">
        <f aca="false">Revenue!N126</f>
        <v>73382.625</v>
      </c>
      <c r="BI39" s="2109" t="n">
        <f aca="false">Revenue!O126</f>
        <v>81536.25</v>
      </c>
      <c r="BJ39" s="2109" t="n">
        <f aca="false">Revenue!P126</f>
        <v>89689.875</v>
      </c>
      <c r="BK39" s="2109" t="n">
        <f aca="false">Revenue!Q126</f>
        <v>97843.5</v>
      </c>
      <c r="BL39" s="2109" t="n">
        <f aca="false">Revenue!R126</f>
        <v>105997.125</v>
      </c>
      <c r="BM39" s="2109" t="n">
        <f aca="false">Revenue!S126</f>
        <v>114150.75</v>
      </c>
      <c r="BN39" s="2109" t="n">
        <f aca="false">Revenue!T126</f>
        <v>122304.375</v>
      </c>
      <c r="BO39" s="2109" t="n">
        <f aca="false">Revenue!U126</f>
        <v>130458</v>
      </c>
      <c r="BP39" s="2109" t="n">
        <f aca="false">Revenue!V126</f>
        <v>138611.625</v>
      </c>
      <c r="BQ39" s="2109" t="n">
        <f aca="false">Revenue!W126</f>
        <v>146765.25</v>
      </c>
      <c r="BR39" s="2109" t="n">
        <f aca="false">Revenue!X126</f>
        <v>154918.875</v>
      </c>
      <c r="BS39" s="2108" t="n">
        <f aca="false">Revenue!Y126</f>
        <v>163072.5</v>
      </c>
      <c r="BT39" s="1888"/>
      <c r="BU39" s="1952" t="str">
        <f aca="false">BG39</f>
        <v>CS-10</v>
      </c>
      <c r="BV39" s="1952" t="n">
        <f aca="false">Revenue!Z94</f>
        <v>967249.999999998</v>
      </c>
      <c r="BW39" s="1952" t="n">
        <f aca="false">Revenue!AA94</f>
        <v>967249.999999998</v>
      </c>
      <c r="BX39" s="1953" t="n">
        <f aca="false">Revenue!AB94</f>
        <v>967249.999999998</v>
      </c>
      <c r="BY39" s="1952" t="n">
        <f aca="false">Revenue!AC94</f>
        <v>967249.999999998</v>
      </c>
      <c r="BZ39" s="1952" t="n">
        <f aca="false">Revenue!AD94</f>
        <v>967249.999999998</v>
      </c>
      <c r="CA39" s="1952" t="n">
        <f aca="false">Revenue!AE94</f>
        <v>967249.999999998</v>
      </c>
      <c r="CB39" s="1952" t="n">
        <f aca="false">Revenue!AF94</f>
        <v>967249.999999998</v>
      </c>
      <c r="CC39" s="1952" t="n">
        <f aca="false">Revenue!AG94</f>
        <v>967249.999999998</v>
      </c>
      <c r="CD39" s="1952" t="n">
        <f aca="false">Revenue!AH94</f>
        <v>967249.999999998</v>
      </c>
      <c r="CE39" s="1952" t="n">
        <f aca="false">Revenue!AI94</f>
        <v>967249.999999998</v>
      </c>
      <c r="CF39" s="1952" t="n">
        <f aca="false">Revenue!AJ94</f>
        <v>967249.999999998</v>
      </c>
      <c r="CG39" s="1952" t="n">
        <f aca="false">Revenue!AK94</f>
        <v>967249.999999998</v>
      </c>
      <c r="CH39" s="1891"/>
      <c r="CI39" s="1954" t="str">
        <f aca="false">BU39</f>
        <v>CS-10</v>
      </c>
      <c r="CJ39" s="1955" t="n">
        <f aca="false">Revenue!AL94</f>
        <v>1047854.16666667</v>
      </c>
      <c r="CK39" s="1955" t="n">
        <f aca="false">Revenue!AM94</f>
        <v>1047854.16666667</v>
      </c>
      <c r="CL39" s="1955" t="n">
        <f aca="false">Revenue!AN94</f>
        <v>1047854.16666667</v>
      </c>
      <c r="CM39" s="1955" t="n">
        <f aca="false">Revenue!AO94</f>
        <v>1047854.16666667</v>
      </c>
      <c r="CN39" s="1955" t="n">
        <f aca="false">Revenue!AP94</f>
        <v>1047854.16666667</v>
      </c>
      <c r="CO39" s="1955" t="n">
        <f aca="false">Revenue!AQ94</f>
        <v>1047854.16666667</v>
      </c>
      <c r="CP39" s="1955" t="n">
        <f aca="false">Revenue!AR94</f>
        <v>1047854.16666667</v>
      </c>
      <c r="CQ39" s="1955" t="n">
        <f aca="false">Revenue!AS94</f>
        <v>1047854.16666667</v>
      </c>
      <c r="CR39" s="1955" t="n">
        <f aca="false">Revenue!AT94</f>
        <v>1047854.16666667</v>
      </c>
      <c r="CS39" s="1955" t="n">
        <f aca="false">Revenue!AU94</f>
        <v>1047854.16666667</v>
      </c>
      <c r="CT39" s="1955" t="n">
        <f aca="false">Revenue!AV94</f>
        <v>1047854.16666667</v>
      </c>
      <c r="CU39" s="1955" t="n">
        <f aca="false">Revenue!AW94</f>
        <v>1047854.16666667</v>
      </c>
      <c r="CV39" s="1888"/>
      <c r="CW39" s="1956" t="str">
        <f aca="false">CI39</f>
        <v>CS-10</v>
      </c>
      <c r="CX39" s="1957" t="n">
        <f aca="false">Revenue!AX94</f>
        <v>1128458.33333333</v>
      </c>
      <c r="CY39" s="1957" t="n">
        <f aca="false">Revenue!AY94</f>
        <v>1128458.33333333</v>
      </c>
      <c r="CZ39" s="1957" t="n">
        <f aca="false">Revenue!AZ94</f>
        <v>1128458.33333333</v>
      </c>
      <c r="DA39" s="1957" t="n">
        <f aca="false">Revenue!BA94</f>
        <v>1128458.33333333</v>
      </c>
      <c r="DB39" s="1957" t="n">
        <f aca="false">Revenue!BB94</f>
        <v>1128458.33333333</v>
      </c>
      <c r="DC39" s="1957" t="n">
        <f aca="false">Revenue!BC94</f>
        <v>1128458.33333333</v>
      </c>
      <c r="DD39" s="1957" t="n">
        <f aca="false">Revenue!BD94</f>
        <v>1128458.33333333</v>
      </c>
      <c r="DE39" s="1957" t="n">
        <f aca="false">Revenue!BE94</f>
        <v>1128458.33333333</v>
      </c>
      <c r="DF39" s="1957" t="n">
        <f aca="false">Revenue!BF94</f>
        <v>1128458.33333333</v>
      </c>
      <c r="DG39" s="1957" t="n">
        <f aca="false">Revenue!BG94</f>
        <v>1128458.33333333</v>
      </c>
      <c r="DH39" s="1957" t="n">
        <f aca="false">Revenue!BH94</f>
        <v>1128458.33333333</v>
      </c>
      <c r="DI39" s="1957" t="n">
        <f aca="false">Revenue!BI94</f>
        <v>1128458.33333333</v>
      </c>
      <c r="DJ39" s="1466"/>
      <c r="DK39" s="1466"/>
      <c r="DL39" s="1466"/>
      <c r="DM39" s="1466"/>
      <c r="DN39" s="1466"/>
      <c r="DO39" s="1466"/>
      <c r="DP39" s="1466"/>
      <c r="DQ39" s="1466"/>
      <c r="DR39" s="1466"/>
      <c r="DS39" s="1466"/>
      <c r="DT39" s="1466"/>
      <c r="DU39" s="1466"/>
      <c r="DV39" s="1466"/>
      <c r="DW39" s="1466"/>
      <c r="DX39" s="1466"/>
      <c r="DY39" s="1466"/>
      <c r="DZ39" s="1321"/>
      <c r="EA39" s="1466"/>
      <c r="EB39" s="1466"/>
      <c r="EC39" s="1466"/>
      <c r="ED39" s="1466"/>
      <c r="EE39" s="1466"/>
      <c r="EF39" s="1466"/>
      <c r="EG39" s="1466"/>
      <c r="EH39" s="1466"/>
      <c r="EI39" s="1466"/>
      <c r="EJ39" s="1466"/>
      <c r="EK39" s="1466"/>
      <c r="EL39" s="1466"/>
      <c r="EM39" s="1466"/>
      <c r="EN39" s="1321"/>
      <c r="EO39" s="1321"/>
      <c r="EP39" s="1321"/>
      <c r="EQ39" s="1321"/>
      <c r="ER39" s="1321"/>
      <c r="ES39" s="1321"/>
      <c r="ET39" s="1321"/>
      <c r="EU39" s="1321"/>
      <c r="EV39" s="1321"/>
      <c r="EW39" s="1321"/>
      <c r="EX39" s="1321"/>
      <c r="EY39" s="1321"/>
      <c r="EZ39" s="1321"/>
      <c r="FA39" s="1466"/>
      <c r="FB39" s="1321"/>
      <c r="FC39" s="1466"/>
      <c r="FD39" s="1466"/>
      <c r="FE39" s="1466"/>
      <c r="FF39" s="1466"/>
      <c r="FG39" s="1466"/>
      <c r="FH39" s="1466"/>
      <c r="FI39" s="1466"/>
      <c r="FJ39" s="1466"/>
      <c r="FK39" s="1466"/>
      <c r="FL39" s="1466"/>
      <c r="FM39" s="1466"/>
      <c r="FN39" s="1466"/>
      <c r="FO39" s="1466"/>
      <c r="FP39" s="1466"/>
      <c r="FQ39" s="1466"/>
      <c r="FR39" s="2003"/>
      <c r="FS39" s="2003"/>
      <c r="FT39" s="2003"/>
      <c r="FU39" s="2003"/>
      <c r="FV39" s="2003"/>
      <c r="FW39" s="2003"/>
      <c r="FX39" s="2003"/>
      <c r="FY39" s="2003"/>
      <c r="FZ39" s="2003"/>
      <c r="GA39" s="2003"/>
      <c r="GB39" s="2003"/>
      <c r="GC39" s="2003"/>
      <c r="GD39" s="1466"/>
      <c r="GE39" s="1466"/>
      <c r="GF39" s="2003"/>
      <c r="GG39" s="2003"/>
      <c r="GH39" s="2003"/>
      <c r="GI39" s="2003"/>
      <c r="GJ39" s="2003"/>
      <c r="GK39" s="2003"/>
      <c r="GL39" s="2003"/>
      <c r="GM39" s="2003"/>
      <c r="GN39" s="2003"/>
      <c r="GO39" s="2003"/>
      <c r="GP39" s="2003"/>
      <c r="GQ39" s="2003"/>
      <c r="GR39" s="1466"/>
      <c r="GS39" s="2040"/>
      <c r="GT39" s="2003"/>
      <c r="GU39" s="2003"/>
      <c r="GV39" s="2003"/>
      <c r="GW39" s="2003"/>
      <c r="GX39" s="2003"/>
      <c r="GY39" s="2003"/>
      <c r="GZ39" s="2003"/>
      <c r="HA39" s="2003"/>
      <c r="HB39" s="2003"/>
      <c r="HC39" s="2003"/>
      <c r="HD39" s="2003"/>
      <c r="HE39" s="2003"/>
      <c r="HF39" s="1466"/>
      <c r="HG39" s="1466"/>
      <c r="HH39" s="1321"/>
      <c r="HI39" s="1321"/>
      <c r="HJ39" s="1321"/>
      <c r="HK39" s="1321"/>
      <c r="HL39" s="1321"/>
      <c r="HM39" s="1321"/>
      <c r="HN39" s="1321"/>
      <c r="HO39" s="1321"/>
      <c r="HP39" s="1321"/>
      <c r="HQ39" s="1321"/>
      <c r="HR39" s="1321"/>
      <c r="HS39" s="1321"/>
    </row>
    <row r="40" s="2111" customFormat="true" ht="10.5" hidden="false" customHeight="true" outlineLevel="0" collapsed="false">
      <c r="A40" s="2110"/>
      <c r="C40" s="2112"/>
      <c r="D40" s="2112"/>
      <c r="E40" s="2112"/>
      <c r="F40" s="2112"/>
      <c r="G40" s="2112"/>
      <c r="H40" s="2112"/>
      <c r="I40" s="2112"/>
      <c r="J40" s="2112"/>
      <c r="K40" s="2112"/>
      <c r="L40" s="2112"/>
      <c r="M40" s="2112"/>
      <c r="N40" s="2112"/>
      <c r="O40" s="2110"/>
      <c r="Q40" s="2112"/>
      <c r="R40" s="2112"/>
      <c r="S40" s="2112"/>
      <c r="T40" s="2112"/>
      <c r="U40" s="2112"/>
      <c r="V40" s="2112"/>
      <c r="W40" s="2112"/>
      <c r="X40" s="2112"/>
      <c r="Y40" s="2112"/>
      <c r="Z40" s="2112"/>
      <c r="AA40" s="2112"/>
      <c r="AB40" s="2112"/>
      <c r="AC40" s="2110"/>
      <c r="AE40" s="2112"/>
      <c r="AF40" s="2112"/>
      <c r="AG40" s="2112"/>
      <c r="AH40" s="2112"/>
      <c r="AI40" s="2112"/>
      <c r="AJ40" s="2112"/>
      <c r="AK40" s="2112"/>
      <c r="AL40" s="2112"/>
      <c r="AM40" s="2112"/>
      <c r="AN40" s="2112"/>
      <c r="AO40" s="2112"/>
      <c r="AP40" s="2112"/>
      <c r="AQ40" s="2110"/>
      <c r="AS40" s="2112"/>
      <c r="AT40" s="2112"/>
      <c r="AU40" s="2112"/>
      <c r="AV40" s="2112"/>
      <c r="AW40" s="2112"/>
      <c r="AX40" s="2112"/>
      <c r="AY40" s="2112"/>
      <c r="AZ40" s="2112"/>
      <c r="BA40" s="2112"/>
      <c r="BB40" s="2112"/>
      <c r="BC40" s="2112"/>
      <c r="BD40" s="2112"/>
      <c r="BE40" s="2113"/>
      <c r="BF40" s="1885"/>
      <c r="BG40" s="2108" t="str">
        <f aca="false">Revenue!A127</f>
        <v>CS-12</v>
      </c>
      <c r="BH40" s="2109" t="n">
        <f aca="false">Revenue!N127</f>
        <v>88194.375</v>
      </c>
      <c r="BI40" s="2109" t="n">
        <f aca="false">Revenue!O127</f>
        <v>97993.75</v>
      </c>
      <c r="BJ40" s="2109" t="n">
        <f aca="false">Revenue!P127</f>
        <v>107793.125</v>
      </c>
      <c r="BK40" s="2109" t="n">
        <f aca="false">Revenue!Q127</f>
        <v>117592.5</v>
      </c>
      <c r="BL40" s="2109" t="n">
        <f aca="false">Revenue!R127</f>
        <v>127391.875</v>
      </c>
      <c r="BM40" s="2109" t="n">
        <f aca="false">Revenue!S127</f>
        <v>137191.25</v>
      </c>
      <c r="BN40" s="2109" t="n">
        <f aca="false">Revenue!T127</f>
        <v>146990.625</v>
      </c>
      <c r="BO40" s="2109" t="n">
        <f aca="false">Revenue!U127</f>
        <v>156790</v>
      </c>
      <c r="BP40" s="2109" t="n">
        <f aca="false">Revenue!V127</f>
        <v>166589.375</v>
      </c>
      <c r="BQ40" s="2109" t="n">
        <f aca="false">Revenue!W127</f>
        <v>176388.749999999</v>
      </c>
      <c r="BR40" s="2109" t="n">
        <f aca="false">Revenue!X127</f>
        <v>186188.125000001</v>
      </c>
      <c r="BS40" s="2108" t="n">
        <f aca="false">Revenue!Y127</f>
        <v>195987.5</v>
      </c>
      <c r="BT40" s="1888"/>
      <c r="BU40" s="1952" t="str">
        <f aca="false">BG40</f>
        <v>CS-12</v>
      </c>
      <c r="BV40" s="1952" t="n">
        <f aca="false">Revenue!Z95</f>
        <v>1209062.5</v>
      </c>
      <c r="BW40" s="1952" t="n">
        <f aca="false">Revenue!AA95</f>
        <v>1209062.5</v>
      </c>
      <c r="BX40" s="1953" t="n">
        <f aca="false">Revenue!AB95</f>
        <v>1209062.5</v>
      </c>
      <c r="BY40" s="1952" t="n">
        <f aca="false">Revenue!AC95</f>
        <v>1209062.5</v>
      </c>
      <c r="BZ40" s="1952" t="n">
        <f aca="false">Revenue!AD95</f>
        <v>1209062.5</v>
      </c>
      <c r="CA40" s="1952" t="n">
        <f aca="false">Revenue!AE95</f>
        <v>1209062.5</v>
      </c>
      <c r="CB40" s="1952" t="n">
        <f aca="false">Revenue!AF95</f>
        <v>1209062.5</v>
      </c>
      <c r="CC40" s="1952" t="n">
        <f aca="false">Revenue!AG95</f>
        <v>1209062.5</v>
      </c>
      <c r="CD40" s="1952" t="n">
        <f aca="false">Revenue!AH95</f>
        <v>1209062.5</v>
      </c>
      <c r="CE40" s="1952" t="n">
        <f aca="false">Revenue!AI95</f>
        <v>1209062.5</v>
      </c>
      <c r="CF40" s="1952" t="n">
        <f aca="false">Revenue!AJ95</f>
        <v>1209062.5</v>
      </c>
      <c r="CG40" s="1952" t="n">
        <f aca="false">Revenue!AK95</f>
        <v>1209062.5</v>
      </c>
      <c r="CH40" s="1891"/>
      <c r="CI40" s="1954" t="str">
        <f aca="false">BU40</f>
        <v>CS-12</v>
      </c>
      <c r="CJ40" s="1955" t="n">
        <f aca="false">Revenue!AL95</f>
        <v>1309817.70833334</v>
      </c>
      <c r="CK40" s="1955" t="n">
        <f aca="false">Revenue!AM95</f>
        <v>1309817.70833334</v>
      </c>
      <c r="CL40" s="1955" t="n">
        <f aca="false">Revenue!AN95</f>
        <v>1309817.70833334</v>
      </c>
      <c r="CM40" s="1955" t="n">
        <f aca="false">Revenue!AO95</f>
        <v>1309817.70833334</v>
      </c>
      <c r="CN40" s="1955" t="n">
        <f aca="false">Revenue!AP95</f>
        <v>1309817.70833334</v>
      </c>
      <c r="CO40" s="1955" t="n">
        <f aca="false">Revenue!AQ95</f>
        <v>1309817.70833334</v>
      </c>
      <c r="CP40" s="1955" t="n">
        <f aca="false">Revenue!AR95</f>
        <v>1309817.70833334</v>
      </c>
      <c r="CQ40" s="1955" t="n">
        <f aca="false">Revenue!AS95</f>
        <v>1309817.70833334</v>
      </c>
      <c r="CR40" s="1955" t="n">
        <f aca="false">Revenue!AT95</f>
        <v>1309817.70833334</v>
      </c>
      <c r="CS40" s="1955" t="n">
        <f aca="false">Revenue!AU95</f>
        <v>1309817.70833334</v>
      </c>
      <c r="CT40" s="1955" t="n">
        <f aca="false">Revenue!AV95</f>
        <v>1309817.70833334</v>
      </c>
      <c r="CU40" s="1955" t="n">
        <f aca="false">Revenue!AW95</f>
        <v>1309817.70833334</v>
      </c>
      <c r="CV40" s="1888"/>
      <c r="CW40" s="1956" t="str">
        <f aca="false">CI40</f>
        <v>CS-12</v>
      </c>
      <c r="CX40" s="1957" t="n">
        <f aca="false">Revenue!AX95</f>
        <v>1410572.91666667</v>
      </c>
      <c r="CY40" s="1957" t="n">
        <f aca="false">Revenue!AY95</f>
        <v>1410572.91666667</v>
      </c>
      <c r="CZ40" s="1957" t="n">
        <f aca="false">Revenue!AZ95</f>
        <v>1410572.91666667</v>
      </c>
      <c r="DA40" s="1957" t="n">
        <f aca="false">Revenue!BA95</f>
        <v>1410572.91666667</v>
      </c>
      <c r="DB40" s="1957" t="n">
        <f aca="false">Revenue!BB95</f>
        <v>1410572.91666667</v>
      </c>
      <c r="DC40" s="1957" t="n">
        <f aca="false">Revenue!BC95</f>
        <v>1410572.91666667</v>
      </c>
      <c r="DD40" s="1957" t="n">
        <f aca="false">Revenue!BD95</f>
        <v>1410572.91666667</v>
      </c>
      <c r="DE40" s="1957" t="n">
        <f aca="false">Revenue!BE95</f>
        <v>1410572.91666667</v>
      </c>
      <c r="DF40" s="1957" t="n">
        <f aca="false">Revenue!BF95</f>
        <v>1410572.91666667</v>
      </c>
      <c r="DG40" s="1957" t="n">
        <f aca="false">Revenue!BG95</f>
        <v>1410572.91666667</v>
      </c>
      <c r="DH40" s="1957" t="n">
        <f aca="false">Revenue!BH95</f>
        <v>1410572.91666667</v>
      </c>
      <c r="DI40" s="1957" t="n">
        <f aca="false">Revenue!BI95</f>
        <v>1410572.91666667</v>
      </c>
      <c r="DJ40" s="2113"/>
      <c r="DK40" s="2113"/>
      <c r="DL40" s="2113"/>
      <c r="DM40" s="2113"/>
      <c r="DN40" s="2113"/>
      <c r="DO40" s="2113"/>
      <c r="DP40" s="2113"/>
      <c r="DQ40" s="2113"/>
      <c r="DR40" s="2113"/>
      <c r="DS40" s="2113"/>
      <c r="DT40" s="2113"/>
      <c r="DU40" s="2113"/>
      <c r="DV40" s="2113"/>
      <c r="DW40" s="2113"/>
      <c r="DX40" s="2113"/>
      <c r="DY40" s="2113"/>
      <c r="DZ40" s="2114"/>
      <c r="EA40" s="2113"/>
      <c r="EB40" s="2113"/>
      <c r="EC40" s="2113"/>
      <c r="ED40" s="2113"/>
      <c r="EE40" s="2113"/>
      <c r="EF40" s="2113"/>
      <c r="EG40" s="2113"/>
      <c r="EH40" s="2113"/>
      <c r="EI40" s="2113"/>
      <c r="EJ40" s="2113"/>
      <c r="EK40" s="2113"/>
      <c r="EL40" s="2113"/>
      <c r="EM40" s="2113"/>
      <c r="EN40" s="2114"/>
      <c r="EO40" s="2114"/>
      <c r="EP40" s="2114"/>
      <c r="EQ40" s="2114"/>
      <c r="ER40" s="2114"/>
      <c r="ES40" s="2114"/>
      <c r="ET40" s="2114"/>
      <c r="EU40" s="2114"/>
      <c r="EV40" s="2114"/>
      <c r="EW40" s="2114"/>
      <c r="EX40" s="2114"/>
      <c r="EY40" s="2114"/>
      <c r="EZ40" s="2114"/>
      <c r="FA40" s="2113"/>
      <c r="FB40" s="2114"/>
      <c r="FC40" s="2113"/>
      <c r="FD40" s="2113"/>
      <c r="FE40" s="2113"/>
      <c r="FF40" s="2113"/>
      <c r="FG40" s="2113"/>
      <c r="FH40" s="2113"/>
      <c r="FI40" s="2113"/>
      <c r="FJ40" s="2113"/>
      <c r="FK40" s="2113"/>
      <c r="FL40" s="2113"/>
      <c r="FM40" s="2113"/>
      <c r="FN40" s="2113"/>
      <c r="FO40" s="2113"/>
      <c r="FP40" s="2113"/>
      <c r="FQ40" s="2113"/>
      <c r="FR40" s="2115"/>
      <c r="FS40" s="2115"/>
      <c r="FT40" s="2115"/>
      <c r="FU40" s="2115"/>
      <c r="FV40" s="2115"/>
      <c r="FW40" s="2115"/>
      <c r="FX40" s="2115"/>
      <c r="FY40" s="2115"/>
      <c r="FZ40" s="2115"/>
      <c r="GA40" s="2115"/>
      <c r="GB40" s="2115"/>
      <c r="GC40" s="2115"/>
      <c r="GD40" s="2113"/>
      <c r="GE40" s="2113"/>
      <c r="GF40" s="2115"/>
      <c r="GG40" s="2115"/>
      <c r="GH40" s="2115"/>
      <c r="GI40" s="2115"/>
      <c r="GJ40" s="2115"/>
      <c r="GK40" s="2115"/>
      <c r="GL40" s="2115"/>
      <c r="GM40" s="2115"/>
      <c r="GN40" s="2115"/>
      <c r="GO40" s="2115"/>
      <c r="GP40" s="2115"/>
      <c r="GQ40" s="2115"/>
      <c r="GR40" s="2113"/>
      <c r="GS40" s="2116"/>
      <c r="GT40" s="2115"/>
      <c r="GU40" s="2115"/>
      <c r="GV40" s="2115"/>
      <c r="GW40" s="2115"/>
      <c r="GX40" s="2115"/>
      <c r="GY40" s="2115"/>
      <c r="GZ40" s="2115"/>
      <c r="HA40" s="2115"/>
      <c r="HB40" s="2115"/>
      <c r="HC40" s="2115"/>
      <c r="HD40" s="2115"/>
      <c r="HE40" s="2115"/>
      <c r="HF40" s="2113"/>
      <c r="HG40" s="2113"/>
      <c r="HH40" s="2114"/>
      <c r="HI40" s="2114"/>
      <c r="HJ40" s="2114"/>
      <c r="HK40" s="2114"/>
      <c r="HL40" s="2114"/>
      <c r="HM40" s="2114"/>
      <c r="HN40" s="2114"/>
      <c r="HO40" s="2114"/>
      <c r="HP40" s="2114"/>
      <c r="HQ40" s="2114"/>
      <c r="HR40" s="2114"/>
      <c r="HS40" s="2114"/>
    </row>
    <row r="41" s="2111" customFormat="true" ht="10.5" hidden="false" customHeight="true" outlineLevel="0" collapsed="false">
      <c r="A41" s="2110"/>
      <c r="B41" s="2117"/>
      <c r="C41" s="2118"/>
      <c r="D41" s="2118"/>
      <c r="E41" s="2118"/>
      <c r="F41" s="2118"/>
      <c r="G41" s="2118"/>
      <c r="H41" s="2118"/>
      <c r="I41" s="2118"/>
      <c r="J41" s="2118"/>
      <c r="K41" s="2118"/>
      <c r="L41" s="2118"/>
      <c r="M41" s="2118"/>
      <c r="N41" s="2118"/>
      <c r="O41" s="2110"/>
      <c r="Q41" s="2112"/>
      <c r="R41" s="2112"/>
      <c r="S41" s="2112"/>
      <c r="T41" s="2112"/>
      <c r="U41" s="2112"/>
      <c r="V41" s="2112"/>
      <c r="W41" s="2112"/>
      <c r="X41" s="2112"/>
      <c r="Y41" s="2112"/>
      <c r="Z41" s="2112"/>
      <c r="AA41" s="2112"/>
      <c r="AB41" s="2112"/>
      <c r="AE41" s="2112"/>
      <c r="AF41" s="2112"/>
      <c r="AG41" s="2112"/>
      <c r="AH41" s="2112"/>
      <c r="AI41" s="2112"/>
      <c r="AJ41" s="2112"/>
      <c r="AK41" s="2112"/>
      <c r="AL41" s="2112"/>
      <c r="AM41" s="2112"/>
      <c r="AN41" s="2112"/>
      <c r="AO41" s="2112"/>
      <c r="AP41" s="2112"/>
      <c r="AQ41" s="2110"/>
      <c r="AS41" s="2112"/>
      <c r="AT41" s="2112"/>
      <c r="AU41" s="2112"/>
      <c r="AV41" s="2112"/>
      <c r="AW41" s="2112"/>
      <c r="AX41" s="2112"/>
      <c r="AY41" s="2112"/>
      <c r="AZ41" s="2112"/>
      <c r="BA41" s="2112"/>
      <c r="BB41" s="2112"/>
      <c r="BC41" s="2112"/>
      <c r="BD41" s="2112"/>
      <c r="BE41" s="2113"/>
      <c r="BF41" s="1885"/>
      <c r="BG41" s="2108" t="str">
        <f aca="false">Revenue!A128</f>
        <v>CS-14</v>
      </c>
      <c r="BH41" s="2109" t="n">
        <f aca="false">Revenue!N128</f>
        <v>70111.2857142859</v>
      </c>
      <c r="BI41" s="2109" t="n">
        <f aca="false">Revenue!O128</f>
        <v>77901.4285714287</v>
      </c>
      <c r="BJ41" s="2109" t="n">
        <f aca="false">Revenue!P128</f>
        <v>85691.5714285717</v>
      </c>
      <c r="BK41" s="2109" t="n">
        <f aca="false">Revenue!Q128</f>
        <v>93481.7142857145</v>
      </c>
      <c r="BL41" s="2109" t="n">
        <f aca="false">Revenue!R128</f>
        <v>101271.857142857</v>
      </c>
      <c r="BM41" s="2109" t="n">
        <f aca="false">Revenue!S128</f>
        <v>109062</v>
      </c>
      <c r="BN41" s="2109" t="n">
        <f aca="false">Revenue!T128</f>
        <v>116852.142857143</v>
      </c>
      <c r="BO41" s="2109" t="n">
        <f aca="false">Revenue!U128</f>
        <v>124642.285714286</v>
      </c>
      <c r="BP41" s="2109" t="n">
        <f aca="false">Revenue!V128</f>
        <v>132432.428571429</v>
      </c>
      <c r="BQ41" s="2109" t="n">
        <f aca="false">Revenue!W128</f>
        <v>140222.571428572</v>
      </c>
      <c r="BR41" s="2109" t="n">
        <f aca="false">Revenue!X128</f>
        <v>148012.714285715</v>
      </c>
      <c r="BS41" s="2108" t="n">
        <f aca="false">Revenue!Y128</f>
        <v>155802.857142857</v>
      </c>
      <c r="BT41" s="1888"/>
      <c r="BU41" s="1952" t="str">
        <f aca="false">BG41</f>
        <v>CS-14</v>
      </c>
      <c r="BV41" s="1952" t="n">
        <f aca="false">Revenue!Z96</f>
        <v>967249.999999998</v>
      </c>
      <c r="BW41" s="1952" t="n">
        <f aca="false">Revenue!AA96</f>
        <v>967249.999999998</v>
      </c>
      <c r="BX41" s="1953" t="n">
        <f aca="false">Revenue!AB96</f>
        <v>967249.999999998</v>
      </c>
      <c r="BY41" s="1952" t="n">
        <f aca="false">Revenue!AC96</f>
        <v>967249.999999998</v>
      </c>
      <c r="BZ41" s="1952" t="n">
        <f aca="false">Revenue!AD96</f>
        <v>967249.999999998</v>
      </c>
      <c r="CA41" s="1952" t="n">
        <f aca="false">Revenue!AE96</f>
        <v>967249.999999998</v>
      </c>
      <c r="CB41" s="1952" t="n">
        <f aca="false">Revenue!AF96</f>
        <v>967249.999999998</v>
      </c>
      <c r="CC41" s="1952" t="n">
        <f aca="false">Revenue!AG96</f>
        <v>967249.999999998</v>
      </c>
      <c r="CD41" s="1952" t="n">
        <f aca="false">Revenue!AH96</f>
        <v>967249.999999998</v>
      </c>
      <c r="CE41" s="1952" t="n">
        <f aca="false">Revenue!AI96</f>
        <v>967249.999999998</v>
      </c>
      <c r="CF41" s="1952" t="n">
        <f aca="false">Revenue!AJ96</f>
        <v>967249.999999998</v>
      </c>
      <c r="CG41" s="1952" t="n">
        <f aca="false">Revenue!AK96</f>
        <v>967249.999999998</v>
      </c>
      <c r="CH41" s="1891"/>
      <c r="CI41" s="1954" t="str">
        <f aca="false">BU41</f>
        <v>CS-14</v>
      </c>
      <c r="CJ41" s="1955" t="n">
        <f aca="false">Revenue!AL96</f>
        <v>1047854.16666667</v>
      </c>
      <c r="CK41" s="1955" t="n">
        <f aca="false">Revenue!AM96</f>
        <v>1047854.16666667</v>
      </c>
      <c r="CL41" s="1955" t="n">
        <f aca="false">Revenue!AN96</f>
        <v>1047854.16666667</v>
      </c>
      <c r="CM41" s="1955" t="n">
        <f aca="false">Revenue!AO96</f>
        <v>1047854.16666667</v>
      </c>
      <c r="CN41" s="1955" t="n">
        <f aca="false">Revenue!AP96</f>
        <v>1047854.16666667</v>
      </c>
      <c r="CO41" s="1955" t="n">
        <f aca="false">Revenue!AQ96</f>
        <v>1047854.16666667</v>
      </c>
      <c r="CP41" s="1955" t="n">
        <f aca="false">Revenue!AR96</f>
        <v>1047854.16666667</v>
      </c>
      <c r="CQ41" s="1955" t="n">
        <f aca="false">Revenue!AS96</f>
        <v>1047854.16666667</v>
      </c>
      <c r="CR41" s="1955" t="n">
        <f aca="false">Revenue!AT96</f>
        <v>1047854.16666667</v>
      </c>
      <c r="CS41" s="1955" t="n">
        <f aca="false">Revenue!AU96</f>
        <v>1047854.16666667</v>
      </c>
      <c r="CT41" s="1955" t="n">
        <f aca="false">Revenue!AV96</f>
        <v>1047854.16666667</v>
      </c>
      <c r="CU41" s="1955" t="n">
        <f aca="false">Revenue!AW96</f>
        <v>1047854.16666667</v>
      </c>
      <c r="CV41" s="1888"/>
      <c r="CW41" s="1956" t="str">
        <f aca="false">CI41</f>
        <v>CS-14</v>
      </c>
      <c r="CX41" s="1957" t="n">
        <f aca="false">Revenue!AX96</f>
        <v>1128458.33333333</v>
      </c>
      <c r="CY41" s="1957" t="n">
        <f aca="false">Revenue!AY96</f>
        <v>1128458.33333333</v>
      </c>
      <c r="CZ41" s="1957" t="n">
        <f aca="false">Revenue!AZ96</f>
        <v>1128458.33333333</v>
      </c>
      <c r="DA41" s="1957" t="n">
        <f aca="false">Revenue!BA96</f>
        <v>1128458.33333333</v>
      </c>
      <c r="DB41" s="1957" t="n">
        <f aca="false">Revenue!BB96</f>
        <v>1128458.33333333</v>
      </c>
      <c r="DC41" s="1957" t="n">
        <f aca="false">Revenue!BC96</f>
        <v>1128458.33333333</v>
      </c>
      <c r="DD41" s="1957" t="n">
        <f aca="false">Revenue!BD96</f>
        <v>1128458.33333333</v>
      </c>
      <c r="DE41" s="1957" t="n">
        <f aca="false">Revenue!BE96</f>
        <v>1128458.33333333</v>
      </c>
      <c r="DF41" s="1957" t="n">
        <f aca="false">Revenue!BF96</f>
        <v>1128458.33333333</v>
      </c>
      <c r="DG41" s="1957" t="n">
        <f aca="false">Revenue!BG96</f>
        <v>1128458.33333333</v>
      </c>
      <c r="DH41" s="1957" t="n">
        <f aca="false">Revenue!BH96</f>
        <v>1128458.33333333</v>
      </c>
      <c r="DI41" s="1957" t="n">
        <f aca="false">Revenue!BI96</f>
        <v>1128458.33333333</v>
      </c>
      <c r="DJ41" s="2113"/>
      <c r="DK41" s="2113"/>
      <c r="DL41" s="2113"/>
      <c r="DM41" s="2113"/>
      <c r="DN41" s="2113"/>
      <c r="DO41" s="2113"/>
      <c r="DP41" s="2113"/>
      <c r="DQ41" s="2113"/>
      <c r="DR41" s="2113"/>
      <c r="DS41" s="2113"/>
      <c r="DT41" s="2113"/>
      <c r="DU41" s="2113"/>
      <c r="DV41" s="2113"/>
      <c r="DW41" s="2113"/>
      <c r="DX41" s="2113"/>
      <c r="DY41" s="2113"/>
      <c r="DZ41" s="2114"/>
      <c r="EA41" s="2113"/>
      <c r="EB41" s="2113"/>
      <c r="EC41" s="2113"/>
      <c r="ED41" s="2113"/>
      <c r="EE41" s="2113"/>
      <c r="EF41" s="2113"/>
      <c r="EG41" s="2113"/>
      <c r="EH41" s="2113"/>
      <c r="EI41" s="2113"/>
      <c r="EJ41" s="2113"/>
      <c r="EK41" s="2113"/>
      <c r="EL41" s="2113"/>
      <c r="EM41" s="2113"/>
      <c r="EN41" s="2114"/>
      <c r="EO41" s="2114"/>
      <c r="EP41" s="2114"/>
      <c r="EQ41" s="2114"/>
      <c r="ER41" s="2114"/>
      <c r="ES41" s="2114"/>
      <c r="ET41" s="2114"/>
      <c r="EU41" s="2114"/>
      <c r="EV41" s="2114"/>
      <c r="EW41" s="2114"/>
      <c r="EX41" s="2114"/>
      <c r="EY41" s="2114"/>
      <c r="EZ41" s="2114"/>
      <c r="FA41" s="2113"/>
      <c r="FB41" s="2114"/>
      <c r="FC41" s="2113"/>
      <c r="FD41" s="2113"/>
      <c r="FE41" s="2113"/>
      <c r="FF41" s="2113"/>
      <c r="FG41" s="2113"/>
      <c r="FH41" s="2113"/>
      <c r="FI41" s="2113"/>
      <c r="FJ41" s="2113"/>
      <c r="FK41" s="2113"/>
      <c r="FL41" s="2113"/>
      <c r="FM41" s="2113"/>
      <c r="FN41" s="2113"/>
      <c r="FO41" s="2113"/>
      <c r="FP41" s="2113"/>
      <c r="FR41" s="2119"/>
      <c r="FS41" s="2119"/>
      <c r="FT41" s="2119"/>
      <c r="FU41" s="2119"/>
      <c r="FV41" s="2119"/>
      <c r="FW41" s="2119"/>
      <c r="FX41" s="2119"/>
      <c r="FY41" s="2119"/>
      <c r="FZ41" s="2119"/>
      <c r="GA41" s="2119"/>
      <c r="GB41" s="2119"/>
      <c r="GC41" s="2119"/>
      <c r="GF41" s="2119"/>
      <c r="GG41" s="2119"/>
      <c r="GH41" s="2119"/>
      <c r="GI41" s="2119"/>
      <c r="GJ41" s="2119"/>
      <c r="GK41" s="2119"/>
      <c r="GL41" s="2119"/>
      <c r="GM41" s="2119"/>
      <c r="GN41" s="2119"/>
      <c r="GO41" s="2119"/>
      <c r="GP41" s="2119"/>
      <c r="GQ41" s="2119"/>
      <c r="GS41" s="2120"/>
      <c r="GT41" s="2119"/>
      <c r="GU41" s="2119"/>
      <c r="GV41" s="2119"/>
      <c r="GW41" s="2119"/>
      <c r="GX41" s="2119"/>
      <c r="GY41" s="2119"/>
      <c r="GZ41" s="2119"/>
      <c r="HA41" s="2119"/>
      <c r="HB41" s="2119"/>
      <c r="HC41" s="2119"/>
      <c r="HD41" s="2119"/>
      <c r="HE41" s="2119"/>
      <c r="HH41" s="2112"/>
      <c r="HI41" s="2112"/>
      <c r="HJ41" s="2112"/>
      <c r="HK41" s="2112"/>
      <c r="HL41" s="2112"/>
      <c r="HM41" s="2112"/>
      <c r="HN41" s="2112"/>
      <c r="HO41" s="2112"/>
      <c r="HP41" s="2112"/>
      <c r="HQ41" s="2112"/>
      <c r="HR41" s="2112"/>
      <c r="HS41" s="2112"/>
    </row>
    <row r="42" s="2111" customFormat="true" ht="10.5" hidden="false" customHeight="true" outlineLevel="0" collapsed="false">
      <c r="A42" s="2121"/>
      <c r="B42" s="2117"/>
      <c r="C42" s="2118"/>
      <c r="D42" s="2118"/>
      <c r="E42" s="2118"/>
      <c r="F42" s="2118"/>
      <c r="G42" s="2118"/>
      <c r="H42" s="2118"/>
      <c r="I42" s="2118"/>
      <c r="J42" s="2118"/>
      <c r="K42" s="2118"/>
      <c r="L42" s="2118"/>
      <c r="M42" s="2118"/>
      <c r="N42" s="2118"/>
      <c r="Q42" s="2112"/>
      <c r="R42" s="2112"/>
      <c r="S42" s="2112"/>
      <c r="T42" s="2112"/>
      <c r="U42" s="2112"/>
      <c r="V42" s="2112"/>
      <c r="W42" s="2112"/>
      <c r="X42" s="2112"/>
      <c r="Y42" s="2112"/>
      <c r="Z42" s="2112"/>
      <c r="AA42" s="2112"/>
      <c r="AB42" s="2112"/>
      <c r="AE42" s="2112"/>
      <c r="AF42" s="2112"/>
      <c r="AG42" s="2112"/>
      <c r="AH42" s="2112"/>
      <c r="AI42" s="2112"/>
      <c r="AJ42" s="2112"/>
      <c r="AK42" s="2112"/>
      <c r="AL42" s="2112"/>
      <c r="AM42" s="2112"/>
      <c r="AN42" s="2112"/>
      <c r="AO42" s="2112"/>
      <c r="AP42" s="2112"/>
      <c r="AS42" s="2112"/>
      <c r="AT42" s="2112"/>
      <c r="AU42" s="2112"/>
      <c r="AV42" s="2112"/>
      <c r="AW42" s="2112"/>
      <c r="AX42" s="2112"/>
      <c r="AY42" s="2112"/>
      <c r="AZ42" s="2112"/>
      <c r="BA42" s="2112"/>
      <c r="BB42" s="2112"/>
      <c r="BC42" s="2112"/>
      <c r="BD42" s="2112"/>
      <c r="BF42" s="1885"/>
      <c r="BG42" s="2108" t="str">
        <f aca="false">Revenue!A129</f>
        <v>CS-16</v>
      </c>
      <c r="BH42" s="2109" t="n">
        <f aca="false">Revenue!N129</f>
        <v>78259.2890625001</v>
      </c>
      <c r="BI42" s="2109" t="n">
        <f aca="false">Revenue!O129</f>
        <v>86954.765625</v>
      </c>
      <c r="BJ42" s="2109" t="n">
        <f aca="false">Revenue!P129</f>
        <v>95650.2421875</v>
      </c>
      <c r="BK42" s="2109" t="n">
        <f aca="false">Revenue!Q129</f>
        <v>104345.71875</v>
      </c>
      <c r="BL42" s="2109" t="n">
        <f aca="false">Revenue!R129</f>
        <v>113041.1953125</v>
      </c>
      <c r="BM42" s="2109" t="n">
        <f aca="false">Revenue!S129</f>
        <v>121736.671875</v>
      </c>
      <c r="BN42" s="2109" t="n">
        <f aca="false">Revenue!T129</f>
        <v>130432.148437501</v>
      </c>
      <c r="BO42" s="2109" t="n">
        <f aca="false">Revenue!U129</f>
        <v>139127.625</v>
      </c>
      <c r="BP42" s="2109" t="n">
        <f aca="false">Revenue!V129</f>
        <v>147823.1015625</v>
      </c>
      <c r="BQ42" s="2109" t="n">
        <f aca="false">Revenue!W129</f>
        <v>156518.578125</v>
      </c>
      <c r="BR42" s="2109" t="n">
        <f aca="false">Revenue!X129</f>
        <v>165214.0546875</v>
      </c>
      <c r="BS42" s="2108" t="n">
        <f aca="false">Revenue!Y129</f>
        <v>173909.531249999</v>
      </c>
      <c r="BT42" s="1888"/>
      <c r="BU42" s="1952" t="str">
        <f aca="false">BG42</f>
        <v>CS-16</v>
      </c>
      <c r="BV42" s="1952" t="n">
        <f aca="false">Revenue!Z97</f>
        <v>1088156.25</v>
      </c>
      <c r="BW42" s="1952" t="n">
        <f aca="false">Revenue!AA97</f>
        <v>1088156.25</v>
      </c>
      <c r="BX42" s="1953" t="n">
        <f aca="false">Revenue!AB97</f>
        <v>1088156.25</v>
      </c>
      <c r="BY42" s="1952" t="n">
        <f aca="false">Revenue!AC97</f>
        <v>1088156.25</v>
      </c>
      <c r="BZ42" s="1952" t="n">
        <f aca="false">Revenue!AD97</f>
        <v>1088156.25</v>
      </c>
      <c r="CA42" s="1952" t="n">
        <f aca="false">Revenue!AE97</f>
        <v>1088156.25</v>
      </c>
      <c r="CB42" s="1952" t="n">
        <f aca="false">Revenue!AF97</f>
        <v>1088156.25</v>
      </c>
      <c r="CC42" s="1952" t="n">
        <f aca="false">Revenue!AG97</f>
        <v>1088156.25</v>
      </c>
      <c r="CD42" s="1952" t="n">
        <f aca="false">Revenue!AH97</f>
        <v>1088156.25</v>
      </c>
      <c r="CE42" s="1952" t="n">
        <f aca="false">Revenue!AI97</f>
        <v>1088156.25</v>
      </c>
      <c r="CF42" s="1952" t="n">
        <f aca="false">Revenue!AJ97</f>
        <v>1088156.25</v>
      </c>
      <c r="CG42" s="1952" t="n">
        <f aca="false">Revenue!AK97</f>
        <v>1088156.25</v>
      </c>
      <c r="CH42" s="1891"/>
      <c r="CI42" s="1954" t="str">
        <f aca="false">BU42</f>
        <v>CS-16</v>
      </c>
      <c r="CJ42" s="1955" t="n">
        <f aca="false">Revenue!AL97</f>
        <v>1178835.9375</v>
      </c>
      <c r="CK42" s="1955" t="n">
        <f aca="false">Revenue!AM97</f>
        <v>1178835.9375</v>
      </c>
      <c r="CL42" s="1955" t="n">
        <f aca="false">Revenue!AN97</f>
        <v>1178835.9375</v>
      </c>
      <c r="CM42" s="1955" t="n">
        <f aca="false">Revenue!AO97</f>
        <v>1178835.9375</v>
      </c>
      <c r="CN42" s="1955" t="n">
        <f aca="false">Revenue!AP97</f>
        <v>1178835.9375</v>
      </c>
      <c r="CO42" s="1955" t="n">
        <f aca="false">Revenue!AQ97</f>
        <v>1178835.9375</v>
      </c>
      <c r="CP42" s="1955" t="n">
        <f aca="false">Revenue!AR97</f>
        <v>1178835.9375</v>
      </c>
      <c r="CQ42" s="1955" t="n">
        <f aca="false">Revenue!AS97</f>
        <v>1178835.9375</v>
      </c>
      <c r="CR42" s="1955" t="n">
        <f aca="false">Revenue!AT97</f>
        <v>1178835.9375</v>
      </c>
      <c r="CS42" s="1955" t="n">
        <f aca="false">Revenue!AU97</f>
        <v>1178835.9375</v>
      </c>
      <c r="CT42" s="1955" t="n">
        <f aca="false">Revenue!AV97</f>
        <v>1178835.9375</v>
      </c>
      <c r="CU42" s="1955" t="n">
        <f aca="false">Revenue!AW97</f>
        <v>1178835.9375</v>
      </c>
      <c r="CV42" s="1888"/>
      <c r="CW42" s="1956" t="str">
        <f aca="false">CI42</f>
        <v>CS-16</v>
      </c>
      <c r="CX42" s="1957" t="n">
        <f aca="false">Revenue!AX97</f>
        <v>1269515.625</v>
      </c>
      <c r="CY42" s="1957" t="n">
        <f aca="false">Revenue!AY97</f>
        <v>1269515.625</v>
      </c>
      <c r="CZ42" s="1957" t="n">
        <f aca="false">Revenue!AZ97</f>
        <v>1269515.625</v>
      </c>
      <c r="DA42" s="1957" t="n">
        <f aca="false">Revenue!BA97</f>
        <v>1269515.625</v>
      </c>
      <c r="DB42" s="1957" t="n">
        <f aca="false">Revenue!BB97</f>
        <v>1269515.625</v>
      </c>
      <c r="DC42" s="1957" t="n">
        <f aca="false">Revenue!BC97</f>
        <v>1269515.625</v>
      </c>
      <c r="DD42" s="1957" t="n">
        <f aca="false">Revenue!BD97</f>
        <v>1269515.625</v>
      </c>
      <c r="DE42" s="1957" t="n">
        <f aca="false">Revenue!BE97</f>
        <v>1269515.625</v>
      </c>
      <c r="DF42" s="1957" t="n">
        <f aca="false">Revenue!BF97</f>
        <v>1269515.625</v>
      </c>
      <c r="DG42" s="1957" t="n">
        <f aca="false">Revenue!BG97</f>
        <v>1269515.625</v>
      </c>
      <c r="DH42" s="1957" t="n">
        <f aca="false">Revenue!BH97</f>
        <v>1269515.625</v>
      </c>
      <c r="DI42" s="1957" t="n">
        <f aca="false">Revenue!BI97</f>
        <v>1269515.625</v>
      </c>
      <c r="DZ42" s="2112"/>
      <c r="EN42" s="2112"/>
      <c r="EO42" s="2112"/>
      <c r="EP42" s="2112"/>
      <c r="EQ42" s="2112"/>
      <c r="ER42" s="2112"/>
      <c r="ES42" s="2112"/>
      <c r="ET42" s="2112"/>
      <c r="EU42" s="2112"/>
      <c r="EV42" s="2112"/>
      <c r="EW42" s="2112"/>
      <c r="EX42" s="2112"/>
      <c r="EY42" s="2112"/>
      <c r="EZ42" s="2112"/>
      <c r="FB42" s="2112"/>
      <c r="FR42" s="2119"/>
      <c r="FS42" s="2119"/>
      <c r="FT42" s="2119"/>
      <c r="FU42" s="2119"/>
      <c r="FV42" s="2119"/>
      <c r="FW42" s="2119"/>
      <c r="FX42" s="2119"/>
      <c r="FY42" s="2119"/>
      <c r="FZ42" s="2119"/>
      <c r="GA42" s="2119"/>
      <c r="GB42" s="2119"/>
      <c r="GC42" s="2119"/>
      <c r="GF42" s="2119"/>
      <c r="GG42" s="2119"/>
      <c r="GH42" s="2119"/>
      <c r="GI42" s="2119"/>
      <c r="GJ42" s="2119"/>
      <c r="GK42" s="2119"/>
      <c r="GL42" s="2119"/>
      <c r="GM42" s="2119"/>
      <c r="GN42" s="2119"/>
      <c r="GO42" s="2119"/>
      <c r="GP42" s="2119"/>
      <c r="GQ42" s="2119"/>
      <c r="GS42" s="2120"/>
      <c r="GT42" s="2119"/>
      <c r="GU42" s="2119"/>
      <c r="GV42" s="2119"/>
      <c r="GW42" s="2119"/>
      <c r="GX42" s="2119"/>
      <c r="GY42" s="2119"/>
      <c r="GZ42" s="2119"/>
      <c r="HA42" s="2119"/>
      <c r="HB42" s="2119"/>
      <c r="HC42" s="2119"/>
      <c r="HD42" s="2119"/>
      <c r="HE42" s="2119"/>
      <c r="HH42" s="2112"/>
      <c r="HI42" s="2112"/>
      <c r="HJ42" s="2112"/>
      <c r="HK42" s="2112"/>
      <c r="HL42" s="2112"/>
      <c r="HM42" s="2112"/>
      <c r="HN42" s="2112"/>
      <c r="HO42" s="2112"/>
      <c r="HP42" s="2112"/>
      <c r="HQ42" s="2112"/>
      <c r="HR42" s="2112"/>
      <c r="HS42" s="2112"/>
    </row>
    <row r="43" s="2111" customFormat="true" ht="10.5" hidden="false" customHeight="true" outlineLevel="0" collapsed="false">
      <c r="A43" s="2121"/>
      <c r="B43" s="2117"/>
      <c r="C43" s="2118"/>
      <c r="D43" s="2118"/>
      <c r="E43" s="2118"/>
      <c r="F43" s="2118"/>
      <c r="G43" s="2118"/>
      <c r="H43" s="2118"/>
      <c r="I43" s="2118"/>
      <c r="J43" s="2118"/>
      <c r="K43" s="2118"/>
      <c r="L43" s="2118"/>
      <c r="M43" s="2118"/>
      <c r="N43" s="2118"/>
      <c r="Q43" s="2112"/>
      <c r="R43" s="2112"/>
      <c r="S43" s="2112"/>
      <c r="T43" s="2112"/>
      <c r="U43" s="2112"/>
      <c r="V43" s="2112"/>
      <c r="W43" s="2112"/>
      <c r="X43" s="2112"/>
      <c r="Y43" s="2112"/>
      <c r="Z43" s="2112"/>
      <c r="AA43" s="2112"/>
      <c r="AB43" s="2112"/>
      <c r="AE43" s="2112"/>
      <c r="AF43" s="2112"/>
      <c r="AG43" s="2112"/>
      <c r="AH43" s="2112"/>
      <c r="AI43" s="2112"/>
      <c r="AJ43" s="2112"/>
      <c r="AK43" s="2112"/>
      <c r="AL43" s="2112"/>
      <c r="AM43" s="2112"/>
      <c r="AN43" s="2112"/>
      <c r="AO43" s="2112"/>
      <c r="AP43" s="2112"/>
      <c r="AS43" s="2112"/>
      <c r="AT43" s="2112"/>
      <c r="AU43" s="2112"/>
      <c r="AV43" s="2112"/>
      <c r="AW43" s="2112"/>
      <c r="AX43" s="2112"/>
      <c r="AY43" s="2112"/>
      <c r="AZ43" s="2112"/>
      <c r="BA43" s="2112"/>
      <c r="BB43" s="2112"/>
      <c r="BC43" s="2112"/>
      <c r="BD43" s="2112"/>
      <c r="BF43" s="1885"/>
      <c r="BG43" s="2108" t="str">
        <f aca="false">Revenue!A130</f>
        <v>CS-18</v>
      </c>
      <c r="BH43" s="2109" t="n">
        <f aca="false">Revenue!N130</f>
        <v>60862.2656250002</v>
      </c>
      <c r="BI43" s="2109" t="n">
        <f aca="false">Revenue!O130</f>
        <v>67624.7395833335</v>
      </c>
      <c r="BJ43" s="2109" t="n">
        <f aca="false">Revenue!P130</f>
        <v>74387.2135416669</v>
      </c>
      <c r="BK43" s="2109" t="n">
        <f aca="false">Revenue!Q130</f>
        <v>81149.6875000002</v>
      </c>
      <c r="BL43" s="2109" t="n">
        <f aca="false">Revenue!R130</f>
        <v>87912.1614583335</v>
      </c>
      <c r="BM43" s="2109" t="n">
        <f aca="false">Revenue!S130</f>
        <v>94674.635416667</v>
      </c>
      <c r="BN43" s="2109" t="n">
        <f aca="false">Revenue!T130</f>
        <v>101437.109375</v>
      </c>
      <c r="BO43" s="2109" t="n">
        <f aca="false">Revenue!U130</f>
        <v>108199.583333334</v>
      </c>
      <c r="BP43" s="2109" t="n">
        <f aca="false">Revenue!V130</f>
        <v>114962.057291667</v>
      </c>
      <c r="BQ43" s="2109" t="n">
        <f aca="false">Revenue!W130</f>
        <v>121724.53125</v>
      </c>
      <c r="BR43" s="2109" t="n">
        <f aca="false">Revenue!X130</f>
        <v>128487.005208334</v>
      </c>
      <c r="BS43" s="2108" t="n">
        <f aca="false">Revenue!Y130</f>
        <v>135249.479166667</v>
      </c>
      <c r="BT43" s="1888"/>
      <c r="BU43" s="1952" t="str">
        <f aca="false">BG43</f>
        <v>CS-18</v>
      </c>
      <c r="BV43" s="1952" t="n">
        <f aca="false">Revenue!Z98</f>
        <v>846343.750000002</v>
      </c>
      <c r="BW43" s="1952" t="n">
        <f aca="false">Revenue!AA98</f>
        <v>846343.750000002</v>
      </c>
      <c r="BX43" s="1953" t="n">
        <f aca="false">Revenue!AB98</f>
        <v>846343.750000002</v>
      </c>
      <c r="BY43" s="1952" t="n">
        <f aca="false">Revenue!AC98</f>
        <v>846343.750000002</v>
      </c>
      <c r="BZ43" s="1952" t="n">
        <f aca="false">Revenue!AD98</f>
        <v>846343.750000002</v>
      </c>
      <c r="CA43" s="1952" t="n">
        <f aca="false">Revenue!AE98</f>
        <v>846343.750000002</v>
      </c>
      <c r="CB43" s="1952" t="n">
        <f aca="false">Revenue!AF98</f>
        <v>846343.750000002</v>
      </c>
      <c r="CC43" s="1952" t="n">
        <f aca="false">Revenue!AG98</f>
        <v>846343.750000002</v>
      </c>
      <c r="CD43" s="1952" t="n">
        <f aca="false">Revenue!AH98</f>
        <v>846343.750000002</v>
      </c>
      <c r="CE43" s="1952" t="n">
        <f aca="false">Revenue!AI98</f>
        <v>846343.750000002</v>
      </c>
      <c r="CF43" s="1952" t="n">
        <f aca="false">Revenue!AJ98</f>
        <v>846343.750000002</v>
      </c>
      <c r="CG43" s="1952" t="n">
        <f aca="false">Revenue!AK98</f>
        <v>846343.750000002</v>
      </c>
      <c r="CH43" s="1891"/>
      <c r="CI43" s="1954" t="str">
        <f aca="false">BU43</f>
        <v>CS-18</v>
      </c>
      <c r="CJ43" s="1955" t="n">
        <f aca="false">Revenue!AL98</f>
        <v>916872.395833335</v>
      </c>
      <c r="CK43" s="1955" t="n">
        <f aca="false">Revenue!AM98</f>
        <v>916872.395833335</v>
      </c>
      <c r="CL43" s="1955" t="n">
        <f aca="false">Revenue!AN98</f>
        <v>916872.395833335</v>
      </c>
      <c r="CM43" s="1955" t="n">
        <f aca="false">Revenue!AO98</f>
        <v>916872.395833335</v>
      </c>
      <c r="CN43" s="1955" t="n">
        <f aca="false">Revenue!AP98</f>
        <v>916872.395833335</v>
      </c>
      <c r="CO43" s="1955" t="n">
        <f aca="false">Revenue!AQ98</f>
        <v>916872.395833335</v>
      </c>
      <c r="CP43" s="1955" t="n">
        <f aca="false">Revenue!AR98</f>
        <v>916872.395833335</v>
      </c>
      <c r="CQ43" s="1955" t="n">
        <f aca="false">Revenue!AS98</f>
        <v>916872.395833335</v>
      </c>
      <c r="CR43" s="1955" t="n">
        <f aca="false">Revenue!AT98</f>
        <v>916872.395833335</v>
      </c>
      <c r="CS43" s="1955" t="n">
        <f aca="false">Revenue!AU98</f>
        <v>916872.395833335</v>
      </c>
      <c r="CT43" s="1955" t="n">
        <f aca="false">Revenue!AV98</f>
        <v>916872.395833335</v>
      </c>
      <c r="CU43" s="1955" t="n">
        <f aca="false">Revenue!AW98</f>
        <v>916872.395833335</v>
      </c>
      <c r="CV43" s="1888"/>
      <c r="CW43" s="1956" t="str">
        <f aca="false">CI43</f>
        <v>CS-18</v>
      </c>
      <c r="CX43" s="1957" t="n">
        <f aca="false">Revenue!AX98</f>
        <v>987401.041666669</v>
      </c>
      <c r="CY43" s="1957" t="n">
        <f aca="false">Revenue!AY98</f>
        <v>987401.041666669</v>
      </c>
      <c r="CZ43" s="1957" t="n">
        <f aca="false">Revenue!AZ98</f>
        <v>987401.041666669</v>
      </c>
      <c r="DA43" s="1957" t="n">
        <f aca="false">Revenue!BA98</f>
        <v>987401.041666669</v>
      </c>
      <c r="DB43" s="1957" t="n">
        <f aca="false">Revenue!BB98</f>
        <v>987401.041666669</v>
      </c>
      <c r="DC43" s="1957" t="n">
        <f aca="false">Revenue!BC98</f>
        <v>987401.041666669</v>
      </c>
      <c r="DD43" s="1957" t="n">
        <f aca="false">Revenue!BD98</f>
        <v>987401.041666669</v>
      </c>
      <c r="DE43" s="1957" t="n">
        <f aca="false">Revenue!BE98</f>
        <v>987401.041666669</v>
      </c>
      <c r="DF43" s="1957" t="n">
        <f aca="false">Revenue!BF98</f>
        <v>987401.041666669</v>
      </c>
      <c r="DG43" s="1957" t="n">
        <f aca="false">Revenue!BG98</f>
        <v>987401.041666669</v>
      </c>
      <c r="DH43" s="1957" t="n">
        <f aca="false">Revenue!BH98</f>
        <v>987401.041666669</v>
      </c>
      <c r="DI43" s="1957" t="n">
        <f aca="false">Revenue!BI98</f>
        <v>987401.041666669</v>
      </c>
      <c r="DZ43" s="2112"/>
      <c r="EN43" s="2112"/>
      <c r="EO43" s="2112"/>
      <c r="EP43" s="2112"/>
      <c r="EQ43" s="2112"/>
      <c r="ER43" s="2112"/>
      <c r="ES43" s="2112"/>
      <c r="ET43" s="2112"/>
      <c r="EU43" s="2112"/>
      <c r="EV43" s="2112"/>
      <c r="EW43" s="2112"/>
      <c r="EX43" s="2112"/>
      <c r="EY43" s="2112"/>
      <c r="EZ43" s="2112"/>
      <c r="FB43" s="2112"/>
      <c r="FR43" s="2119"/>
      <c r="FS43" s="2119"/>
      <c r="FT43" s="2119"/>
      <c r="FU43" s="2119"/>
      <c r="FV43" s="2119"/>
      <c r="FW43" s="2119"/>
      <c r="FX43" s="2119"/>
      <c r="FY43" s="2119"/>
      <c r="FZ43" s="2119"/>
      <c r="GA43" s="2119"/>
      <c r="GB43" s="2119"/>
      <c r="GC43" s="2119"/>
      <c r="GF43" s="2119"/>
      <c r="GG43" s="2119"/>
      <c r="GH43" s="2119"/>
      <c r="GI43" s="2119"/>
      <c r="GJ43" s="2119"/>
      <c r="GK43" s="2119"/>
      <c r="GL43" s="2119"/>
      <c r="GM43" s="2119"/>
      <c r="GN43" s="2119"/>
      <c r="GO43" s="2119"/>
      <c r="GP43" s="2119"/>
      <c r="GQ43" s="2119"/>
      <c r="GS43" s="2120"/>
      <c r="GT43" s="2119"/>
      <c r="GU43" s="2119"/>
      <c r="GV43" s="2119"/>
      <c r="GW43" s="2119"/>
      <c r="GX43" s="2119"/>
      <c r="GY43" s="2119"/>
      <c r="GZ43" s="2119"/>
      <c r="HA43" s="2119"/>
      <c r="HB43" s="2119"/>
      <c r="HC43" s="2119"/>
      <c r="HD43" s="2119"/>
      <c r="HE43" s="2119"/>
      <c r="HH43" s="2112"/>
      <c r="HI43" s="2112"/>
      <c r="HJ43" s="2112"/>
      <c r="HK43" s="2112"/>
      <c r="HL43" s="2112"/>
      <c r="HM43" s="2112"/>
      <c r="HN43" s="2112"/>
      <c r="HO43" s="2112"/>
      <c r="HP43" s="2112"/>
      <c r="HQ43" s="2112"/>
      <c r="HR43" s="2112"/>
      <c r="HS43" s="2112"/>
    </row>
    <row r="44" s="2111" customFormat="true" ht="10.5" hidden="false" customHeight="true" outlineLevel="0" collapsed="false">
      <c r="A44" s="2122"/>
      <c r="B44" s="2117"/>
      <c r="C44" s="2118"/>
      <c r="D44" s="2118"/>
      <c r="E44" s="2118"/>
      <c r="F44" s="2118"/>
      <c r="G44" s="2118"/>
      <c r="H44" s="2118"/>
      <c r="I44" s="2118"/>
      <c r="J44" s="2118"/>
      <c r="K44" s="2118"/>
      <c r="L44" s="2118"/>
      <c r="M44" s="2118"/>
      <c r="N44" s="2118"/>
      <c r="Q44" s="2112"/>
      <c r="R44" s="2112"/>
      <c r="S44" s="2112"/>
      <c r="T44" s="2112"/>
      <c r="U44" s="2112"/>
      <c r="V44" s="2112"/>
      <c r="W44" s="2112"/>
      <c r="X44" s="2112"/>
      <c r="Y44" s="2112"/>
      <c r="Z44" s="2112"/>
      <c r="AA44" s="2112"/>
      <c r="AB44" s="2112"/>
      <c r="AE44" s="2112"/>
      <c r="AF44" s="2112"/>
      <c r="AG44" s="2112"/>
      <c r="AH44" s="2112"/>
      <c r="AI44" s="2112"/>
      <c r="AJ44" s="2112"/>
      <c r="AK44" s="2112"/>
      <c r="AL44" s="2112"/>
      <c r="AM44" s="2112"/>
      <c r="AN44" s="2112"/>
      <c r="AO44" s="2112"/>
      <c r="AP44" s="2112"/>
      <c r="AS44" s="2112"/>
      <c r="AT44" s="2112"/>
      <c r="AU44" s="2112"/>
      <c r="AV44" s="2112"/>
      <c r="AW44" s="2112"/>
      <c r="AX44" s="2112"/>
      <c r="AY44" s="2112"/>
      <c r="AZ44" s="2112"/>
      <c r="BA44" s="2112"/>
      <c r="BB44" s="2112"/>
      <c r="BC44" s="2112"/>
      <c r="BD44" s="2112"/>
      <c r="BF44" s="1885"/>
      <c r="BG44" s="2108" t="str">
        <f aca="false">Revenue!A131</f>
        <v>CS-20</v>
      </c>
      <c r="BH44" s="2109" t="n">
        <f aca="false">Revenue!N131</f>
        <v>71751.825</v>
      </c>
      <c r="BI44" s="2109" t="n">
        <f aca="false">Revenue!O131</f>
        <v>79724.25</v>
      </c>
      <c r="BJ44" s="2109" t="n">
        <f aca="false">Revenue!P131</f>
        <v>87696.675</v>
      </c>
      <c r="BK44" s="2109" t="n">
        <f aca="false">Revenue!Q131</f>
        <v>95669.1</v>
      </c>
      <c r="BL44" s="2109" t="n">
        <f aca="false">Revenue!R131</f>
        <v>103641.525</v>
      </c>
      <c r="BM44" s="2109" t="n">
        <f aca="false">Revenue!S131</f>
        <v>111613.95</v>
      </c>
      <c r="BN44" s="2109" t="n">
        <f aca="false">Revenue!T131</f>
        <v>119586.375</v>
      </c>
      <c r="BO44" s="2109" t="n">
        <f aca="false">Revenue!U131</f>
        <v>127558.8</v>
      </c>
      <c r="BP44" s="2109" t="n">
        <f aca="false">Revenue!V131</f>
        <v>135531.225</v>
      </c>
      <c r="BQ44" s="2109" t="n">
        <f aca="false">Revenue!W131</f>
        <v>143503.65</v>
      </c>
      <c r="BR44" s="2109" t="n">
        <f aca="false">Revenue!X131</f>
        <v>151476.075</v>
      </c>
      <c r="BS44" s="2108" t="n">
        <f aca="false">Revenue!Y131</f>
        <v>159448.5</v>
      </c>
      <c r="BT44" s="1888"/>
      <c r="BU44" s="1952" t="str">
        <f aca="false">BG44</f>
        <v>CS-20</v>
      </c>
      <c r="BV44" s="1952" t="n">
        <f aca="false">Revenue!Z99</f>
        <v>967249.999999998</v>
      </c>
      <c r="BW44" s="1952" t="n">
        <f aca="false">Revenue!AA99</f>
        <v>967249.999999998</v>
      </c>
      <c r="BX44" s="1953" t="n">
        <f aca="false">Revenue!AB99</f>
        <v>967249.999999998</v>
      </c>
      <c r="BY44" s="1952" t="n">
        <f aca="false">Revenue!AC99</f>
        <v>967249.999999998</v>
      </c>
      <c r="BZ44" s="1952" t="n">
        <f aca="false">Revenue!AD99</f>
        <v>967249.999999998</v>
      </c>
      <c r="CA44" s="1952" t="n">
        <f aca="false">Revenue!AE99</f>
        <v>967249.999999998</v>
      </c>
      <c r="CB44" s="1952" t="n">
        <f aca="false">Revenue!AF99</f>
        <v>967249.999999998</v>
      </c>
      <c r="CC44" s="1952" t="n">
        <f aca="false">Revenue!AG99</f>
        <v>967249.999999998</v>
      </c>
      <c r="CD44" s="1952" t="n">
        <f aca="false">Revenue!AH99</f>
        <v>967249.999999998</v>
      </c>
      <c r="CE44" s="1952" t="n">
        <f aca="false">Revenue!AI99</f>
        <v>967249.999999998</v>
      </c>
      <c r="CF44" s="1952" t="n">
        <f aca="false">Revenue!AJ99</f>
        <v>967249.999999998</v>
      </c>
      <c r="CG44" s="1952" t="n">
        <f aca="false">Revenue!AK99</f>
        <v>967249.999999998</v>
      </c>
      <c r="CH44" s="1891"/>
      <c r="CI44" s="1954" t="str">
        <f aca="false">BU44</f>
        <v>CS-20</v>
      </c>
      <c r="CJ44" s="1955" t="n">
        <f aca="false">Revenue!AL99</f>
        <v>1047854.16666667</v>
      </c>
      <c r="CK44" s="1955" t="n">
        <f aca="false">Revenue!AM99</f>
        <v>1047854.16666667</v>
      </c>
      <c r="CL44" s="1955" t="n">
        <f aca="false">Revenue!AN99</f>
        <v>1047854.16666667</v>
      </c>
      <c r="CM44" s="1955" t="n">
        <f aca="false">Revenue!AO99</f>
        <v>1047854.16666667</v>
      </c>
      <c r="CN44" s="1955" t="n">
        <f aca="false">Revenue!AP99</f>
        <v>1047854.16666667</v>
      </c>
      <c r="CO44" s="1955" t="n">
        <f aca="false">Revenue!AQ99</f>
        <v>1047854.16666667</v>
      </c>
      <c r="CP44" s="1955" t="n">
        <f aca="false">Revenue!AR99</f>
        <v>1047854.16666667</v>
      </c>
      <c r="CQ44" s="1955" t="n">
        <f aca="false">Revenue!AS99</f>
        <v>1047854.16666667</v>
      </c>
      <c r="CR44" s="1955" t="n">
        <f aca="false">Revenue!AT99</f>
        <v>1047854.16666667</v>
      </c>
      <c r="CS44" s="1955" t="n">
        <f aca="false">Revenue!AU99</f>
        <v>1047854.16666667</v>
      </c>
      <c r="CT44" s="1955" t="n">
        <f aca="false">Revenue!AV99</f>
        <v>1047854.16666667</v>
      </c>
      <c r="CU44" s="1955" t="n">
        <f aca="false">Revenue!AW99</f>
        <v>1047854.16666667</v>
      </c>
      <c r="CV44" s="1888"/>
      <c r="CW44" s="1956" t="str">
        <f aca="false">CI44</f>
        <v>CS-20</v>
      </c>
      <c r="CX44" s="1957" t="n">
        <f aca="false">Revenue!AX99</f>
        <v>1128458.33333333</v>
      </c>
      <c r="CY44" s="1957" t="n">
        <f aca="false">Revenue!AY99</f>
        <v>1128458.33333333</v>
      </c>
      <c r="CZ44" s="1957" t="n">
        <f aca="false">Revenue!AZ99</f>
        <v>1128458.33333333</v>
      </c>
      <c r="DA44" s="1957" t="n">
        <f aca="false">Revenue!BA99</f>
        <v>1128458.33333333</v>
      </c>
      <c r="DB44" s="1957" t="n">
        <f aca="false">Revenue!BB99</f>
        <v>1128458.33333333</v>
      </c>
      <c r="DC44" s="1957" t="n">
        <f aca="false">Revenue!BC99</f>
        <v>1128458.33333333</v>
      </c>
      <c r="DD44" s="1957" t="n">
        <f aca="false">Revenue!BD99</f>
        <v>1128458.33333333</v>
      </c>
      <c r="DE44" s="1957" t="n">
        <f aca="false">Revenue!BE99</f>
        <v>1128458.33333333</v>
      </c>
      <c r="DF44" s="1957" t="n">
        <f aca="false">Revenue!BF99</f>
        <v>1128458.33333333</v>
      </c>
      <c r="DG44" s="1957" t="n">
        <f aca="false">Revenue!BG99</f>
        <v>1128458.33333333</v>
      </c>
      <c r="DH44" s="1957" t="n">
        <f aca="false">Revenue!BH99</f>
        <v>1128458.33333333</v>
      </c>
      <c r="DI44" s="1957" t="n">
        <f aca="false">Revenue!BI99</f>
        <v>1128458.33333333</v>
      </c>
      <c r="DZ44" s="2112"/>
      <c r="EN44" s="2112"/>
      <c r="EO44" s="2112"/>
      <c r="EP44" s="2112"/>
      <c r="EQ44" s="2112"/>
      <c r="ER44" s="2112"/>
      <c r="ES44" s="2112"/>
      <c r="ET44" s="2112"/>
      <c r="EU44" s="2112"/>
      <c r="EV44" s="2112"/>
      <c r="EW44" s="2112"/>
      <c r="EX44" s="2112"/>
      <c r="EY44" s="2112"/>
      <c r="EZ44" s="2112"/>
      <c r="FB44" s="2123"/>
      <c r="FR44" s="2119"/>
      <c r="FS44" s="2119"/>
      <c r="FT44" s="2119"/>
      <c r="FU44" s="2119"/>
      <c r="FV44" s="2119"/>
      <c r="FW44" s="2119"/>
      <c r="FX44" s="2119"/>
      <c r="FY44" s="2119"/>
      <c r="FZ44" s="2119"/>
      <c r="GA44" s="2119"/>
      <c r="GB44" s="2119"/>
      <c r="GC44" s="2119"/>
      <c r="GF44" s="2119"/>
      <c r="GG44" s="2119"/>
      <c r="GH44" s="2119"/>
      <c r="GI44" s="2119"/>
      <c r="GJ44" s="2119"/>
      <c r="GK44" s="2119"/>
      <c r="GL44" s="2119"/>
      <c r="GM44" s="2119"/>
      <c r="GN44" s="2119"/>
      <c r="GO44" s="2119"/>
      <c r="GP44" s="2119"/>
      <c r="GQ44" s="2119"/>
      <c r="GS44" s="2120"/>
      <c r="GT44" s="2119"/>
      <c r="GU44" s="2119"/>
      <c r="GV44" s="2119"/>
      <c r="GW44" s="2119"/>
      <c r="GX44" s="2119"/>
      <c r="GY44" s="2119"/>
      <c r="GZ44" s="2119"/>
      <c r="HA44" s="2119"/>
      <c r="HB44" s="2119"/>
      <c r="HC44" s="2119"/>
      <c r="HD44" s="2119"/>
      <c r="HE44" s="2119"/>
      <c r="HH44" s="2112"/>
      <c r="HI44" s="2112"/>
      <c r="HJ44" s="2112"/>
      <c r="HK44" s="2112"/>
      <c r="HL44" s="2112"/>
      <c r="HM44" s="2112"/>
      <c r="HN44" s="2112"/>
      <c r="HO44" s="2112"/>
      <c r="HP44" s="2112"/>
      <c r="HQ44" s="2112"/>
      <c r="HR44" s="2112"/>
      <c r="HS44" s="2112"/>
    </row>
    <row r="45" s="2111" customFormat="true" ht="10.5" hidden="false" customHeight="true" outlineLevel="0" collapsed="false">
      <c r="A45" s="2124"/>
      <c r="C45" s="2112"/>
      <c r="D45" s="2112"/>
      <c r="E45" s="2112"/>
      <c r="F45" s="2112"/>
      <c r="G45" s="2112"/>
      <c r="H45" s="2112"/>
      <c r="I45" s="2112"/>
      <c r="J45" s="2112"/>
      <c r="K45" s="2112"/>
      <c r="L45" s="2112"/>
      <c r="M45" s="2112"/>
      <c r="N45" s="2112"/>
      <c r="Q45" s="2112"/>
      <c r="R45" s="2112"/>
      <c r="S45" s="2112"/>
      <c r="T45" s="2112"/>
      <c r="U45" s="2112"/>
      <c r="V45" s="2112"/>
      <c r="W45" s="2112"/>
      <c r="X45" s="2112"/>
      <c r="Y45" s="2112"/>
      <c r="Z45" s="2112"/>
      <c r="AA45" s="2112"/>
      <c r="AB45" s="2112"/>
      <c r="AE45" s="2112"/>
      <c r="AF45" s="2112"/>
      <c r="AG45" s="2112"/>
      <c r="AH45" s="2112"/>
      <c r="AI45" s="2112"/>
      <c r="AJ45" s="2112"/>
      <c r="AK45" s="2112"/>
      <c r="AL45" s="2112"/>
      <c r="AM45" s="2112"/>
      <c r="AN45" s="2112"/>
      <c r="AO45" s="2112"/>
      <c r="AP45" s="2112"/>
      <c r="AS45" s="2112"/>
      <c r="AT45" s="2112"/>
      <c r="AU45" s="2112"/>
      <c r="AV45" s="2112"/>
      <c r="AW45" s="2112"/>
      <c r="AX45" s="2112"/>
      <c r="AY45" s="2112"/>
      <c r="AZ45" s="2112"/>
      <c r="BA45" s="2112"/>
      <c r="BB45" s="2112"/>
      <c r="BC45" s="2112"/>
      <c r="BD45" s="2112"/>
      <c r="BF45" s="1885"/>
      <c r="BG45" s="2108" t="str">
        <f aca="false">Revenue!A132</f>
        <v>CS-24</v>
      </c>
      <c r="BH45" s="2109" t="n">
        <f aca="false">Revenue!N132</f>
        <v>119382.046875</v>
      </c>
      <c r="BI45" s="2109" t="n">
        <f aca="false">Revenue!O132</f>
        <v>132646.71875</v>
      </c>
      <c r="BJ45" s="2109" t="n">
        <f aca="false">Revenue!P132</f>
        <v>145911.390625001</v>
      </c>
      <c r="BK45" s="2109" t="n">
        <f aca="false">Revenue!Q132</f>
        <v>159176.062500001</v>
      </c>
      <c r="BL45" s="2109" t="n">
        <f aca="false">Revenue!R132</f>
        <v>172440.734375001</v>
      </c>
      <c r="BM45" s="2109" t="n">
        <f aca="false">Revenue!S132</f>
        <v>185705.406250001</v>
      </c>
      <c r="BN45" s="2109" t="n">
        <f aca="false">Revenue!T132</f>
        <v>198970.078125</v>
      </c>
      <c r="BO45" s="2109" t="n">
        <f aca="false">Revenue!U132</f>
        <v>212234.75</v>
      </c>
      <c r="BP45" s="2109" t="n">
        <f aca="false">Revenue!V132</f>
        <v>225499.421875</v>
      </c>
      <c r="BQ45" s="2109" t="n">
        <f aca="false">Revenue!W132</f>
        <v>238764.09375</v>
      </c>
      <c r="BR45" s="2109" t="n">
        <f aca="false">Revenue!X132</f>
        <v>252028.765625</v>
      </c>
      <c r="BS45" s="2108" t="n">
        <f aca="false">Revenue!Y132</f>
        <v>265293.4375</v>
      </c>
      <c r="BT45" s="1888"/>
      <c r="BU45" s="1952" t="str">
        <f aca="false">BG45</f>
        <v>CS-24</v>
      </c>
      <c r="BV45" s="1952" t="n">
        <f aca="false">Revenue!Z100</f>
        <v>1571781.25</v>
      </c>
      <c r="BW45" s="1952" t="n">
        <f aca="false">Revenue!AA100</f>
        <v>1571781.25</v>
      </c>
      <c r="BX45" s="1953" t="n">
        <f aca="false">Revenue!AB100</f>
        <v>1571781.25</v>
      </c>
      <c r="BY45" s="1952" t="n">
        <f aca="false">Revenue!AC100</f>
        <v>1571781.25</v>
      </c>
      <c r="BZ45" s="1952" t="n">
        <f aca="false">Revenue!AD100</f>
        <v>1571781.25</v>
      </c>
      <c r="CA45" s="1952" t="n">
        <f aca="false">Revenue!AE100</f>
        <v>1571781.25</v>
      </c>
      <c r="CB45" s="1952" t="n">
        <f aca="false">Revenue!AF100</f>
        <v>1571781.25</v>
      </c>
      <c r="CC45" s="1952" t="n">
        <f aca="false">Revenue!AG100</f>
        <v>1571781.25</v>
      </c>
      <c r="CD45" s="1952" t="n">
        <f aca="false">Revenue!AH100</f>
        <v>1571781.25</v>
      </c>
      <c r="CE45" s="1952" t="n">
        <f aca="false">Revenue!AI100</f>
        <v>1571781.25</v>
      </c>
      <c r="CF45" s="1952" t="n">
        <f aca="false">Revenue!AJ100</f>
        <v>1571781.25</v>
      </c>
      <c r="CG45" s="1952" t="n">
        <f aca="false">Revenue!AK100</f>
        <v>1571781.25</v>
      </c>
      <c r="CH45" s="1891"/>
      <c r="CI45" s="1954" t="str">
        <f aca="false">BU45</f>
        <v>CS-24</v>
      </c>
      <c r="CJ45" s="1955" t="n">
        <f aca="false">Revenue!AL100</f>
        <v>1702763.02083334</v>
      </c>
      <c r="CK45" s="1955" t="n">
        <f aca="false">Revenue!AM100</f>
        <v>1702763.02083334</v>
      </c>
      <c r="CL45" s="1955" t="n">
        <f aca="false">Revenue!AN100</f>
        <v>1702763.02083334</v>
      </c>
      <c r="CM45" s="1955" t="n">
        <f aca="false">Revenue!AO100</f>
        <v>1702763.02083334</v>
      </c>
      <c r="CN45" s="1955" t="n">
        <f aca="false">Revenue!AP100</f>
        <v>1702763.02083334</v>
      </c>
      <c r="CO45" s="1955" t="n">
        <f aca="false">Revenue!AQ100</f>
        <v>1702763.02083334</v>
      </c>
      <c r="CP45" s="1955" t="n">
        <f aca="false">Revenue!AR100</f>
        <v>1702763.02083334</v>
      </c>
      <c r="CQ45" s="1955" t="n">
        <f aca="false">Revenue!AS100</f>
        <v>1702763.02083334</v>
      </c>
      <c r="CR45" s="1955" t="n">
        <f aca="false">Revenue!AT100</f>
        <v>1702763.02083334</v>
      </c>
      <c r="CS45" s="1955" t="n">
        <f aca="false">Revenue!AU100</f>
        <v>1702763.02083334</v>
      </c>
      <c r="CT45" s="1955" t="n">
        <f aca="false">Revenue!AV100</f>
        <v>1702763.02083334</v>
      </c>
      <c r="CU45" s="1955" t="n">
        <f aca="false">Revenue!AW100</f>
        <v>1702763.02083334</v>
      </c>
      <c r="CV45" s="1888"/>
      <c r="CW45" s="1956" t="str">
        <f aca="false">CI45</f>
        <v>CS-24</v>
      </c>
      <c r="CX45" s="1957" t="n">
        <f aca="false">Revenue!AX100</f>
        <v>1833744.79166667</v>
      </c>
      <c r="CY45" s="1957" t="n">
        <f aca="false">Revenue!AY100</f>
        <v>1833744.79166667</v>
      </c>
      <c r="CZ45" s="1957" t="n">
        <f aca="false">Revenue!AZ100</f>
        <v>1833744.79166667</v>
      </c>
      <c r="DA45" s="1957" t="n">
        <f aca="false">Revenue!BA100</f>
        <v>1833744.79166667</v>
      </c>
      <c r="DB45" s="1957" t="n">
        <f aca="false">Revenue!BB100</f>
        <v>1833744.79166667</v>
      </c>
      <c r="DC45" s="1957" t="n">
        <f aca="false">Revenue!BC100</f>
        <v>1833744.79166667</v>
      </c>
      <c r="DD45" s="1957" t="n">
        <f aca="false">Revenue!BD100</f>
        <v>1833744.79166667</v>
      </c>
      <c r="DE45" s="1957" t="n">
        <f aca="false">Revenue!BE100</f>
        <v>1833744.79166667</v>
      </c>
      <c r="DF45" s="1957" t="n">
        <f aca="false">Revenue!BF100</f>
        <v>1833744.79166667</v>
      </c>
      <c r="DG45" s="1957" t="n">
        <f aca="false">Revenue!BG100</f>
        <v>1833744.79166667</v>
      </c>
      <c r="DH45" s="1957" t="n">
        <f aca="false">Revenue!BH100</f>
        <v>1833744.79166667</v>
      </c>
      <c r="DI45" s="1957" t="n">
        <f aca="false">Revenue!BI100</f>
        <v>1833744.79166667</v>
      </c>
      <c r="DZ45" s="2112"/>
      <c r="EN45" s="2112"/>
      <c r="EO45" s="2112"/>
      <c r="EP45" s="2112"/>
      <c r="EQ45" s="2112"/>
      <c r="ER45" s="2112"/>
      <c r="ES45" s="2112"/>
      <c r="ET45" s="2112"/>
      <c r="EU45" s="2112"/>
      <c r="EV45" s="2112"/>
      <c r="EW45" s="2112"/>
      <c r="EX45" s="2112"/>
      <c r="EY45" s="2112"/>
      <c r="EZ45" s="2112"/>
      <c r="FB45" s="2112"/>
      <c r="FR45" s="2119"/>
      <c r="FS45" s="2119"/>
      <c r="FT45" s="2119"/>
      <c r="FU45" s="2119"/>
      <c r="FV45" s="2119"/>
      <c r="FW45" s="2119"/>
      <c r="FX45" s="2119"/>
      <c r="FY45" s="2119"/>
      <c r="FZ45" s="2119"/>
      <c r="GA45" s="2119"/>
      <c r="GB45" s="2119"/>
      <c r="GC45" s="2119"/>
      <c r="GF45" s="2119"/>
      <c r="GG45" s="2119"/>
      <c r="GH45" s="2119"/>
      <c r="GI45" s="2119"/>
      <c r="GJ45" s="2119"/>
      <c r="GK45" s="2119"/>
      <c r="GL45" s="2119"/>
      <c r="GM45" s="2119"/>
      <c r="GN45" s="2119"/>
      <c r="GO45" s="2119"/>
      <c r="GP45" s="2119"/>
      <c r="GQ45" s="2119"/>
      <c r="GS45" s="2120"/>
      <c r="GT45" s="2119"/>
      <c r="GU45" s="2119"/>
      <c r="GV45" s="2119"/>
      <c r="GW45" s="2119"/>
      <c r="GX45" s="2119"/>
      <c r="GY45" s="2119"/>
      <c r="GZ45" s="2119"/>
      <c r="HA45" s="2119"/>
      <c r="HB45" s="2119"/>
      <c r="HC45" s="2119"/>
      <c r="HD45" s="2119"/>
      <c r="HE45" s="2119"/>
      <c r="HH45" s="2112"/>
      <c r="HI45" s="2112"/>
      <c r="HJ45" s="2112"/>
      <c r="HK45" s="2112"/>
      <c r="HL45" s="2112"/>
      <c r="HM45" s="2112"/>
      <c r="HN45" s="2112"/>
      <c r="HO45" s="2112"/>
      <c r="HP45" s="2112"/>
      <c r="HQ45" s="2112"/>
      <c r="HR45" s="2112"/>
      <c r="HS45" s="2112"/>
    </row>
    <row r="46" s="2111" customFormat="true" ht="10.5" hidden="false" customHeight="true" outlineLevel="0" collapsed="false">
      <c r="A46" s="2124"/>
      <c r="C46" s="2112"/>
      <c r="D46" s="2112"/>
      <c r="E46" s="2112"/>
      <c r="F46" s="2112"/>
      <c r="G46" s="2112"/>
      <c r="H46" s="2112"/>
      <c r="I46" s="2112"/>
      <c r="J46" s="2112"/>
      <c r="K46" s="2112"/>
      <c r="L46" s="2112"/>
      <c r="M46" s="2112"/>
      <c r="N46" s="2112"/>
      <c r="Q46" s="2112"/>
      <c r="R46" s="2112"/>
      <c r="S46" s="2112"/>
      <c r="T46" s="2112"/>
      <c r="U46" s="2112"/>
      <c r="V46" s="2112"/>
      <c r="W46" s="2112"/>
      <c r="X46" s="2112"/>
      <c r="Y46" s="2112"/>
      <c r="Z46" s="2112"/>
      <c r="AA46" s="2112"/>
      <c r="AB46" s="2112"/>
      <c r="AE46" s="2112"/>
      <c r="AF46" s="2112"/>
      <c r="AG46" s="2112"/>
      <c r="AH46" s="2112"/>
      <c r="AI46" s="2112"/>
      <c r="AJ46" s="2112"/>
      <c r="AK46" s="2112"/>
      <c r="AL46" s="2112"/>
      <c r="AM46" s="2112"/>
      <c r="AN46" s="2112"/>
      <c r="AO46" s="2112"/>
      <c r="AP46" s="2112"/>
      <c r="AS46" s="2112"/>
      <c r="AT46" s="2112"/>
      <c r="AU46" s="2112"/>
      <c r="AV46" s="2112"/>
      <c r="AW46" s="2112"/>
      <c r="AX46" s="2112"/>
      <c r="AY46" s="2112"/>
      <c r="AZ46" s="2112"/>
      <c r="BA46" s="2112"/>
      <c r="BB46" s="2112"/>
      <c r="BC46" s="2112"/>
      <c r="BD46" s="2112"/>
      <c r="BF46" s="1885"/>
      <c r="BG46" s="2108" t="str">
        <f aca="false">Revenue!A133</f>
        <v>CS-30</v>
      </c>
      <c r="BH46" s="2109" t="n">
        <f aca="false">Revenue!N133</f>
        <v>72203.85</v>
      </c>
      <c r="BI46" s="2109" t="n">
        <f aca="false">Revenue!O133</f>
        <v>80226.5</v>
      </c>
      <c r="BJ46" s="2109" t="n">
        <f aca="false">Revenue!P133</f>
        <v>88249.15</v>
      </c>
      <c r="BK46" s="2109" t="n">
        <f aca="false">Revenue!Q133</f>
        <v>96271.8</v>
      </c>
      <c r="BL46" s="2109" t="n">
        <f aca="false">Revenue!R133</f>
        <v>104294.45</v>
      </c>
      <c r="BM46" s="2109" t="n">
        <f aca="false">Revenue!S133</f>
        <v>112317.1</v>
      </c>
      <c r="BN46" s="2109" t="n">
        <f aca="false">Revenue!T133</f>
        <v>120339.75</v>
      </c>
      <c r="BO46" s="2109" t="n">
        <f aca="false">Revenue!U133</f>
        <v>128362.4</v>
      </c>
      <c r="BP46" s="2109" t="n">
        <f aca="false">Revenue!V133</f>
        <v>136385.05</v>
      </c>
      <c r="BQ46" s="2109" t="n">
        <f aca="false">Revenue!W133</f>
        <v>144407.7</v>
      </c>
      <c r="BR46" s="2109" t="n">
        <f aca="false">Revenue!X133</f>
        <v>152430.35</v>
      </c>
      <c r="BS46" s="2108" t="n">
        <f aca="false">Revenue!Y133</f>
        <v>160453</v>
      </c>
      <c r="BT46" s="1888"/>
      <c r="BU46" s="1952" t="str">
        <f aca="false">BG46</f>
        <v>CS-30</v>
      </c>
      <c r="BV46" s="1952" t="n">
        <f aca="false">Revenue!Z101</f>
        <v>967249.999999998</v>
      </c>
      <c r="BW46" s="1952" t="n">
        <f aca="false">Revenue!AA101</f>
        <v>967249.999999998</v>
      </c>
      <c r="BX46" s="1953" t="n">
        <f aca="false">Revenue!AB101</f>
        <v>967249.999999998</v>
      </c>
      <c r="BY46" s="1952" t="n">
        <f aca="false">Revenue!AC101</f>
        <v>967249.999999998</v>
      </c>
      <c r="BZ46" s="1952" t="n">
        <f aca="false">Revenue!AD101</f>
        <v>967249.999999998</v>
      </c>
      <c r="CA46" s="1952" t="n">
        <f aca="false">Revenue!AE101</f>
        <v>967249.999999998</v>
      </c>
      <c r="CB46" s="1952" t="n">
        <f aca="false">Revenue!AF101</f>
        <v>967249.999999998</v>
      </c>
      <c r="CC46" s="1952" t="n">
        <f aca="false">Revenue!AG101</f>
        <v>967249.999999998</v>
      </c>
      <c r="CD46" s="1952" t="n">
        <f aca="false">Revenue!AH101</f>
        <v>967249.999999998</v>
      </c>
      <c r="CE46" s="1952" t="n">
        <f aca="false">Revenue!AI101</f>
        <v>967249.999999998</v>
      </c>
      <c r="CF46" s="1952" t="n">
        <f aca="false">Revenue!AJ101</f>
        <v>967249.999999998</v>
      </c>
      <c r="CG46" s="1952" t="n">
        <f aca="false">Revenue!AK101</f>
        <v>967249.999999998</v>
      </c>
      <c r="CH46" s="1891"/>
      <c r="CI46" s="1954" t="str">
        <f aca="false">BU46</f>
        <v>CS-30</v>
      </c>
      <c r="CJ46" s="1955" t="n">
        <f aca="false">Revenue!AL101</f>
        <v>1047854.16666667</v>
      </c>
      <c r="CK46" s="1955" t="n">
        <f aca="false">Revenue!AM101</f>
        <v>1047854.16666667</v>
      </c>
      <c r="CL46" s="1955" t="n">
        <f aca="false">Revenue!AN101</f>
        <v>1047854.16666667</v>
      </c>
      <c r="CM46" s="1955" t="n">
        <f aca="false">Revenue!AO101</f>
        <v>1047854.16666667</v>
      </c>
      <c r="CN46" s="1955" t="n">
        <f aca="false">Revenue!AP101</f>
        <v>1047854.16666667</v>
      </c>
      <c r="CO46" s="1955" t="n">
        <f aca="false">Revenue!AQ101</f>
        <v>1047854.16666667</v>
      </c>
      <c r="CP46" s="1955" t="n">
        <f aca="false">Revenue!AR101</f>
        <v>1047854.16666667</v>
      </c>
      <c r="CQ46" s="1955" t="n">
        <f aca="false">Revenue!AS101</f>
        <v>1047854.16666667</v>
      </c>
      <c r="CR46" s="1955" t="n">
        <f aca="false">Revenue!AT101</f>
        <v>1047854.16666667</v>
      </c>
      <c r="CS46" s="1955" t="n">
        <f aca="false">Revenue!AU101</f>
        <v>1047854.16666667</v>
      </c>
      <c r="CT46" s="1955" t="n">
        <f aca="false">Revenue!AV101</f>
        <v>1047854.16666667</v>
      </c>
      <c r="CU46" s="1955" t="n">
        <f aca="false">Revenue!AW101</f>
        <v>1047854.16666667</v>
      </c>
      <c r="CV46" s="1888"/>
      <c r="CW46" s="1956" t="str">
        <f aca="false">CI46</f>
        <v>CS-30</v>
      </c>
      <c r="CX46" s="1957" t="n">
        <f aca="false">Revenue!AX101</f>
        <v>1128458.33333333</v>
      </c>
      <c r="CY46" s="1957" t="n">
        <f aca="false">Revenue!AY101</f>
        <v>1128458.33333333</v>
      </c>
      <c r="CZ46" s="1957" t="n">
        <f aca="false">Revenue!AZ101</f>
        <v>1128458.33333333</v>
      </c>
      <c r="DA46" s="1957" t="n">
        <f aca="false">Revenue!BA101</f>
        <v>1128458.33333333</v>
      </c>
      <c r="DB46" s="1957" t="n">
        <f aca="false">Revenue!BB101</f>
        <v>1128458.33333333</v>
      </c>
      <c r="DC46" s="1957" t="n">
        <f aca="false">Revenue!BC101</f>
        <v>1128458.33333333</v>
      </c>
      <c r="DD46" s="1957" t="n">
        <f aca="false">Revenue!BD101</f>
        <v>1128458.33333333</v>
      </c>
      <c r="DE46" s="1957" t="n">
        <f aca="false">Revenue!BE101</f>
        <v>1128458.33333333</v>
      </c>
      <c r="DF46" s="1957" t="n">
        <f aca="false">Revenue!BF101</f>
        <v>1128458.33333333</v>
      </c>
      <c r="DG46" s="1957" t="n">
        <f aca="false">Revenue!BG101</f>
        <v>1128458.33333333</v>
      </c>
      <c r="DH46" s="1957" t="n">
        <f aca="false">Revenue!BH101</f>
        <v>1128458.33333333</v>
      </c>
      <c r="DI46" s="1957" t="n">
        <f aca="false">Revenue!BI101</f>
        <v>1128458.33333333</v>
      </c>
      <c r="DZ46" s="2112"/>
      <c r="EN46" s="2112"/>
      <c r="EO46" s="2112"/>
      <c r="EP46" s="2112"/>
      <c r="EQ46" s="2112"/>
      <c r="ER46" s="2112"/>
      <c r="ES46" s="2112"/>
      <c r="ET46" s="2112"/>
      <c r="EU46" s="2112"/>
      <c r="EV46" s="2112"/>
      <c r="EW46" s="2112"/>
      <c r="EX46" s="2112"/>
      <c r="EY46" s="2112"/>
      <c r="EZ46" s="2112"/>
      <c r="FB46" s="2112"/>
      <c r="FR46" s="2119"/>
      <c r="FS46" s="2119"/>
      <c r="FT46" s="2119"/>
      <c r="FU46" s="2119"/>
      <c r="FV46" s="2119"/>
      <c r="FW46" s="2119"/>
      <c r="FX46" s="2119"/>
      <c r="FY46" s="2119"/>
      <c r="FZ46" s="2119"/>
      <c r="GA46" s="2119"/>
      <c r="GB46" s="2119"/>
      <c r="GC46" s="2119"/>
      <c r="GF46" s="2119"/>
      <c r="GG46" s="2119"/>
      <c r="GH46" s="2119"/>
      <c r="GI46" s="2119"/>
      <c r="GJ46" s="2119"/>
      <c r="GK46" s="2119"/>
      <c r="GL46" s="2119"/>
      <c r="GM46" s="2119"/>
      <c r="GN46" s="2119"/>
      <c r="GO46" s="2119"/>
      <c r="GP46" s="2119"/>
      <c r="GQ46" s="2119"/>
      <c r="GS46" s="2120"/>
      <c r="GT46" s="2119"/>
      <c r="GU46" s="2119"/>
      <c r="GV46" s="2119"/>
      <c r="GW46" s="2119"/>
      <c r="GX46" s="2119"/>
      <c r="GY46" s="2119"/>
      <c r="GZ46" s="2119"/>
      <c r="HA46" s="2119"/>
      <c r="HB46" s="2119"/>
      <c r="HC46" s="2119"/>
      <c r="HD46" s="2119"/>
      <c r="HE46" s="2119"/>
      <c r="HH46" s="2112"/>
      <c r="HI46" s="2112"/>
      <c r="HJ46" s="2112"/>
      <c r="HK46" s="2112"/>
      <c r="HL46" s="2112"/>
      <c r="HM46" s="2112"/>
      <c r="HN46" s="2112"/>
      <c r="HO46" s="2112"/>
      <c r="HP46" s="2112"/>
      <c r="HQ46" s="2112"/>
      <c r="HR46" s="2112"/>
      <c r="HS46" s="2112"/>
    </row>
    <row r="47" s="2111" customFormat="true" ht="10.5" hidden="false" customHeight="true" outlineLevel="0" collapsed="false">
      <c r="A47" s="2124"/>
      <c r="C47" s="2112"/>
      <c r="D47" s="2112"/>
      <c r="E47" s="2112"/>
      <c r="F47" s="2112"/>
      <c r="G47" s="2112"/>
      <c r="H47" s="2112"/>
      <c r="I47" s="2112"/>
      <c r="J47" s="2112"/>
      <c r="K47" s="2112"/>
      <c r="L47" s="2112"/>
      <c r="M47" s="2112"/>
      <c r="N47" s="2112"/>
      <c r="Q47" s="2112"/>
      <c r="R47" s="2112"/>
      <c r="S47" s="2112"/>
      <c r="T47" s="2112"/>
      <c r="U47" s="2112"/>
      <c r="V47" s="2112"/>
      <c r="W47" s="2112"/>
      <c r="X47" s="2112"/>
      <c r="Y47" s="2112"/>
      <c r="Z47" s="2112"/>
      <c r="AA47" s="2112"/>
      <c r="AB47" s="2112"/>
      <c r="AE47" s="2112"/>
      <c r="AF47" s="2112"/>
      <c r="AG47" s="2112"/>
      <c r="AH47" s="2112"/>
      <c r="AI47" s="2112"/>
      <c r="AJ47" s="2112"/>
      <c r="AK47" s="2112"/>
      <c r="AL47" s="2112"/>
      <c r="AM47" s="2112"/>
      <c r="AN47" s="2112"/>
      <c r="AO47" s="2112"/>
      <c r="AP47" s="2112"/>
      <c r="AS47" s="2112"/>
      <c r="AT47" s="2112"/>
      <c r="AU47" s="2112"/>
      <c r="AV47" s="2112"/>
      <c r="AW47" s="2112"/>
      <c r="AX47" s="2112"/>
      <c r="AY47" s="2112"/>
      <c r="AZ47" s="2112"/>
      <c r="BA47" s="2112"/>
      <c r="BB47" s="2112"/>
      <c r="BC47" s="2112"/>
      <c r="BD47" s="2112"/>
      <c r="BF47" s="1885"/>
      <c r="BG47" s="2108" t="str">
        <f aca="false">Revenue!A134</f>
        <v>CS-36</v>
      </c>
      <c r="BH47" s="2109" t="n">
        <f aca="false">Revenue!N134</f>
        <v>55588.359375</v>
      </c>
      <c r="BI47" s="2109" t="n">
        <f aca="false">Revenue!O134</f>
        <v>61764.8437500001</v>
      </c>
      <c r="BJ47" s="2109" t="n">
        <f aca="false">Revenue!P134</f>
        <v>67941.3281250001</v>
      </c>
      <c r="BK47" s="2109" t="n">
        <f aca="false">Revenue!Q134</f>
        <v>74117.8125</v>
      </c>
      <c r="BL47" s="2109" t="n">
        <f aca="false">Revenue!R134</f>
        <v>80294.296875</v>
      </c>
      <c r="BM47" s="2109" t="n">
        <f aca="false">Revenue!S134</f>
        <v>86470.78125</v>
      </c>
      <c r="BN47" s="2109" t="n">
        <f aca="false">Revenue!T134</f>
        <v>92647.265625</v>
      </c>
      <c r="BO47" s="2109" t="n">
        <f aca="false">Revenue!U134</f>
        <v>98823.75</v>
      </c>
      <c r="BP47" s="2109" t="n">
        <f aca="false">Revenue!V134</f>
        <v>105000.234375</v>
      </c>
      <c r="BQ47" s="2109" t="n">
        <f aca="false">Revenue!W134</f>
        <v>111176.71875</v>
      </c>
      <c r="BR47" s="2109" t="n">
        <f aca="false">Revenue!X134</f>
        <v>117353.203125</v>
      </c>
      <c r="BS47" s="2108" t="n">
        <f aca="false">Revenue!Y134</f>
        <v>123529.6875</v>
      </c>
      <c r="BT47" s="1888"/>
      <c r="BU47" s="1952" t="str">
        <f aca="false">BG47</f>
        <v>CS-36</v>
      </c>
      <c r="BV47" s="1952" t="n">
        <f aca="false">Revenue!Z102</f>
        <v>725437.5</v>
      </c>
      <c r="BW47" s="1952" t="n">
        <f aca="false">Revenue!AA102</f>
        <v>725437.5</v>
      </c>
      <c r="BX47" s="1953" t="n">
        <f aca="false">Revenue!AB102</f>
        <v>725437.5</v>
      </c>
      <c r="BY47" s="1952" t="n">
        <f aca="false">Revenue!AC102</f>
        <v>725437.5</v>
      </c>
      <c r="BZ47" s="1952" t="n">
        <f aca="false">Revenue!AD102</f>
        <v>725437.5</v>
      </c>
      <c r="CA47" s="1952" t="n">
        <f aca="false">Revenue!AE102</f>
        <v>725437.5</v>
      </c>
      <c r="CB47" s="1952" t="n">
        <f aca="false">Revenue!AF102</f>
        <v>725437.5</v>
      </c>
      <c r="CC47" s="1952" t="n">
        <f aca="false">Revenue!AG102</f>
        <v>725437.5</v>
      </c>
      <c r="CD47" s="1952" t="n">
        <f aca="false">Revenue!AH102</f>
        <v>725437.5</v>
      </c>
      <c r="CE47" s="1952" t="n">
        <f aca="false">Revenue!AI102</f>
        <v>725437.5</v>
      </c>
      <c r="CF47" s="1952" t="n">
        <f aca="false">Revenue!AJ102</f>
        <v>725437.5</v>
      </c>
      <c r="CG47" s="1952" t="n">
        <f aca="false">Revenue!AK102</f>
        <v>725437.5</v>
      </c>
      <c r="CH47" s="1891"/>
      <c r="CI47" s="1954" t="str">
        <f aca="false">BU47</f>
        <v>CS-36</v>
      </c>
      <c r="CJ47" s="1955" t="n">
        <f aca="false">Revenue!AL102</f>
        <v>785890.625</v>
      </c>
      <c r="CK47" s="1955" t="n">
        <f aca="false">Revenue!AM102</f>
        <v>785890.625</v>
      </c>
      <c r="CL47" s="1955" t="n">
        <f aca="false">Revenue!AN102</f>
        <v>785890.625</v>
      </c>
      <c r="CM47" s="1955" t="n">
        <f aca="false">Revenue!AO102</f>
        <v>785890.625</v>
      </c>
      <c r="CN47" s="1955" t="n">
        <f aca="false">Revenue!AP102</f>
        <v>785890.625</v>
      </c>
      <c r="CO47" s="1955" t="n">
        <f aca="false">Revenue!AQ102</f>
        <v>785890.625</v>
      </c>
      <c r="CP47" s="1955" t="n">
        <f aca="false">Revenue!AR102</f>
        <v>785890.625</v>
      </c>
      <c r="CQ47" s="1955" t="n">
        <f aca="false">Revenue!AS102</f>
        <v>785890.625</v>
      </c>
      <c r="CR47" s="1955" t="n">
        <f aca="false">Revenue!AT102</f>
        <v>785890.625</v>
      </c>
      <c r="CS47" s="1955" t="n">
        <f aca="false">Revenue!AU102</f>
        <v>785890.625</v>
      </c>
      <c r="CT47" s="1955" t="n">
        <f aca="false">Revenue!AV102</f>
        <v>785890.625</v>
      </c>
      <c r="CU47" s="1955" t="n">
        <f aca="false">Revenue!AW102</f>
        <v>785890.625</v>
      </c>
      <c r="CV47" s="1888"/>
      <c r="CW47" s="1956" t="str">
        <f aca="false">CI47</f>
        <v>CS-36</v>
      </c>
      <c r="CX47" s="1957" t="n">
        <f aca="false">Revenue!AX102</f>
        <v>846343.75</v>
      </c>
      <c r="CY47" s="1957" t="n">
        <f aca="false">Revenue!AY102</f>
        <v>846343.75</v>
      </c>
      <c r="CZ47" s="1957" t="n">
        <f aca="false">Revenue!AZ102</f>
        <v>846343.75</v>
      </c>
      <c r="DA47" s="1957" t="n">
        <f aca="false">Revenue!BA102</f>
        <v>846343.75</v>
      </c>
      <c r="DB47" s="1957" t="n">
        <f aca="false">Revenue!BB102</f>
        <v>846343.75</v>
      </c>
      <c r="DC47" s="1957" t="n">
        <f aca="false">Revenue!BC102</f>
        <v>846343.75</v>
      </c>
      <c r="DD47" s="1957" t="n">
        <f aca="false">Revenue!BD102</f>
        <v>846343.75</v>
      </c>
      <c r="DE47" s="1957" t="n">
        <f aca="false">Revenue!BE102</f>
        <v>846343.75</v>
      </c>
      <c r="DF47" s="1957" t="n">
        <f aca="false">Revenue!BF102</f>
        <v>846343.75</v>
      </c>
      <c r="DG47" s="1957" t="n">
        <f aca="false">Revenue!BG102</f>
        <v>846343.75</v>
      </c>
      <c r="DH47" s="1957" t="n">
        <f aca="false">Revenue!BH102</f>
        <v>846343.75</v>
      </c>
      <c r="DI47" s="1957" t="n">
        <f aca="false">Revenue!BI102</f>
        <v>846343.75</v>
      </c>
      <c r="DZ47" s="2112"/>
      <c r="EN47" s="2112"/>
      <c r="EO47" s="2112"/>
      <c r="EP47" s="2112"/>
      <c r="EQ47" s="2112"/>
      <c r="ER47" s="2112"/>
      <c r="ES47" s="2112"/>
      <c r="ET47" s="2112"/>
      <c r="EU47" s="2112"/>
      <c r="EV47" s="2112"/>
      <c r="EW47" s="2112"/>
      <c r="EX47" s="2112"/>
      <c r="EY47" s="2112"/>
      <c r="EZ47" s="2112"/>
      <c r="FB47" s="2112"/>
      <c r="FR47" s="2119"/>
      <c r="FS47" s="2119"/>
      <c r="FT47" s="2119"/>
      <c r="FU47" s="2119"/>
      <c r="FV47" s="2119"/>
      <c r="FW47" s="2119"/>
      <c r="FX47" s="2119"/>
      <c r="FY47" s="2119"/>
      <c r="FZ47" s="2119"/>
      <c r="GA47" s="2119"/>
      <c r="GB47" s="2119"/>
      <c r="GC47" s="2119"/>
      <c r="GF47" s="2119"/>
      <c r="GG47" s="2119"/>
      <c r="GH47" s="2119"/>
      <c r="GI47" s="2119"/>
      <c r="GJ47" s="2119"/>
      <c r="GK47" s="2119"/>
      <c r="GL47" s="2119"/>
      <c r="GM47" s="2119"/>
      <c r="GN47" s="2119"/>
      <c r="GO47" s="2119"/>
      <c r="GP47" s="2119"/>
      <c r="GQ47" s="2119"/>
      <c r="GS47" s="2120"/>
      <c r="GT47" s="2119"/>
      <c r="GU47" s="2119"/>
      <c r="GV47" s="2119"/>
      <c r="GW47" s="2119"/>
      <c r="GX47" s="2119"/>
      <c r="GY47" s="2119"/>
      <c r="GZ47" s="2119"/>
      <c r="HA47" s="2119"/>
      <c r="HB47" s="2119"/>
      <c r="HC47" s="2119"/>
      <c r="HD47" s="2119"/>
      <c r="HE47" s="2119"/>
      <c r="HH47" s="2112"/>
      <c r="HI47" s="2112"/>
      <c r="HJ47" s="2112"/>
      <c r="HK47" s="2112"/>
      <c r="HL47" s="2112"/>
      <c r="HM47" s="2112"/>
      <c r="HN47" s="2112"/>
      <c r="HO47" s="2112"/>
      <c r="HP47" s="2112"/>
      <c r="HQ47" s="2112"/>
      <c r="HR47" s="2112"/>
      <c r="HS47" s="2112"/>
    </row>
    <row r="48" s="2111" customFormat="true" ht="10.5" hidden="false" customHeight="true" outlineLevel="0" collapsed="false">
      <c r="A48" s="2121"/>
      <c r="C48" s="2112"/>
      <c r="D48" s="2112"/>
      <c r="E48" s="2112"/>
      <c r="F48" s="2112"/>
      <c r="G48" s="2112"/>
      <c r="H48" s="2112"/>
      <c r="I48" s="2112"/>
      <c r="J48" s="2112"/>
      <c r="K48" s="2112"/>
      <c r="L48" s="2112"/>
      <c r="M48" s="2112"/>
      <c r="N48" s="2112"/>
      <c r="Q48" s="2112"/>
      <c r="R48" s="2112"/>
      <c r="S48" s="2112"/>
      <c r="T48" s="2112"/>
      <c r="U48" s="2112"/>
      <c r="V48" s="2112"/>
      <c r="W48" s="2112"/>
      <c r="X48" s="2112"/>
      <c r="Y48" s="2112"/>
      <c r="Z48" s="2112"/>
      <c r="AA48" s="2112"/>
      <c r="AB48" s="2112"/>
      <c r="AE48" s="2112"/>
      <c r="AF48" s="2112"/>
      <c r="AG48" s="2112"/>
      <c r="AH48" s="2112"/>
      <c r="AI48" s="2112"/>
      <c r="AJ48" s="2112"/>
      <c r="AK48" s="2112"/>
      <c r="AL48" s="2112"/>
      <c r="AM48" s="2112"/>
      <c r="AN48" s="2112"/>
      <c r="AO48" s="2112"/>
      <c r="AP48" s="2112"/>
      <c r="AS48" s="2112"/>
      <c r="AT48" s="2112"/>
      <c r="AU48" s="2112"/>
      <c r="AV48" s="2112"/>
      <c r="AW48" s="2112"/>
      <c r="AX48" s="2112"/>
      <c r="AY48" s="2112"/>
      <c r="AZ48" s="2112"/>
      <c r="BA48" s="2112"/>
      <c r="BB48" s="2112"/>
      <c r="BC48" s="2112"/>
      <c r="BD48" s="2112"/>
      <c r="BF48" s="1885"/>
      <c r="BG48" s="2108" t="str">
        <f aca="false">Revenue!A135</f>
        <v>CS-42</v>
      </c>
      <c r="BH48" s="2109" t="n">
        <f aca="false">Revenue!N135</f>
        <v>16581.0937499999</v>
      </c>
      <c r="BI48" s="2109" t="n">
        <f aca="false">Revenue!O135</f>
        <v>18423.4375</v>
      </c>
      <c r="BJ48" s="2109" t="n">
        <f aca="false">Revenue!P135</f>
        <v>20265.78125</v>
      </c>
      <c r="BK48" s="2109" t="n">
        <f aca="false">Revenue!Q135</f>
        <v>22108.1250000001</v>
      </c>
      <c r="BL48" s="2109" t="n">
        <f aca="false">Revenue!R135</f>
        <v>23950.46875</v>
      </c>
      <c r="BM48" s="2109" t="n">
        <f aca="false">Revenue!S135</f>
        <v>25792.8125</v>
      </c>
      <c r="BN48" s="2109" t="n">
        <f aca="false">Revenue!T135</f>
        <v>27635.15625</v>
      </c>
      <c r="BO48" s="2109" t="n">
        <f aca="false">Revenue!U135</f>
        <v>29477.5</v>
      </c>
      <c r="BP48" s="2109" t="n">
        <f aca="false">Revenue!V135</f>
        <v>31319.8437500001</v>
      </c>
      <c r="BQ48" s="2109" t="n">
        <f aca="false">Revenue!W135</f>
        <v>33162.1875</v>
      </c>
      <c r="BR48" s="2109" t="n">
        <f aca="false">Revenue!X135</f>
        <v>35004.53125</v>
      </c>
      <c r="BS48" s="2108" t="n">
        <f aca="false">Revenue!Y135</f>
        <v>36846.8750000001</v>
      </c>
      <c r="BT48" s="1888"/>
      <c r="BU48" s="1952" t="str">
        <f aca="false">BG48</f>
        <v>CS-42</v>
      </c>
      <c r="BV48" s="1952" t="n">
        <f aca="false">Revenue!Z103</f>
        <v>241812.5</v>
      </c>
      <c r="BW48" s="1952" t="n">
        <f aca="false">Revenue!AA103</f>
        <v>241812.5</v>
      </c>
      <c r="BX48" s="1953" t="n">
        <f aca="false">Revenue!AB103</f>
        <v>241812.5</v>
      </c>
      <c r="BY48" s="1952" t="n">
        <f aca="false">Revenue!AC103</f>
        <v>241812.5</v>
      </c>
      <c r="BZ48" s="1952" t="n">
        <f aca="false">Revenue!AD103</f>
        <v>241812.5</v>
      </c>
      <c r="CA48" s="1952" t="n">
        <f aca="false">Revenue!AE103</f>
        <v>241812.5</v>
      </c>
      <c r="CB48" s="1952" t="n">
        <f aca="false">Revenue!AF103</f>
        <v>241812.5</v>
      </c>
      <c r="CC48" s="1952" t="n">
        <f aca="false">Revenue!AG103</f>
        <v>241812.5</v>
      </c>
      <c r="CD48" s="1952" t="n">
        <f aca="false">Revenue!AH103</f>
        <v>241812.5</v>
      </c>
      <c r="CE48" s="1952" t="n">
        <f aca="false">Revenue!AI103</f>
        <v>241812.5</v>
      </c>
      <c r="CF48" s="1952" t="n">
        <f aca="false">Revenue!AJ103</f>
        <v>241812.5</v>
      </c>
      <c r="CG48" s="1952" t="n">
        <f aca="false">Revenue!AK103</f>
        <v>241812.5</v>
      </c>
      <c r="CH48" s="1891"/>
      <c r="CI48" s="1954" t="str">
        <f aca="false">BU48</f>
        <v>CS-42</v>
      </c>
      <c r="CJ48" s="1955" t="n">
        <f aca="false">Revenue!AL103</f>
        <v>261963.541666667</v>
      </c>
      <c r="CK48" s="1955" t="n">
        <f aca="false">Revenue!AM103</f>
        <v>261963.541666667</v>
      </c>
      <c r="CL48" s="1955" t="n">
        <f aca="false">Revenue!AN103</f>
        <v>261963.541666667</v>
      </c>
      <c r="CM48" s="1955" t="n">
        <f aca="false">Revenue!AO103</f>
        <v>261963.541666667</v>
      </c>
      <c r="CN48" s="1955" t="n">
        <f aca="false">Revenue!AP103</f>
        <v>261963.541666667</v>
      </c>
      <c r="CO48" s="1955" t="n">
        <f aca="false">Revenue!AQ103</f>
        <v>261963.541666667</v>
      </c>
      <c r="CP48" s="1955" t="n">
        <f aca="false">Revenue!AR103</f>
        <v>261963.541666667</v>
      </c>
      <c r="CQ48" s="1955" t="n">
        <f aca="false">Revenue!AS103</f>
        <v>261963.541666667</v>
      </c>
      <c r="CR48" s="1955" t="n">
        <f aca="false">Revenue!AT103</f>
        <v>261963.541666667</v>
      </c>
      <c r="CS48" s="1955" t="n">
        <f aca="false">Revenue!AU103</f>
        <v>261963.541666667</v>
      </c>
      <c r="CT48" s="1955" t="n">
        <f aca="false">Revenue!AV103</f>
        <v>261963.541666667</v>
      </c>
      <c r="CU48" s="1955" t="n">
        <f aca="false">Revenue!AW103</f>
        <v>261963.541666667</v>
      </c>
      <c r="CV48" s="1888"/>
      <c r="CW48" s="1956" t="str">
        <f aca="false">CI48</f>
        <v>CS-42</v>
      </c>
      <c r="CX48" s="1957" t="n">
        <f aca="false">Revenue!AX103</f>
        <v>282114.583333333</v>
      </c>
      <c r="CY48" s="1957" t="n">
        <f aca="false">Revenue!AY103</f>
        <v>282114.583333333</v>
      </c>
      <c r="CZ48" s="1957" t="n">
        <f aca="false">Revenue!AZ103</f>
        <v>282114.583333333</v>
      </c>
      <c r="DA48" s="1957" t="n">
        <f aca="false">Revenue!BA103</f>
        <v>282114.583333333</v>
      </c>
      <c r="DB48" s="1957" t="n">
        <f aca="false">Revenue!BB103</f>
        <v>282114.583333333</v>
      </c>
      <c r="DC48" s="1957" t="n">
        <f aca="false">Revenue!BC103</f>
        <v>282114.583333333</v>
      </c>
      <c r="DD48" s="1957" t="n">
        <f aca="false">Revenue!BD103</f>
        <v>282114.583333333</v>
      </c>
      <c r="DE48" s="1957" t="n">
        <f aca="false">Revenue!BE103</f>
        <v>282114.583333333</v>
      </c>
      <c r="DF48" s="1957" t="n">
        <f aca="false">Revenue!BF103</f>
        <v>282114.583333333</v>
      </c>
      <c r="DG48" s="1957" t="n">
        <f aca="false">Revenue!BG103</f>
        <v>282114.583333333</v>
      </c>
      <c r="DH48" s="1957" t="n">
        <f aca="false">Revenue!BH103</f>
        <v>282114.583333333</v>
      </c>
      <c r="DI48" s="1957" t="n">
        <f aca="false">Revenue!BI103</f>
        <v>282114.583333333</v>
      </c>
      <c r="DZ48" s="2112"/>
      <c r="EN48" s="2112"/>
      <c r="EO48" s="2112"/>
      <c r="EP48" s="2112"/>
      <c r="EQ48" s="2112"/>
      <c r="ER48" s="2112"/>
      <c r="ES48" s="2112"/>
      <c r="ET48" s="2112"/>
      <c r="EU48" s="2112"/>
      <c r="EV48" s="2112"/>
      <c r="EW48" s="2112"/>
      <c r="EX48" s="2112"/>
      <c r="EY48" s="2112"/>
      <c r="EZ48" s="2112"/>
      <c r="FB48" s="2112"/>
      <c r="FR48" s="2119"/>
      <c r="FS48" s="2119"/>
      <c r="FT48" s="2119"/>
      <c r="FU48" s="2119"/>
      <c r="FV48" s="2119"/>
      <c r="FW48" s="2119"/>
      <c r="FX48" s="2119"/>
      <c r="FY48" s="2119"/>
      <c r="FZ48" s="2119"/>
      <c r="GA48" s="2119"/>
      <c r="GB48" s="2119"/>
      <c r="GC48" s="2119"/>
      <c r="GF48" s="2119"/>
      <c r="GG48" s="2119"/>
      <c r="GH48" s="2119"/>
      <c r="GI48" s="2119"/>
      <c r="GJ48" s="2119"/>
      <c r="GK48" s="2119"/>
      <c r="GL48" s="2119"/>
      <c r="GM48" s="2119"/>
      <c r="GN48" s="2119"/>
      <c r="GO48" s="2119"/>
      <c r="GP48" s="2119"/>
      <c r="GQ48" s="2119"/>
      <c r="GS48" s="2120"/>
      <c r="GT48" s="2119"/>
      <c r="GU48" s="2119"/>
      <c r="GV48" s="2119"/>
      <c r="GW48" s="2119"/>
      <c r="GX48" s="2119"/>
      <c r="GY48" s="2119"/>
      <c r="GZ48" s="2119"/>
      <c r="HA48" s="2119"/>
      <c r="HB48" s="2119"/>
      <c r="HC48" s="2119"/>
      <c r="HD48" s="2119"/>
      <c r="HE48" s="2119"/>
      <c r="HH48" s="2112"/>
      <c r="HI48" s="2112"/>
      <c r="HJ48" s="2112"/>
      <c r="HK48" s="2112"/>
      <c r="HL48" s="2112"/>
      <c r="HM48" s="2112"/>
      <c r="HN48" s="2112"/>
      <c r="HO48" s="2112"/>
      <c r="HP48" s="2112"/>
      <c r="HQ48" s="2112"/>
      <c r="HR48" s="2112"/>
      <c r="HS48" s="2112"/>
    </row>
    <row r="49" s="2111" customFormat="true" ht="10.5" hidden="false" customHeight="true" outlineLevel="0" collapsed="false">
      <c r="A49" s="2121"/>
      <c r="C49" s="2112"/>
      <c r="D49" s="2112"/>
      <c r="E49" s="2112"/>
      <c r="F49" s="2112"/>
      <c r="G49" s="2112"/>
      <c r="H49" s="2112"/>
      <c r="I49" s="2112"/>
      <c r="J49" s="2112"/>
      <c r="K49" s="2112"/>
      <c r="L49" s="2112"/>
      <c r="M49" s="2112"/>
      <c r="N49" s="2112"/>
      <c r="Q49" s="2112"/>
      <c r="R49" s="2112"/>
      <c r="S49" s="2112"/>
      <c r="T49" s="2112"/>
      <c r="U49" s="2112"/>
      <c r="V49" s="2112"/>
      <c r="W49" s="2112"/>
      <c r="X49" s="2112"/>
      <c r="Y49" s="2112"/>
      <c r="Z49" s="2112"/>
      <c r="AA49" s="2112"/>
      <c r="AB49" s="2112"/>
      <c r="AE49" s="2112"/>
      <c r="AF49" s="2112"/>
      <c r="AG49" s="2112"/>
      <c r="AH49" s="2112"/>
      <c r="AI49" s="2112"/>
      <c r="AJ49" s="2112"/>
      <c r="AK49" s="2112"/>
      <c r="AL49" s="2112"/>
      <c r="AM49" s="2112"/>
      <c r="AN49" s="2112"/>
      <c r="AO49" s="2112"/>
      <c r="AP49" s="2112"/>
      <c r="AS49" s="2112"/>
      <c r="AT49" s="2112"/>
      <c r="AU49" s="2112"/>
      <c r="AV49" s="2112"/>
      <c r="AW49" s="2112"/>
      <c r="AX49" s="2112"/>
      <c r="AY49" s="2112"/>
      <c r="AZ49" s="2112"/>
      <c r="BA49" s="2112"/>
      <c r="BB49" s="2112"/>
      <c r="BC49" s="2112"/>
      <c r="BD49" s="2112"/>
      <c r="BF49" s="1885"/>
      <c r="BG49" s="2108" t="str">
        <f aca="false">Revenue!A136</f>
        <v>CS-48</v>
      </c>
      <c r="BH49" s="2109" t="n">
        <f aca="false">Revenue!N136</f>
        <v>17063.0156249999</v>
      </c>
      <c r="BI49" s="2109" t="n">
        <f aca="false">Revenue!O136</f>
        <v>18958.90625</v>
      </c>
      <c r="BJ49" s="2109" t="n">
        <f aca="false">Revenue!P136</f>
        <v>20854.796875</v>
      </c>
      <c r="BK49" s="2109" t="n">
        <f aca="false">Revenue!Q136</f>
        <v>22750.6875000001</v>
      </c>
      <c r="BL49" s="2109" t="n">
        <f aca="false">Revenue!R136</f>
        <v>24646.578125</v>
      </c>
      <c r="BM49" s="2109" t="n">
        <f aca="false">Revenue!S136</f>
        <v>26542.46875</v>
      </c>
      <c r="BN49" s="2109" t="n">
        <f aca="false">Revenue!T136</f>
        <v>28438.359375</v>
      </c>
      <c r="BO49" s="2109" t="n">
        <f aca="false">Revenue!U136</f>
        <v>30334.25</v>
      </c>
      <c r="BP49" s="2109" t="n">
        <f aca="false">Revenue!V136</f>
        <v>32230.1406250001</v>
      </c>
      <c r="BQ49" s="2109" t="n">
        <f aca="false">Revenue!W136</f>
        <v>34126.03125</v>
      </c>
      <c r="BR49" s="2109" t="n">
        <f aca="false">Revenue!X136</f>
        <v>36021.921875</v>
      </c>
      <c r="BS49" s="2108" t="n">
        <f aca="false">Revenue!Y136</f>
        <v>37917.8125000001</v>
      </c>
      <c r="BT49" s="1888"/>
      <c r="BU49" s="1952" t="str">
        <f aca="false">BG49</f>
        <v>CS-48</v>
      </c>
      <c r="BV49" s="1952" t="n">
        <f aca="false">Revenue!Z104</f>
        <v>241812.5</v>
      </c>
      <c r="BW49" s="1952" t="n">
        <f aca="false">Revenue!AA104</f>
        <v>241812.5</v>
      </c>
      <c r="BX49" s="1953" t="n">
        <f aca="false">Revenue!AB104</f>
        <v>241812.5</v>
      </c>
      <c r="BY49" s="1952" t="n">
        <f aca="false">Revenue!AC104</f>
        <v>241812.5</v>
      </c>
      <c r="BZ49" s="1952" t="n">
        <f aca="false">Revenue!AD104</f>
        <v>241812.5</v>
      </c>
      <c r="CA49" s="1952" t="n">
        <f aca="false">Revenue!AE104</f>
        <v>241812.5</v>
      </c>
      <c r="CB49" s="1952" t="n">
        <f aca="false">Revenue!AF104</f>
        <v>241812.5</v>
      </c>
      <c r="CC49" s="1952" t="n">
        <f aca="false">Revenue!AG104</f>
        <v>241812.5</v>
      </c>
      <c r="CD49" s="1952" t="n">
        <f aca="false">Revenue!AH104</f>
        <v>241812.5</v>
      </c>
      <c r="CE49" s="1952" t="n">
        <f aca="false">Revenue!AI104</f>
        <v>241812.5</v>
      </c>
      <c r="CF49" s="1952" t="n">
        <f aca="false">Revenue!AJ104</f>
        <v>241812.5</v>
      </c>
      <c r="CG49" s="1952" t="n">
        <f aca="false">Revenue!AK104</f>
        <v>241812.5</v>
      </c>
      <c r="CH49" s="1891"/>
      <c r="CI49" s="1954" t="str">
        <f aca="false">BU49</f>
        <v>CS-48</v>
      </c>
      <c r="CJ49" s="1955" t="n">
        <f aca="false">Revenue!AL104</f>
        <v>261963.541666667</v>
      </c>
      <c r="CK49" s="1955" t="n">
        <f aca="false">Revenue!AM104</f>
        <v>261963.541666667</v>
      </c>
      <c r="CL49" s="1955" t="n">
        <f aca="false">Revenue!AN104</f>
        <v>261963.541666667</v>
      </c>
      <c r="CM49" s="1955" t="n">
        <f aca="false">Revenue!AO104</f>
        <v>261963.541666667</v>
      </c>
      <c r="CN49" s="1955" t="n">
        <f aca="false">Revenue!AP104</f>
        <v>261963.541666667</v>
      </c>
      <c r="CO49" s="1955" t="n">
        <f aca="false">Revenue!AQ104</f>
        <v>261963.541666667</v>
      </c>
      <c r="CP49" s="1955" t="n">
        <f aca="false">Revenue!AR104</f>
        <v>261963.541666667</v>
      </c>
      <c r="CQ49" s="1955" t="n">
        <f aca="false">Revenue!AS104</f>
        <v>261963.541666667</v>
      </c>
      <c r="CR49" s="1955" t="n">
        <f aca="false">Revenue!AT104</f>
        <v>261963.541666667</v>
      </c>
      <c r="CS49" s="1955" t="n">
        <f aca="false">Revenue!AU104</f>
        <v>261963.541666667</v>
      </c>
      <c r="CT49" s="1955" t="n">
        <f aca="false">Revenue!AV104</f>
        <v>261963.541666667</v>
      </c>
      <c r="CU49" s="1955" t="n">
        <f aca="false">Revenue!AW104</f>
        <v>261963.541666667</v>
      </c>
      <c r="CV49" s="1888"/>
      <c r="CW49" s="1956" t="str">
        <f aca="false">CI49</f>
        <v>CS-48</v>
      </c>
      <c r="CX49" s="1957" t="n">
        <f aca="false">Revenue!AX104</f>
        <v>282114.583333333</v>
      </c>
      <c r="CY49" s="1957" t="n">
        <f aca="false">Revenue!AY104</f>
        <v>282114.583333333</v>
      </c>
      <c r="CZ49" s="1957" t="n">
        <f aca="false">Revenue!AZ104</f>
        <v>282114.583333333</v>
      </c>
      <c r="DA49" s="1957" t="n">
        <f aca="false">Revenue!BA104</f>
        <v>282114.583333333</v>
      </c>
      <c r="DB49" s="1957" t="n">
        <f aca="false">Revenue!BB104</f>
        <v>282114.583333333</v>
      </c>
      <c r="DC49" s="1957" t="n">
        <f aca="false">Revenue!BC104</f>
        <v>282114.583333333</v>
      </c>
      <c r="DD49" s="1957" t="n">
        <f aca="false">Revenue!BD104</f>
        <v>282114.583333333</v>
      </c>
      <c r="DE49" s="1957" t="n">
        <f aca="false">Revenue!BE104</f>
        <v>282114.583333333</v>
      </c>
      <c r="DF49" s="1957" t="n">
        <f aca="false">Revenue!BF104</f>
        <v>282114.583333333</v>
      </c>
      <c r="DG49" s="1957" t="n">
        <f aca="false">Revenue!BG104</f>
        <v>282114.583333333</v>
      </c>
      <c r="DH49" s="1957" t="n">
        <f aca="false">Revenue!BH104</f>
        <v>282114.583333333</v>
      </c>
      <c r="DI49" s="1957" t="n">
        <f aca="false">Revenue!BI104</f>
        <v>282114.583333333</v>
      </c>
      <c r="DZ49" s="2112"/>
      <c r="EN49" s="2112"/>
      <c r="EO49" s="2112"/>
      <c r="EP49" s="2112"/>
      <c r="EQ49" s="2112"/>
      <c r="ER49" s="2112"/>
      <c r="ES49" s="2112"/>
      <c r="ET49" s="2112"/>
      <c r="EU49" s="2112"/>
      <c r="EV49" s="2112"/>
      <c r="EW49" s="2112"/>
      <c r="EX49" s="2112"/>
      <c r="EY49" s="2112"/>
      <c r="EZ49" s="2112"/>
      <c r="FB49" s="2112"/>
      <c r="FR49" s="2119"/>
      <c r="FS49" s="2119"/>
      <c r="FT49" s="2119"/>
      <c r="FU49" s="2119"/>
      <c r="FV49" s="2119"/>
      <c r="FW49" s="2119"/>
      <c r="FX49" s="2119"/>
      <c r="FY49" s="2119"/>
      <c r="FZ49" s="2119"/>
      <c r="GA49" s="2119"/>
      <c r="GB49" s="2119"/>
      <c r="GC49" s="2119"/>
      <c r="GF49" s="2119"/>
      <c r="GG49" s="2119"/>
      <c r="GH49" s="2119"/>
      <c r="GI49" s="2119"/>
      <c r="GJ49" s="2119"/>
      <c r="GK49" s="2119"/>
      <c r="GL49" s="2119"/>
      <c r="GM49" s="2119"/>
      <c r="GN49" s="2119"/>
      <c r="GO49" s="2119"/>
      <c r="GP49" s="2119"/>
      <c r="GQ49" s="2119"/>
      <c r="GS49" s="2120"/>
      <c r="GT49" s="2119"/>
      <c r="GU49" s="2119"/>
      <c r="GV49" s="2119"/>
      <c r="GW49" s="2119"/>
      <c r="GX49" s="2119"/>
      <c r="GY49" s="2119"/>
      <c r="GZ49" s="2119"/>
      <c r="HA49" s="2119"/>
      <c r="HB49" s="2119"/>
      <c r="HC49" s="2119"/>
      <c r="HD49" s="2119"/>
      <c r="HE49" s="2119"/>
      <c r="HH49" s="2112"/>
      <c r="HI49" s="2112"/>
      <c r="HJ49" s="2112"/>
      <c r="HK49" s="2112"/>
      <c r="HL49" s="2112"/>
      <c r="HM49" s="2112"/>
      <c r="HN49" s="2112"/>
      <c r="HO49" s="2112"/>
      <c r="HP49" s="2112"/>
      <c r="HQ49" s="2112"/>
      <c r="HR49" s="2112"/>
      <c r="HS49" s="2112"/>
    </row>
    <row r="50" s="2111" customFormat="true" ht="10.5" hidden="false" customHeight="true" outlineLevel="0" collapsed="false">
      <c r="A50" s="2121"/>
      <c r="C50" s="2112"/>
      <c r="D50" s="2112"/>
      <c r="E50" s="2112"/>
      <c r="F50" s="2112"/>
      <c r="G50" s="2112"/>
      <c r="H50" s="2112"/>
      <c r="I50" s="2112"/>
      <c r="J50" s="2112"/>
      <c r="K50" s="2112"/>
      <c r="L50" s="2112"/>
      <c r="M50" s="2112"/>
      <c r="N50" s="2112"/>
      <c r="Q50" s="2112"/>
      <c r="R50" s="2112"/>
      <c r="S50" s="2112"/>
      <c r="T50" s="2112"/>
      <c r="U50" s="2112"/>
      <c r="V50" s="2112"/>
      <c r="W50" s="2112"/>
      <c r="X50" s="2112"/>
      <c r="Y50" s="2112"/>
      <c r="Z50" s="2112"/>
      <c r="AA50" s="2112"/>
      <c r="AB50" s="2112"/>
      <c r="AE50" s="2112"/>
      <c r="AF50" s="2112"/>
      <c r="AG50" s="2112"/>
      <c r="AH50" s="2112"/>
      <c r="AI50" s="2112"/>
      <c r="AJ50" s="2112"/>
      <c r="AK50" s="2112"/>
      <c r="AL50" s="2112"/>
      <c r="AM50" s="2112"/>
      <c r="AN50" s="2112"/>
      <c r="AO50" s="2112"/>
      <c r="AP50" s="2112"/>
      <c r="AS50" s="2112"/>
      <c r="AT50" s="2112"/>
      <c r="AU50" s="2112"/>
      <c r="AV50" s="2112"/>
      <c r="AW50" s="2112"/>
      <c r="AX50" s="2112"/>
      <c r="AY50" s="2112"/>
      <c r="AZ50" s="2112"/>
      <c r="BA50" s="2112"/>
      <c r="BB50" s="2112"/>
      <c r="BC50" s="2112"/>
      <c r="BD50" s="2112"/>
      <c r="BF50" s="1885"/>
      <c r="BG50" s="2125"/>
      <c r="BH50" s="2126"/>
      <c r="BI50" s="2126"/>
      <c r="BJ50" s="2126"/>
      <c r="BK50" s="2126"/>
      <c r="BL50" s="2126"/>
      <c r="BM50" s="2126"/>
      <c r="BN50" s="2126"/>
      <c r="BO50" s="2126"/>
      <c r="BP50" s="2126"/>
      <c r="BQ50" s="2126"/>
      <c r="BR50" s="2126"/>
      <c r="BS50" s="2125"/>
      <c r="BT50" s="1888"/>
      <c r="BU50" s="2061"/>
      <c r="BV50" s="2061"/>
      <c r="BW50" s="2061"/>
      <c r="BX50" s="2063"/>
      <c r="BY50" s="2061"/>
      <c r="BZ50" s="2061"/>
      <c r="CA50" s="2061"/>
      <c r="CB50" s="2061"/>
      <c r="CC50" s="2061"/>
      <c r="CD50" s="2061"/>
      <c r="CE50" s="2061"/>
      <c r="CF50" s="2061"/>
      <c r="CG50" s="2061"/>
      <c r="CH50" s="1891"/>
      <c r="CI50" s="2127"/>
      <c r="CJ50" s="2128"/>
      <c r="CK50" s="2128"/>
      <c r="CL50" s="2128"/>
      <c r="CM50" s="2128"/>
      <c r="CN50" s="2128"/>
      <c r="CO50" s="2128"/>
      <c r="CP50" s="2128"/>
      <c r="CQ50" s="2128"/>
      <c r="CR50" s="2128"/>
      <c r="CS50" s="2128"/>
      <c r="CT50" s="2128"/>
      <c r="CU50" s="2128"/>
      <c r="CV50" s="1888"/>
      <c r="CW50" s="2062"/>
      <c r="CX50" s="2061"/>
      <c r="CY50" s="2061"/>
      <c r="CZ50" s="2061"/>
      <c r="DA50" s="2061"/>
      <c r="DB50" s="2061"/>
      <c r="DC50" s="2061"/>
      <c r="DD50" s="2061"/>
      <c r="DE50" s="2061"/>
      <c r="DF50" s="2061"/>
      <c r="DG50" s="2061"/>
      <c r="DH50" s="2061"/>
      <c r="DI50" s="2061"/>
      <c r="DZ50" s="2112"/>
      <c r="EN50" s="2112"/>
      <c r="EO50" s="2112"/>
      <c r="EP50" s="2112"/>
      <c r="EQ50" s="2112"/>
      <c r="ER50" s="2112"/>
      <c r="ES50" s="2112"/>
      <c r="ET50" s="2112"/>
      <c r="EU50" s="2112"/>
      <c r="EV50" s="2112"/>
      <c r="EW50" s="2112"/>
      <c r="EX50" s="2112"/>
      <c r="EY50" s="2112"/>
      <c r="EZ50" s="2112"/>
      <c r="FB50" s="2112"/>
      <c r="FR50" s="2119"/>
      <c r="FS50" s="2119"/>
      <c r="FT50" s="2119"/>
      <c r="FU50" s="2119"/>
      <c r="FV50" s="2119"/>
      <c r="FW50" s="2119"/>
      <c r="FX50" s="2119"/>
      <c r="FY50" s="2119"/>
      <c r="FZ50" s="2119"/>
      <c r="GA50" s="2119"/>
      <c r="GB50" s="2119"/>
      <c r="GC50" s="2119"/>
      <c r="GF50" s="2119"/>
      <c r="GG50" s="2119"/>
      <c r="GH50" s="2119"/>
      <c r="GI50" s="2119"/>
      <c r="GJ50" s="2119"/>
      <c r="GK50" s="2119"/>
      <c r="GL50" s="2119"/>
      <c r="GM50" s="2119"/>
      <c r="GN50" s="2119"/>
      <c r="GO50" s="2119"/>
      <c r="GP50" s="2119"/>
      <c r="GQ50" s="2119"/>
      <c r="GS50" s="2120"/>
      <c r="GT50" s="2119"/>
      <c r="GU50" s="2119"/>
      <c r="GV50" s="2119"/>
      <c r="GW50" s="2119"/>
      <c r="GX50" s="2119"/>
      <c r="GY50" s="2119"/>
      <c r="GZ50" s="2119"/>
      <c r="HA50" s="2119"/>
      <c r="HB50" s="2119"/>
      <c r="HC50" s="2119"/>
      <c r="HD50" s="2119"/>
      <c r="HE50" s="2119"/>
      <c r="HH50" s="2112"/>
      <c r="HI50" s="2112"/>
      <c r="HJ50" s="2112"/>
      <c r="HK50" s="2112"/>
      <c r="HL50" s="2112"/>
      <c r="HM50" s="2112"/>
      <c r="HN50" s="2112"/>
      <c r="HO50" s="2112"/>
      <c r="HP50" s="2112"/>
      <c r="HQ50" s="2112"/>
      <c r="HR50" s="2112"/>
      <c r="HS50" s="2112"/>
    </row>
    <row r="51" s="2111" customFormat="true" ht="10.5" hidden="false" customHeight="true" outlineLevel="0" collapsed="false">
      <c r="A51" s="2121"/>
      <c r="C51" s="2112"/>
      <c r="D51" s="2112"/>
      <c r="E51" s="2112"/>
      <c r="F51" s="2112"/>
      <c r="G51" s="2112"/>
      <c r="H51" s="2112"/>
      <c r="I51" s="2112"/>
      <c r="J51" s="2112"/>
      <c r="K51" s="2112"/>
      <c r="L51" s="2112"/>
      <c r="M51" s="2112"/>
      <c r="N51" s="2112"/>
      <c r="Q51" s="2112"/>
      <c r="R51" s="2112"/>
      <c r="S51" s="2112"/>
      <c r="T51" s="2112"/>
      <c r="U51" s="2112"/>
      <c r="V51" s="2112"/>
      <c r="W51" s="2112"/>
      <c r="X51" s="2112"/>
      <c r="Y51" s="2112"/>
      <c r="Z51" s="2112"/>
      <c r="AA51" s="2112"/>
      <c r="AB51" s="2112"/>
      <c r="AE51" s="2112"/>
      <c r="AF51" s="2112"/>
      <c r="AG51" s="2112"/>
      <c r="AH51" s="2112"/>
      <c r="AI51" s="2112"/>
      <c r="AJ51" s="2112"/>
      <c r="AK51" s="2112"/>
      <c r="AL51" s="2112"/>
      <c r="AM51" s="2112"/>
      <c r="AN51" s="2112"/>
      <c r="AO51" s="2112"/>
      <c r="AP51" s="2112"/>
      <c r="AS51" s="2112"/>
      <c r="AT51" s="2112"/>
      <c r="AU51" s="2112"/>
      <c r="AV51" s="2112"/>
      <c r="AW51" s="2112"/>
      <c r="AX51" s="2112"/>
      <c r="AY51" s="2112"/>
      <c r="AZ51" s="2112"/>
      <c r="BA51" s="2112"/>
      <c r="BB51" s="2112"/>
      <c r="BC51" s="2112"/>
      <c r="BD51" s="2112"/>
      <c r="BF51" s="1885"/>
      <c r="BG51" s="2108" t="str">
        <f aca="false">Revenue!A138</f>
        <v>SS-1</v>
      </c>
      <c r="BH51" s="2109" t="n">
        <f aca="false">Revenue!N138</f>
        <v>24500.88</v>
      </c>
      <c r="BI51" s="2109" t="n">
        <f aca="false">Revenue!O138</f>
        <v>27223.2</v>
      </c>
      <c r="BJ51" s="2109" t="n">
        <f aca="false">Revenue!P138</f>
        <v>29945.52</v>
      </c>
      <c r="BK51" s="2109" t="n">
        <f aca="false">Revenue!Q138</f>
        <v>32667.84</v>
      </c>
      <c r="BL51" s="2109" t="n">
        <f aca="false">Revenue!R138</f>
        <v>35390.16</v>
      </c>
      <c r="BM51" s="2109" t="n">
        <f aca="false">Revenue!S138</f>
        <v>38112.48</v>
      </c>
      <c r="BN51" s="2109" t="n">
        <f aca="false">Revenue!T138</f>
        <v>40834.7999999999</v>
      </c>
      <c r="BO51" s="2109" t="n">
        <f aca="false">Revenue!U138</f>
        <v>43557.1200000002</v>
      </c>
      <c r="BP51" s="2109" t="n">
        <f aca="false">Revenue!V138</f>
        <v>46279.4400000001</v>
      </c>
      <c r="BQ51" s="2109" t="n">
        <f aca="false">Revenue!W138</f>
        <v>49001.7599999999</v>
      </c>
      <c r="BR51" s="2109" t="n">
        <f aca="false">Revenue!X138</f>
        <v>51724.0799999998</v>
      </c>
      <c r="BS51" s="2108" t="n">
        <f aca="false">Revenue!Y138</f>
        <v>54446.4000000001</v>
      </c>
      <c r="BT51" s="1888"/>
      <c r="BU51" s="1952" t="str">
        <f aca="false">BG51</f>
        <v>SS-1</v>
      </c>
      <c r="BV51" s="1952" t="n">
        <f aca="false">Revenue!Z106</f>
        <v>110266.5</v>
      </c>
      <c r="BW51" s="1952" t="n">
        <f aca="false">Revenue!AA106</f>
        <v>110266.5</v>
      </c>
      <c r="BX51" s="1953" t="n">
        <f aca="false">Revenue!AB106</f>
        <v>110266.5</v>
      </c>
      <c r="BY51" s="1952" t="n">
        <f aca="false">Revenue!AC106</f>
        <v>110266.5</v>
      </c>
      <c r="BZ51" s="1952" t="n">
        <f aca="false">Revenue!AD106</f>
        <v>110266.5</v>
      </c>
      <c r="CA51" s="1952" t="n">
        <f aca="false">Revenue!AE106</f>
        <v>110266.5</v>
      </c>
      <c r="CB51" s="1952" t="n">
        <f aca="false">Revenue!AF106</f>
        <v>110266.5</v>
      </c>
      <c r="CC51" s="1952" t="n">
        <f aca="false">Revenue!AG106</f>
        <v>110266.5</v>
      </c>
      <c r="CD51" s="1952" t="n">
        <f aca="false">Revenue!AH106</f>
        <v>110266.5</v>
      </c>
      <c r="CE51" s="1952" t="n">
        <f aca="false">Revenue!AI106</f>
        <v>110266.5</v>
      </c>
      <c r="CF51" s="1952" t="n">
        <f aca="false">Revenue!AJ106</f>
        <v>110266.5</v>
      </c>
      <c r="CG51" s="1952" t="n">
        <f aca="false">Revenue!AK106</f>
        <v>110266.5</v>
      </c>
      <c r="CH51" s="1891"/>
      <c r="CI51" s="1954" t="str">
        <f aca="false">BU51</f>
        <v>SS-1</v>
      </c>
      <c r="CJ51" s="1955" t="n">
        <f aca="false">Revenue!AL106</f>
        <v>119455.375</v>
      </c>
      <c r="CK51" s="1955" t="n">
        <f aca="false">Revenue!AM106</f>
        <v>119455.375</v>
      </c>
      <c r="CL51" s="1955" t="n">
        <f aca="false">Revenue!AN106</f>
        <v>119455.375</v>
      </c>
      <c r="CM51" s="1955" t="n">
        <f aca="false">Revenue!AO106</f>
        <v>119455.375</v>
      </c>
      <c r="CN51" s="1955" t="n">
        <f aca="false">Revenue!AP106</f>
        <v>119455.375</v>
      </c>
      <c r="CO51" s="1955" t="n">
        <f aca="false">Revenue!AQ106</f>
        <v>119455.375</v>
      </c>
      <c r="CP51" s="1955" t="n">
        <f aca="false">Revenue!AR106</f>
        <v>119455.375</v>
      </c>
      <c r="CQ51" s="1955" t="n">
        <f aca="false">Revenue!AS106</f>
        <v>119455.375</v>
      </c>
      <c r="CR51" s="1955" t="n">
        <f aca="false">Revenue!AT106</f>
        <v>119455.375</v>
      </c>
      <c r="CS51" s="1955" t="n">
        <f aca="false">Revenue!AU106</f>
        <v>119455.375</v>
      </c>
      <c r="CT51" s="1955" t="n">
        <f aca="false">Revenue!AV106</f>
        <v>119455.375</v>
      </c>
      <c r="CU51" s="1955" t="n">
        <f aca="false">Revenue!AW106</f>
        <v>119455.375</v>
      </c>
      <c r="CV51" s="1888"/>
      <c r="CW51" s="1956" t="str">
        <f aca="false">CI51</f>
        <v>SS-1</v>
      </c>
      <c r="CX51" s="1957" t="n">
        <f aca="false">Revenue!AX106</f>
        <v>128644.25</v>
      </c>
      <c r="CY51" s="1957" t="n">
        <f aca="false">Revenue!AY106</f>
        <v>128644.25</v>
      </c>
      <c r="CZ51" s="1957" t="n">
        <f aca="false">Revenue!AZ106</f>
        <v>128644.25</v>
      </c>
      <c r="DA51" s="1957" t="n">
        <f aca="false">Revenue!BA106</f>
        <v>128644.25</v>
      </c>
      <c r="DB51" s="1957" t="n">
        <f aca="false">Revenue!BB106</f>
        <v>128644.25</v>
      </c>
      <c r="DC51" s="1957" t="n">
        <f aca="false">Revenue!BC106</f>
        <v>128644.25</v>
      </c>
      <c r="DD51" s="1957" t="n">
        <f aca="false">Revenue!BD106</f>
        <v>128644.25</v>
      </c>
      <c r="DE51" s="1957" t="n">
        <f aca="false">Revenue!BE106</f>
        <v>128644.25</v>
      </c>
      <c r="DF51" s="1957" t="n">
        <f aca="false">Revenue!BF106</f>
        <v>128644.25</v>
      </c>
      <c r="DG51" s="1957" t="n">
        <f aca="false">Revenue!BG106</f>
        <v>128644.25</v>
      </c>
      <c r="DH51" s="1957" t="n">
        <f aca="false">Revenue!BH106</f>
        <v>128644.25</v>
      </c>
      <c r="DI51" s="1957" t="n">
        <f aca="false">Revenue!BI106</f>
        <v>128644.25</v>
      </c>
      <c r="DZ51" s="2112"/>
      <c r="EN51" s="2112"/>
      <c r="EO51" s="2112"/>
      <c r="EP51" s="2112"/>
      <c r="EQ51" s="2112"/>
      <c r="ER51" s="2112"/>
      <c r="ES51" s="2112"/>
      <c r="ET51" s="2112"/>
      <c r="EU51" s="2112"/>
      <c r="EV51" s="2112"/>
      <c r="EW51" s="2112"/>
      <c r="EX51" s="2112"/>
      <c r="EY51" s="2112"/>
      <c r="EZ51" s="2112"/>
      <c r="FB51" s="2112"/>
      <c r="FR51" s="2119"/>
      <c r="FS51" s="2119"/>
      <c r="FT51" s="2119"/>
      <c r="FU51" s="2119"/>
      <c r="FV51" s="2119"/>
      <c r="FW51" s="2119"/>
      <c r="FX51" s="2119"/>
      <c r="FY51" s="2119"/>
      <c r="FZ51" s="2119"/>
      <c r="GA51" s="2119"/>
      <c r="GB51" s="2119"/>
      <c r="GC51" s="2119"/>
      <c r="GF51" s="2119"/>
      <c r="GG51" s="2119"/>
      <c r="GH51" s="2119"/>
      <c r="GI51" s="2119"/>
      <c r="GJ51" s="2119"/>
      <c r="GK51" s="2119"/>
      <c r="GL51" s="2119"/>
      <c r="GM51" s="2119"/>
      <c r="GN51" s="2119"/>
      <c r="GO51" s="2119"/>
      <c r="GP51" s="2119"/>
      <c r="GQ51" s="2119"/>
      <c r="GS51" s="2120"/>
      <c r="GT51" s="2119"/>
      <c r="GU51" s="2119"/>
      <c r="GV51" s="2119"/>
      <c r="GW51" s="2119"/>
      <c r="GX51" s="2119"/>
      <c r="GY51" s="2119"/>
      <c r="GZ51" s="2119"/>
      <c r="HA51" s="2119"/>
      <c r="HB51" s="2119"/>
      <c r="HC51" s="2119"/>
      <c r="HD51" s="2119"/>
      <c r="HE51" s="2119"/>
      <c r="HH51" s="2112"/>
      <c r="HI51" s="2112"/>
      <c r="HJ51" s="2112"/>
      <c r="HK51" s="2112"/>
      <c r="HL51" s="2112"/>
      <c r="HM51" s="2112"/>
      <c r="HN51" s="2112"/>
      <c r="HO51" s="2112"/>
      <c r="HP51" s="2112"/>
      <c r="HQ51" s="2112"/>
      <c r="HR51" s="2112"/>
      <c r="HS51" s="2112"/>
    </row>
    <row r="52" s="2111" customFormat="true" ht="10.5" hidden="false" customHeight="true" outlineLevel="0" collapsed="false">
      <c r="A52" s="2121"/>
      <c r="C52" s="2112"/>
      <c r="D52" s="2112"/>
      <c r="E52" s="2112"/>
      <c r="F52" s="2112"/>
      <c r="G52" s="2112"/>
      <c r="H52" s="2112"/>
      <c r="I52" s="2112"/>
      <c r="J52" s="2112"/>
      <c r="K52" s="2112"/>
      <c r="L52" s="2112"/>
      <c r="M52" s="2112"/>
      <c r="N52" s="2112"/>
      <c r="Q52" s="2112"/>
      <c r="R52" s="2112"/>
      <c r="S52" s="2112"/>
      <c r="T52" s="2112"/>
      <c r="U52" s="2112"/>
      <c r="V52" s="2112"/>
      <c r="W52" s="2112"/>
      <c r="X52" s="2112"/>
      <c r="Y52" s="2112"/>
      <c r="Z52" s="2112"/>
      <c r="AA52" s="2112"/>
      <c r="AB52" s="2112"/>
      <c r="AE52" s="2112"/>
      <c r="AF52" s="2112"/>
      <c r="AG52" s="2112"/>
      <c r="AH52" s="2112"/>
      <c r="AI52" s="2112"/>
      <c r="AJ52" s="2112"/>
      <c r="AK52" s="2112"/>
      <c r="AL52" s="2112"/>
      <c r="AM52" s="2112"/>
      <c r="AN52" s="2112"/>
      <c r="AO52" s="2112"/>
      <c r="AP52" s="2112"/>
      <c r="AS52" s="2112"/>
      <c r="AT52" s="2112"/>
      <c r="AU52" s="2112"/>
      <c r="AV52" s="2112"/>
      <c r="AW52" s="2112"/>
      <c r="AX52" s="2112"/>
      <c r="AY52" s="2112"/>
      <c r="AZ52" s="2112"/>
      <c r="BA52" s="2112"/>
      <c r="BB52" s="2112"/>
      <c r="BC52" s="2112"/>
      <c r="BD52" s="2112"/>
      <c r="BF52" s="1885"/>
      <c r="BG52" s="2108" t="str">
        <f aca="false">Revenue!A139</f>
        <v>SS-1.5</v>
      </c>
      <c r="BH52" s="2109" t="n">
        <f aca="false">Revenue!N139</f>
        <v>34104.24</v>
      </c>
      <c r="BI52" s="2109" t="n">
        <f aca="false">Revenue!O139</f>
        <v>37893.6</v>
      </c>
      <c r="BJ52" s="2109" t="n">
        <f aca="false">Revenue!P139</f>
        <v>41682.96</v>
      </c>
      <c r="BK52" s="2109" t="n">
        <f aca="false">Revenue!Q139</f>
        <v>45472.3200000002</v>
      </c>
      <c r="BL52" s="2109" t="n">
        <f aca="false">Revenue!R139</f>
        <v>49261.6800000002</v>
      </c>
      <c r="BM52" s="2109" t="n">
        <f aca="false">Revenue!S139</f>
        <v>53051.0400000001</v>
      </c>
      <c r="BN52" s="2109" t="n">
        <f aca="false">Revenue!T139</f>
        <v>56840.4000000001</v>
      </c>
      <c r="BO52" s="2109" t="n">
        <f aca="false">Revenue!U139</f>
        <v>60629.7600000001</v>
      </c>
      <c r="BP52" s="2109" t="n">
        <f aca="false">Revenue!V139</f>
        <v>64419.1200000001</v>
      </c>
      <c r="BQ52" s="2109" t="n">
        <f aca="false">Revenue!W139</f>
        <v>68208.4800000001</v>
      </c>
      <c r="BR52" s="2109" t="n">
        <f aca="false">Revenue!X139</f>
        <v>71997.84</v>
      </c>
      <c r="BS52" s="2108" t="n">
        <f aca="false">Revenue!Y139</f>
        <v>75787.2</v>
      </c>
      <c r="BT52" s="1888"/>
      <c r="BU52" s="1952" t="str">
        <f aca="false">BG52</f>
        <v>SS-1.5</v>
      </c>
      <c r="BV52" s="1952" t="n">
        <f aca="false">Revenue!Z107</f>
        <v>147022</v>
      </c>
      <c r="BW52" s="1952" t="n">
        <f aca="false">Revenue!AA107</f>
        <v>147022</v>
      </c>
      <c r="BX52" s="1953" t="n">
        <f aca="false">Revenue!AB107</f>
        <v>147022</v>
      </c>
      <c r="BY52" s="1952" t="n">
        <f aca="false">Revenue!AC107</f>
        <v>147022</v>
      </c>
      <c r="BZ52" s="1952" t="n">
        <f aca="false">Revenue!AD107</f>
        <v>147022</v>
      </c>
      <c r="CA52" s="1952" t="n">
        <f aca="false">Revenue!AE107</f>
        <v>147022</v>
      </c>
      <c r="CB52" s="1952" t="n">
        <f aca="false">Revenue!AF107</f>
        <v>147022</v>
      </c>
      <c r="CC52" s="1952" t="n">
        <f aca="false">Revenue!AG107</f>
        <v>147022</v>
      </c>
      <c r="CD52" s="1952" t="n">
        <f aca="false">Revenue!AH107</f>
        <v>147022</v>
      </c>
      <c r="CE52" s="1952" t="n">
        <f aca="false">Revenue!AI107</f>
        <v>147022</v>
      </c>
      <c r="CF52" s="1952" t="n">
        <f aca="false">Revenue!AJ107</f>
        <v>147022</v>
      </c>
      <c r="CG52" s="1952" t="n">
        <f aca="false">Revenue!AK107</f>
        <v>147022</v>
      </c>
      <c r="CH52" s="1891"/>
      <c r="CI52" s="1954" t="str">
        <f aca="false">BU52</f>
        <v>SS-1.5</v>
      </c>
      <c r="CJ52" s="1955" t="n">
        <f aca="false">Revenue!AL107</f>
        <v>159273.833333334</v>
      </c>
      <c r="CK52" s="1955" t="n">
        <f aca="false">Revenue!AM107</f>
        <v>159273.833333334</v>
      </c>
      <c r="CL52" s="1955" t="n">
        <f aca="false">Revenue!AN107</f>
        <v>159273.833333334</v>
      </c>
      <c r="CM52" s="1955" t="n">
        <f aca="false">Revenue!AO107</f>
        <v>159273.833333334</v>
      </c>
      <c r="CN52" s="1955" t="n">
        <f aca="false">Revenue!AP107</f>
        <v>159273.833333334</v>
      </c>
      <c r="CO52" s="1955" t="n">
        <f aca="false">Revenue!AQ107</f>
        <v>159273.833333334</v>
      </c>
      <c r="CP52" s="1955" t="n">
        <f aca="false">Revenue!AR107</f>
        <v>159273.833333334</v>
      </c>
      <c r="CQ52" s="1955" t="n">
        <f aca="false">Revenue!AS107</f>
        <v>159273.833333334</v>
      </c>
      <c r="CR52" s="1955" t="n">
        <f aca="false">Revenue!AT107</f>
        <v>159273.833333334</v>
      </c>
      <c r="CS52" s="1955" t="n">
        <f aca="false">Revenue!AU107</f>
        <v>159273.833333334</v>
      </c>
      <c r="CT52" s="1955" t="n">
        <f aca="false">Revenue!AV107</f>
        <v>159273.833333334</v>
      </c>
      <c r="CU52" s="1955" t="n">
        <f aca="false">Revenue!AW107</f>
        <v>159273.833333334</v>
      </c>
      <c r="CV52" s="1888"/>
      <c r="CW52" s="1956" t="str">
        <f aca="false">CI52</f>
        <v>SS-1.5</v>
      </c>
      <c r="CX52" s="1957" t="n">
        <f aca="false">Revenue!AX107</f>
        <v>171525.666666667</v>
      </c>
      <c r="CY52" s="1957" t="n">
        <f aca="false">Revenue!AY107</f>
        <v>171525.666666667</v>
      </c>
      <c r="CZ52" s="1957" t="n">
        <f aca="false">Revenue!AZ107</f>
        <v>171525.666666667</v>
      </c>
      <c r="DA52" s="1957" t="n">
        <f aca="false">Revenue!BA107</f>
        <v>171525.666666667</v>
      </c>
      <c r="DB52" s="1957" t="n">
        <f aca="false">Revenue!BB107</f>
        <v>171525.666666667</v>
      </c>
      <c r="DC52" s="1957" t="n">
        <f aca="false">Revenue!BC107</f>
        <v>171525.666666667</v>
      </c>
      <c r="DD52" s="1957" t="n">
        <f aca="false">Revenue!BD107</f>
        <v>171525.666666667</v>
      </c>
      <c r="DE52" s="1957" t="n">
        <f aca="false">Revenue!BE107</f>
        <v>171525.666666667</v>
      </c>
      <c r="DF52" s="1957" t="n">
        <f aca="false">Revenue!BF107</f>
        <v>171525.666666667</v>
      </c>
      <c r="DG52" s="1957" t="n">
        <f aca="false">Revenue!BG107</f>
        <v>171525.666666667</v>
      </c>
      <c r="DH52" s="1957" t="n">
        <f aca="false">Revenue!BH107</f>
        <v>171525.666666667</v>
      </c>
      <c r="DI52" s="1957" t="n">
        <f aca="false">Revenue!BI107</f>
        <v>171525.666666667</v>
      </c>
      <c r="DZ52" s="2112"/>
      <c r="EN52" s="2112"/>
      <c r="EO52" s="2112"/>
      <c r="EP52" s="2112"/>
      <c r="EQ52" s="2112"/>
      <c r="ER52" s="2112"/>
      <c r="ES52" s="2112"/>
      <c r="ET52" s="2112"/>
      <c r="EU52" s="2112"/>
      <c r="EV52" s="2112"/>
      <c r="EW52" s="2112"/>
      <c r="EX52" s="2112"/>
      <c r="EY52" s="2112"/>
      <c r="EZ52" s="2112"/>
      <c r="FB52" s="2112"/>
      <c r="FR52" s="2119"/>
      <c r="FS52" s="2119"/>
      <c r="FT52" s="2119"/>
      <c r="FU52" s="2119"/>
      <c r="FV52" s="2119"/>
      <c r="FW52" s="2119"/>
      <c r="FX52" s="2119"/>
      <c r="FY52" s="2119"/>
      <c r="FZ52" s="2119"/>
      <c r="GA52" s="2119"/>
      <c r="GB52" s="2119"/>
      <c r="GC52" s="2119"/>
      <c r="GF52" s="2119"/>
      <c r="GG52" s="2119"/>
      <c r="GH52" s="2119"/>
      <c r="GI52" s="2119"/>
      <c r="GJ52" s="2119"/>
      <c r="GK52" s="2119"/>
      <c r="GL52" s="2119"/>
      <c r="GM52" s="2119"/>
      <c r="GN52" s="2119"/>
      <c r="GO52" s="2119"/>
      <c r="GP52" s="2119"/>
      <c r="GQ52" s="2119"/>
      <c r="GS52" s="2120"/>
      <c r="GT52" s="2119"/>
      <c r="GU52" s="2119"/>
      <c r="GV52" s="2119"/>
      <c r="GW52" s="2119"/>
      <c r="GX52" s="2119"/>
      <c r="GY52" s="2119"/>
      <c r="GZ52" s="2119"/>
      <c r="HA52" s="2119"/>
      <c r="HB52" s="2119"/>
      <c r="HC52" s="2119"/>
      <c r="HD52" s="2119"/>
      <c r="HE52" s="2119"/>
      <c r="HH52" s="2112"/>
      <c r="HI52" s="2112"/>
      <c r="HJ52" s="2112"/>
      <c r="HK52" s="2112"/>
      <c r="HL52" s="2112"/>
      <c r="HM52" s="2112"/>
      <c r="HN52" s="2112"/>
      <c r="HO52" s="2112"/>
      <c r="HP52" s="2112"/>
      <c r="HQ52" s="2112"/>
      <c r="HR52" s="2112"/>
      <c r="HS52" s="2112"/>
    </row>
    <row r="53" s="2111" customFormat="true" ht="10.5" hidden="false" customHeight="true" outlineLevel="0" collapsed="false">
      <c r="A53" s="2121"/>
      <c r="C53" s="2112"/>
      <c r="D53" s="2112"/>
      <c r="E53" s="2112"/>
      <c r="F53" s="2112"/>
      <c r="G53" s="2112"/>
      <c r="H53" s="2112"/>
      <c r="I53" s="2112"/>
      <c r="J53" s="2112"/>
      <c r="K53" s="2112"/>
      <c r="L53" s="2112"/>
      <c r="M53" s="2112"/>
      <c r="N53" s="2112"/>
      <c r="Q53" s="2112"/>
      <c r="R53" s="2112"/>
      <c r="S53" s="2112"/>
      <c r="T53" s="2112"/>
      <c r="U53" s="2112"/>
      <c r="V53" s="2112"/>
      <c r="W53" s="2112"/>
      <c r="X53" s="2112"/>
      <c r="Y53" s="2112"/>
      <c r="Z53" s="2112"/>
      <c r="AA53" s="2112"/>
      <c r="AB53" s="2112"/>
      <c r="AE53" s="2112"/>
      <c r="AF53" s="2112"/>
      <c r="AG53" s="2112"/>
      <c r="AH53" s="2112"/>
      <c r="AI53" s="2112"/>
      <c r="AJ53" s="2112"/>
      <c r="AK53" s="2112"/>
      <c r="AL53" s="2112"/>
      <c r="AM53" s="2112"/>
      <c r="AN53" s="2112"/>
      <c r="AO53" s="2112"/>
      <c r="AP53" s="2112"/>
      <c r="AS53" s="2112"/>
      <c r="AT53" s="2112"/>
      <c r="AU53" s="2112"/>
      <c r="AV53" s="2112"/>
      <c r="AW53" s="2112"/>
      <c r="AX53" s="2112"/>
      <c r="AY53" s="2112"/>
      <c r="AZ53" s="2112"/>
      <c r="BA53" s="2112"/>
      <c r="BB53" s="2112"/>
      <c r="BC53" s="2112"/>
      <c r="BD53" s="2112"/>
      <c r="BF53" s="1885"/>
      <c r="BG53" s="2108" t="str">
        <f aca="false">Revenue!A140</f>
        <v>SS-2</v>
      </c>
      <c r="BH53" s="2109" t="n">
        <f aca="false">Revenue!N140</f>
        <v>60939.27</v>
      </c>
      <c r="BI53" s="2109" t="n">
        <f aca="false">Revenue!O140</f>
        <v>67710.2999999999</v>
      </c>
      <c r="BJ53" s="2109" t="n">
        <f aca="false">Revenue!P140</f>
        <v>74481.3300000002</v>
      </c>
      <c r="BK53" s="2109" t="n">
        <f aca="false">Revenue!Q140</f>
        <v>81252.36</v>
      </c>
      <c r="BL53" s="2109" t="n">
        <f aca="false">Revenue!R140</f>
        <v>88023.3899999999</v>
      </c>
      <c r="BM53" s="2109" t="n">
        <f aca="false">Revenue!S140</f>
        <v>94794.4200000001</v>
      </c>
      <c r="BN53" s="2109" t="n">
        <f aca="false">Revenue!T140</f>
        <v>101565.45</v>
      </c>
      <c r="BO53" s="2109" t="n">
        <f aca="false">Revenue!U140</f>
        <v>108336.48</v>
      </c>
      <c r="BP53" s="2109" t="n">
        <f aca="false">Revenue!V140</f>
        <v>115107.51</v>
      </c>
      <c r="BQ53" s="2109" t="n">
        <f aca="false">Revenue!W140</f>
        <v>121878.54</v>
      </c>
      <c r="BR53" s="2109" t="n">
        <f aca="false">Revenue!X140</f>
        <v>128649.57</v>
      </c>
      <c r="BS53" s="2108" t="n">
        <f aca="false">Revenue!Y140</f>
        <v>135420.6</v>
      </c>
      <c r="BT53" s="1888"/>
      <c r="BU53" s="1952" t="str">
        <f aca="false">BG53</f>
        <v>SS-2</v>
      </c>
      <c r="BV53" s="1952" t="n">
        <f aca="false">Revenue!Z108</f>
        <v>257288.5</v>
      </c>
      <c r="BW53" s="1952" t="n">
        <f aca="false">Revenue!AA108</f>
        <v>257288.5</v>
      </c>
      <c r="BX53" s="1953" t="n">
        <f aca="false">Revenue!AB108</f>
        <v>257288.5</v>
      </c>
      <c r="BY53" s="1952" t="n">
        <f aca="false">Revenue!AC108</f>
        <v>257288.5</v>
      </c>
      <c r="BZ53" s="1952" t="n">
        <f aca="false">Revenue!AD108</f>
        <v>257288.5</v>
      </c>
      <c r="CA53" s="1952" t="n">
        <f aca="false">Revenue!AE108</f>
        <v>257288.5</v>
      </c>
      <c r="CB53" s="1952" t="n">
        <f aca="false">Revenue!AF108</f>
        <v>257288.5</v>
      </c>
      <c r="CC53" s="1952" t="n">
        <f aca="false">Revenue!AG108</f>
        <v>257288.5</v>
      </c>
      <c r="CD53" s="1952" t="n">
        <f aca="false">Revenue!AH108</f>
        <v>257288.5</v>
      </c>
      <c r="CE53" s="1952" t="n">
        <f aca="false">Revenue!AI108</f>
        <v>257288.5</v>
      </c>
      <c r="CF53" s="1952" t="n">
        <f aca="false">Revenue!AJ108</f>
        <v>257288.5</v>
      </c>
      <c r="CG53" s="1952" t="n">
        <f aca="false">Revenue!AK108</f>
        <v>257288.5</v>
      </c>
      <c r="CH53" s="1891"/>
      <c r="CI53" s="1954" t="str">
        <f aca="false">BU53</f>
        <v>SS-2</v>
      </c>
      <c r="CJ53" s="1955" t="n">
        <f aca="false">Revenue!AL108</f>
        <v>278729.208333334</v>
      </c>
      <c r="CK53" s="1955" t="n">
        <f aca="false">Revenue!AM108</f>
        <v>278729.208333334</v>
      </c>
      <c r="CL53" s="1955" t="n">
        <f aca="false">Revenue!AN108</f>
        <v>278729.208333334</v>
      </c>
      <c r="CM53" s="1955" t="n">
        <f aca="false">Revenue!AO108</f>
        <v>278729.208333334</v>
      </c>
      <c r="CN53" s="1955" t="n">
        <f aca="false">Revenue!AP108</f>
        <v>278729.208333334</v>
      </c>
      <c r="CO53" s="1955" t="n">
        <f aca="false">Revenue!AQ108</f>
        <v>278729.208333334</v>
      </c>
      <c r="CP53" s="1955" t="n">
        <f aca="false">Revenue!AR108</f>
        <v>278729.208333334</v>
      </c>
      <c r="CQ53" s="1955" t="n">
        <f aca="false">Revenue!AS108</f>
        <v>278729.208333334</v>
      </c>
      <c r="CR53" s="1955" t="n">
        <f aca="false">Revenue!AT108</f>
        <v>278729.208333334</v>
      </c>
      <c r="CS53" s="1955" t="n">
        <f aca="false">Revenue!AU108</f>
        <v>278729.208333334</v>
      </c>
      <c r="CT53" s="1955" t="n">
        <f aca="false">Revenue!AV108</f>
        <v>278729.208333334</v>
      </c>
      <c r="CU53" s="1955" t="n">
        <f aca="false">Revenue!AW108</f>
        <v>278729.208333334</v>
      </c>
      <c r="CV53" s="1888"/>
      <c r="CW53" s="1956" t="str">
        <f aca="false">CI53</f>
        <v>SS-2</v>
      </c>
      <c r="CX53" s="1957" t="n">
        <f aca="false">Revenue!AX108</f>
        <v>300169.916666667</v>
      </c>
      <c r="CY53" s="1957" t="n">
        <f aca="false">Revenue!AY108</f>
        <v>300169.916666667</v>
      </c>
      <c r="CZ53" s="1957" t="n">
        <f aca="false">Revenue!AZ108</f>
        <v>300169.916666667</v>
      </c>
      <c r="DA53" s="1957" t="n">
        <f aca="false">Revenue!BA108</f>
        <v>300169.916666667</v>
      </c>
      <c r="DB53" s="1957" t="n">
        <f aca="false">Revenue!BB108</f>
        <v>300169.916666667</v>
      </c>
      <c r="DC53" s="1957" t="n">
        <f aca="false">Revenue!BC108</f>
        <v>300169.916666667</v>
      </c>
      <c r="DD53" s="1957" t="n">
        <f aca="false">Revenue!BD108</f>
        <v>300169.916666667</v>
      </c>
      <c r="DE53" s="1957" t="n">
        <f aca="false">Revenue!BE108</f>
        <v>300169.916666667</v>
      </c>
      <c r="DF53" s="1957" t="n">
        <f aca="false">Revenue!BF108</f>
        <v>300169.916666667</v>
      </c>
      <c r="DG53" s="1957" t="n">
        <f aca="false">Revenue!BG108</f>
        <v>300169.916666667</v>
      </c>
      <c r="DH53" s="1957" t="n">
        <f aca="false">Revenue!BH108</f>
        <v>300169.916666667</v>
      </c>
      <c r="DI53" s="1957" t="n">
        <f aca="false">Revenue!BI108</f>
        <v>300169.916666667</v>
      </c>
      <c r="DZ53" s="2112"/>
      <c r="EN53" s="2112"/>
      <c r="EO53" s="2112"/>
      <c r="EP53" s="2112"/>
      <c r="EQ53" s="2112"/>
      <c r="ER53" s="2112"/>
      <c r="ES53" s="2112"/>
      <c r="ET53" s="2112"/>
      <c r="EU53" s="2112"/>
      <c r="EV53" s="2112"/>
      <c r="EW53" s="2112"/>
      <c r="EX53" s="2112"/>
      <c r="EY53" s="2112"/>
      <c r="EZ53" s="2112"/>
      <c r="FB53" s="2112"/>
      <c r="FR53" s="2119"/>
      <c r="FS53" s="2119"/>
      <c r="FT53" s="2119"/>
      <c r="FU53" s="2119"/>
      <c r="FV53" s="2119"/>
      <c r="FW53" s="2119"/>
      <c r="FX53" s="2119"/>
      <c r="FY53" s="2119"/>
      <c r="FZ53" s="2119"/>
      <c r="GA53" s="2119"/>
      <c r="GB53" s="2119"/>
      <c r="GC53" s="2119"/>
      <c r="GF53" s="2119"/>
      <c r="GG53" s="2119"/>
      <c r="GH53" s="2119"/>
      <c r="GI53" s="2119"/>
      <c r="GJ53" s="2119"/>
      <c r="GK53" s="2119"/>
      <c r="GL53" s="2119"/>
      <c r="GM53" s="2119"/>
      <c r="GN53" s="2119"/>
      <c r="GO53" s="2119"/>
      <c r="GP53" s="2119"/>
      <c r="GQ53" s="2119"/>
      <c r="GS53" s="2120"/>
      <c r="GT53" s="2119"/>
      <c r="GU53" s="2119"/>
      <c r="GV53" s="2119"/>
      <c r="GW53" s="2119"/>
      <c r="GX53" s="2119"/>
      <c r="GY53" s="2119"/>
      <c r="GZ53" s="2119"/>
      <c r="HA53" s="2119"/>
      <c r="HB53" s="2119"/>
      <c r="HC53" s="2119"/>
      <c r="HD53" s="2119"/>
      <c r="HE53" s="2119"/>
      <c r="HH53" s="2112"/>
      <c r="HI53" s="2112"/>
      <c r="HJ53" s="2112"/>
      <c r="HK53" s="2112"/>
      <c r="HL53" s="2112"/>
      <c r="HM53" s="2112"/>
      <c r="HN53" s="2112"/>
      <c r="HO53" s="2112"/>
      <c r="HP53" s="2112"/>
      <c r="HQ53" s="2112"/>
      <c r="HR53" s="2112"/>
      <c r="HS53" s="2112"/>
    </row>
    <row r="54" s="2111" customFormat="true" ht="10.5" hidden="false" customHeight="true" outlineLevel="0" collapsed="false">
      <c r="A54" s="2121"/>
      <c r="C54" s="2112"/>
      <c r="D54" s="2112"/>
      <c r="E54" s="2112"/>
      <c r="F54" s="2112"/>
      <c r="G54" s="2112"/>
      <c r="H54" s="2112"/>
      <c r="I54" s="2112"/>
      <c r="J54" s="2112"/>
      <c r="K54" s="2112"/>
      <c r="L54" s="2112"/>
      <c r="M54" s="2112"/>
      <c r="N54" s="2112"/>
      <c r="Q54" s="2112"/>
      <c r="R54" s="2112"/>
      <c r="S54" s="2112"/>
      <c r="T54" s="2112"/>
      <c r="U54" s="2112"/>
      <c r="V54" s="2112"/>
      <c r="W54" s="2112"/>
      <c r="X54" s="2112"/>
      <c r="Y54" s="2112"/>
      <c r="Z54" s="2112"/>
      <c r="AA54" s="2112"/>
      <c r="AB54" s="2112"/>
      <c r="AE54" s="2112"/>
      <c r="AF54" s="2112"/>
      <c r="AG54" s="2112"/>
      <c r="AH54" s="2112"/>
      <c r="AI54" s="2112"/>
      <c r="AJ54" s="2112"/>
      <c r="AK54" s="2112"/>
      <c r="AL54" s="2112"/>
      <c r="AM54" s="2112"/>
      <c r="AN54" s="2112"/>
      <c r="AO54" s="2112"/>
      <c r="AP54" s="2112"/>
      <c r="AS54" s="2112"/>
      <c r="AT54" s="2112"/>
      <c r="AU54" s="2112"/>
      <c r="AV54" s="2112"/>
      <c r="AW54" s="2112"/>
      <c r="AX54" s="2112"/>
      <c r="AY54" s="2112"/>
      <c r="AZ54" s="2112"/>
      <c r="BA54" s="2112"/>
      <c r="BB54" s="2112"/>
      <c r="BC54" s="2112"/>
      <c r="BD54" s="2112"/>
      <c r="BF54" s="1885"/>
      <c r="BG54" s="2108" t="str">
        <f aca="false">Revenue!A141</f>
        <v>SS-3</v>
      </c>
      <c r="BH54" s="2109" t="n">
        <f aca="false">Revenue!N141</f>
        <v>69793.6500000001</v>
      </c>
      <c r="BI54" s="2109" t="n">
        <f aca="false">Revenue!O141</f>
        <v>77548.5000000002</v>
      </c>
      <c r="BJ54" s="2109" t="n">
        <f aca="false">Revenue!P141</f>
        <v>85303.3500000002</v>
      </c>
      <c r="BK54" s="2109" t="n">
        <f aca="false">Revenue!Q141</f>
        <v>93058.1999999999</v>
      </c>
      <c r="BL54" s="2109" t="n">
        <f aca="false">Revenue!R141</f>
        <v>100813.05</v>
      </c>
      <c r="BM54" s="2109" t="n">
        <f aca="false">Revenue!S141</f>
        <v>108567.9</v>
      </c>
      <c r="BN54" s="2109" t="n">
        <f aca="false">Revenue!T141</f>
        <v>116322.75</v>
      </c>
      <c r="BO54" s="2109" t="n">
        <f aca="false">Revenue!U141</f>
        <v>124077.6</v>
      </c>
      <c r="BP54" s="2109" t="n">
        <f aca="false">Revenue!V141</f>
        <v>131832.45</v>
      </c>
      <c r="BQ54" s="2109" t="n">
        <f aca="false">Revenue!W141</f>
        <v>139587.3</v>
      </c>
      <c r="BR54" s="2109" t="n">
        <f aca="false">Revenue!X141</f>
        <v>147342.15</v>
      </c>
      <c r="BS54" s="2108" t="n">
        <f aca="false">Revenue!Y141</f>
        <v>155097</v>
      </c>
      <c r="BT54" s="1888"/>
      <c r="BU54" s="1952" t="str">
        <f aca="false">BG54</f>
        <v>SS-3</v>
      </c>
      <c r="BV54" s="1952" t="n">
        <f aca="false">Revenue!Z109</f>
        <v>330799.5</v>
      </c>
      <c r="BW54" s="1952" t="n">
        <f aca="false">Revenue!AA109</f>
        <v>330799.5</v>
      </c>
      <c r="BX54" s="1953" t="n">
        <f aca="false">Revenue!AB109</f>
        <v>330799.5</v>
      </c>
      <c r="BY54" s="1952" t="n">
        <f aca="false">Revenue!AC109</f>
        <v>330799.5</v>
      </c>
      <c r="BZ54" s="1952" t="n">
        <f aca="false">Revenue!AD109</f>
        <v>330799.5</v>
      </c>
      <c r="CA54" s="1952" t="n">
        <f aca="false">Revenue!AE109</f>
        <v>330799.5</v>
      </c>
      <c r="CB54" s="1952" t="n">
        <f aca="false">Revenue!AF109</f>
        <v>330799.5</v>
      </c>
      <c r="CC54" s="1952" t="n">
        <f aca="false">Revenue!AG109</f>
        <v>330799.5</v>
      </c>
      <c r="CD54" s="1952" t="n">
        <f aca="false">Revenue!AH109</f>
        <v>330799.5</v>
      </c>
      <c r="CE54" s="1952" t="n">
        <f aca="false">Revenue!AI109</f>
        <v>330799.5</v>
      </c>
      <c r="CF54" s="1952" t="n">
        <f aca="false">Revenue!AJ109</f>
        <v>330799.5</v>
      </c>
      <c r="CG54" s="1952" t="n">
        <f aca="false">Revenue!AK109</f>
        <v>330799.5</v>
      </c>
      <c r="CH54" s="1891"/>
      <c r="CI54" s="1954" t="str">
        <f aca="false">BU54</f>
        <v>SS-3</v>
      </c>
      <c r="CJ54" s="1955" t="n">
        <f aca="false">Revenue!AL109</f>
        <v>358366.125</v>
      </c>
      <c r="CK54" s="1955" t="n">
        <f aca="false">Revenue!AM109</f>
        <v>358366.125</v>
      </c>
      <c r="CL54" s="1955" t="n">
        <f aca="false">Revenue!AN109</f>
        <v>358366.125</v>
      </c>
      <c r="CM54" s="1955" t="n">
        <f aca="false">Revenue!AO109</f>
        <v>358366.125</v>
      </c>
      <c r="CN54" s="1955" t="n">
        <f aca="false">Revenue!AP109</f>
        <v>358366.125</v>
      </c>
      <c r="CO54" s="1955" t="n">
        <f aca="false">Revenue!AQ109</f>
        <v>358366.125</v>
      </c>
      <c r="CP54" s="1955" t="n">
        <f aca="false">Revenue!AR109</f>
        <v>358366.125</v>
      </c>
      <c r="CQ54" s="1955" t="n">
        <f aca="false">Revenue!AS109</f>
        <v>358366.125</v>
      </c>
      <c r="CR54" s="1955" t="n">
        <f aca="false">Revenue!AT109</f>
        <v>358366.125</v>
      </c>
      <c r="CS54" s="1955" t="n">
        <f aca="false">Revenue!AU109</f>
        <v>358366.125</v>
      </c>
      <c r="CT54" s="1955" t="n">
        <f aca="false">Revenue!AV109</f>
        <v>358366.125</v>
      </c>
      <c r="CU54" s="1955" t="n">
        <f aca="false">Revenue!AW109</f>
        <v>358366.125</v>
      </c>
      <c r="CV54" s="1888"/>
      <c r="CW54" s="1956" t="str">
        <f aca="false">CI54</f>
        <v>SS-3</v>
      </c>
      <c r="CX54" s="1957" t="n">
        <f aca="false">Revenue!AX109</f>
        <v>385932.75</v>
      </c>
      <c r="CY54" s="1957" t="n">
        <f aca="false">Revenue!AY109</f>
        <v>385932.75</v>
      </c>
      <c r="CZ54" s="1957" t="n">
        <f aca="false">Revenue!AZ109</f>
        <v>385932.75</v>
      </c>
      <c r="DA54" s="1957" t="n">
        <f aca="false">Revenue!BA109</f>
        <v>385932.75</v>
      </c>
      <c r="DB54" s="1957" t="n">
        <f aca="false">Revenue!BB109</f>
        <v>385932.75</v>
      </c>
      <c r="DC54" s="1957" t="n">
        <f aca="false">Revenue!BC109</f>
        <v>385932.75</v>
      </c>
      <c r="DD54" s="1957" t="n">
        <f aca="false">Revenue!BD109</f>
        <v>385932.75</v>
      </c>
      <c r="DE54" s="1957" t="n">
        <f aca="false">Revenue!BE109</f>
        <v>385932.75</v>
      </c>
      <c r="DF54" s="1957" t="n">
        <f aca="false">Revenue!BF109</f>
        <v>385932.75</v>
      </c>
      <c r="DG54" s="1957" t="n">
        <f aca="false">Revenue!BG109</f>
        <v>385932.75</v>
      </c>
      <c r="DH54" s="1957" t="n">
        <f aca="false">Revenue!BH109</f>
        <v>385932.75</v>
      </c>
      <c r="DI54" s="1957" t="n">
        <f aca="false">Revenue!BI109</f>
        <v>385932.75</v>
      </c>
      <c r="DZ54" s="2112"/>
      <c r="EN54" s="2112"/>
      <c r="EO54" s="2112"/>
      <c r="EP54" s="2112"/>
      <c r="EQ54" s="2112"/>
      <c r="ER54" s="2112"/>
      <c r="ES54" s="2112"/>
      <c r="ET54" s="2112"/>
      <c r="EU54" s="2112"/>
      <c r="EV54" s="2112"/>
      <c r="EW54" s="2112"/>
      <c r="EX54" s="2112"/>
      <c r="EY54" s="2112"/>
      <c r="EZ54" s="2112"/>
      <c r="FB54" s="2112"/>
      <c r="FR54" s="2119"/>
      <c r="FS54" s="2119"/>
      <c r="FT54" s="2119"/>
      <c r="FU54" s="2119"/>
      <c r="FV54" s="2119"/>
      <c r="FW54" s="2119"/>
      <c r="FX54" s="2119"/>
      <c r="FY54" s="2119"/>
      <c r="FZ54" s="2119"/>
      <c r="GA54" s="2119"/>
      <c r="GB54" s="2119"/>
      <c r="GC54" s="2119"/>
      <c r="GF54" s="2119"/>
      <c r="GG54" s="2119"/>
      <c r="GH54" s="2119"/>
      <c r="GI54" s="2119"/>
      <c r="GJ54" s="2119"/>
      <c r="GK54" s="2119"/>
      <c r="GL54" s="2119"/>
      <c r="GM54" s="2119"/>
      <c r="GN54" s="2119"/>
      <c r="GO54" s="2119"/>
      <c r="GP54" s="2119"/>
      <c r="GQ54" s="2119"/>
      <c r="GS54" s="2120"/>
      <c r="GT54" s="2119"/>
      <c r="GU54" s="2119"/>
      <c r="GV54" s="2119"/>
      <c r="GW54" s="2119"/>
      <c r="GX54" s="2119"/>
      <c r="GY54" s="2119"/>
      <c r="GZ54" s="2119"/>
      <c r="HA54" s="2119"/>
      <c r="HB54" s="2119"/>
      <c r="HC54" s="2119"/>
      <c r="HD54" s="2119"/>
      <c r="HE54" s="2119"/>
      <c r="HH54" s="2112"/>
      <c r="HI54" s="2112"/>
      <c r="HJ54" s="2112"/>
      <c r="HK54" s="2112"/>
      <c r="HL54" s="2112"/>
      <c r="HM54" s="2112"/>
      <c r="HN54" s="2112"/>
      <c r="HO54" s="2112"/>
      <c r="HP54" s="2112"/>
      <c r="HQ54" s="2112"/>
      <c r="HR54" s="2112"/>
      <c r="HS54" s="2112"/>
    </row>
    <row r="55" s="2111" customFormat="true" ht="10.5" hidden="false" customHeight="true" outlineLevel="0" collapsed="false">
      <c r="A55" s="2121"/>
      <c r="C55" s="2112"/>
      <c r="D55" s="2112"/>
      <c r="E55" s="2112"/>
      <c r="F55" s="2112"/>
      <c r="G55" s="2112"/>
      <c r="H55" s="2112"/>
      <c r="I55" s="2112"/>
      <c r="J55" s="2112"/>
      <c r="K55" s="2112"/>
      <c r="L55" s="2112"/>
      <c r="M55" s="2112"/>
      <c r="N55" s="2112"/>
      <c r="Q55" s="2112"/>
      <c r="R55" s="2112"/>
      <c r="S55" s="2112"/>
      <c r="T55" s="2112"/>
      <c r="U55" s="2112"/>
      <c r="V55" s="2112"/>
      <c r="W55" s="2112"/>
      <c r="X55" s="2112"/>
      <c r="Y55" s="2112"/>
      <c r="Z55" s="2112"/>
      <c r="AA55" s="2112"/>
      <c r="AB55" s="2112"/>
      <c r="AE55" s="2112"/>
      <c r="AF55" s="2112"/>
      <c r="AG55" s="2112"/>
      <c r="AH55" s="2112"/>
      <c r="AI55" s="2112"/>
      <c r="AJ55" s="2112"/>
      <c r="AK55" s="2112"/>
      <c r="AL55" s="2112"/>
      <c r="AM55" s="2112"/>
      <c r="AN55" s="2112"/>
      <c r="AO55" s="2112"/>
      <c r="AP55" s="2112"/>
      <c r="AS55" s="2112"/>
      <c r="AT55" s="2112"/>
      <c r="AU55" s="2112"/>
      <c r="AV55" s="2112"/>
      <c r="AW55" s="2112"/>
      <c r="AX55" s="2112"/>
      <c r="AY55" s="2112"/>
      <c r="AZ55" s="2112"/>
      <c r="BA55" s="2112"/>
      <c r="BB55" s="2112"/>
      <c r="BC55" s="2112"/>
      <c r="BD55" s="2112"/>
      <c r="BF55" s="1885"/>
      <c r="BG55" s="2108" t="str">
        <f aca="false">Revenue!A142</f>
        <v>SS-4</v>
      </c>
      <c r="BH55" s="2109" t="n">
        <f aca="false">Revenue!N142</f>
        <v>62525.7225000001</v>
      </c>
      <c r="BI55" s="2109" t="n">
        <f aca="false">Revenue!O142</f>
        <v>69473.0250000002</v>
      </c>
      <c r="BJ55" s="2109" t="n">
        <f aca="false">Revenue!P142</f>
        <v>76420.3275000002</v>
      </c>
      <c r="BK55" s="2109" t="n">
        <f aca="false">Revenue!Q142</f>
        <v>83367.6299999999</v>
      </c>
      <c r="BL55" s="2109" t="n">
        <f aca="false">Revenue!R142</f>
        <v>90314.9325</v>
      </c>
      <c r="BM55" s="2109" t="n">
        <f aca="false">Revenue!S142</f>
        <v>97262.235</v>
      </c>
      <c r="BN55" s="2109" t="n">
        <f aca="false">Revenue!T142</f>
        <v>104209.5375</v>
      </c>
      <c r="BO55" s="2109" t="n">
        <f aca="false">Revenue!U142</f>
        <v>111156.84</v>
      </c>
      <c r="BP55" s="2109" t="n">
        <f aca="false">Revenue!V142</f>
        <v>118104.1425</v>
      </c>
      <c r="BQ55" s="2109" t="n">
        <f aca="false">Revenue!W142</f>
        <v>125051.445</v>
      </c>
      <c r="BR55" s="2109" t="n">
        <f aca="false">Revenue!X142</f>
        <v>131998.7475</v>
      </c>
      <c r="BS55" s="2108" t="n">
        <f aca="false">Revenue!Y142</f>
        <v>138946.05</v>
      </c>
      <c r="BT55" s="1888"/>
      <c r="BU55" s="1952" t="str">
        <f aca="false">BG55</f>
        <v>SS-4</v>
      </c>
      <c r="BV55" s="1952" t="n">
        <f aca="false">Revenue!Z110</f>
        <v>330799.5</v>
      </c>
      <c r="BW55" s="1952" t="n">
        <f aca="false">Revenue!AA110</f>
        <v>330799.5</v>
      </c>
      <c r="BX55" s="1953" t="n">
        <f aca="false">Revenue!AB110</f>
        <v>330799.5</v>
      </c>
      <c r="BY55" s="1952" t="n">
        <f aca="false">Revenue!AC110</f>
        <v>330799.5</v>
      </c>
      <c r="BZ55" s="1952" t="n">
        <f aca="false">Revenue!AD110</f>
        <v>330799.5</v>
      </c>
      <c r="CA55" s="1952" t="n">
        <f aca="false">Revenue!AE110</f>
        <v>330799.5</v>
      </c>
      <c r="CB55" s="1952" t="n">
        <f aca="false">Revenue!AF110</f>
        <v>330799.5</v>
      </c>
      <c r="CC55" s="1952" t="n">
        <f aca="false">Revenue!AG110</f>
        <v>330799.5</v>
      </c>
      <c r="CD55" s="1952" t="n">
        <f aca="false">Revenue!AH110</f>
        <v>330799.5</v>
      </c>
      <c r="CE55" s="1952" t="n">
        <f aca="false">Revenue!AI110</f>
        <v>330799.5</v>
      </c>
      <c r="CF55" s="1952" t="n">
        <f aca="false">Revenue!AJ110</f>
        <v>330799.5</v>
      </c>
      <c r="CG55" s="1952" t="n">
        <f aca="false">Revenue!AK110</f>
        <v>330799.5</v>
      </c>
      <c r="CH55" s="1891"/>
      <c r="CI55" s="1954" t="str">
        <f aca="false">BU55</f>
        <v>SS-4</v>
      </c>
      <c r="CJ55" s="1955" t="n">
        <f aca="false">Revenue!AL110</f>
        <v>358366.125</v>
      </c>
      <c r="CK55" s="1955" t="n">
        <f aca="false">Revenue!AM110</f>
        <v>358366.125</v>
      </c>
      <c r="CL55" s="1955" t="n">
        <f aca="false">Revenue!AN110</f>
        <v>358366.125</v>
      </c>
      <c r="CM55" s="1955" t="n">
        <f aca="false">Revenue!AO110</f>
        <v>358366.125</v>
      </c>
      <c r="CN55" s="1955" t="n">
        <f aca="false">Revenue!AP110</f>
        <v>358366.125</v>
      </c>
      <c r="CO55" s="1955" t="n">
        <f aca="false">Revenue!AQ110</f>
        <v>358366.125</v>
      </c>
      <c r="CP55" s="1955" t="n">
        <f aca="false">Revenue!AR110</f>
        <v>358366.125</v>
      </c>
      <c r="CQ55" s="1955" t="n">
        <f aca="false">Revenue!AS110</f>
        <v>358366.125</v>
      </c>
      <c r="CR55" s="1955" t="n">
        <f aca="false">Revenue!AT110</f>
        <v>358366.125</v>
      </c>
      <c r="CS55" s="1955" t="n">
        <f aca="false">Revenue!AU110</f>
        <v>358366.125</v>
      </c>
      <c r="CT55" s="1955" t="n">
        <f aca="false">Revenue!AV110</f>
        <v>358366.125</v>
      </c>
      <c r="CU55" s="1955" t="n">
        <f aca="false">Revenue!AW110</f>
        <v>358366.125</v>
      </c>
      <c r="CV55" s="1888"/>
      <c r="CW55" s="1956" t="str">
        <f aca="false">CI55</f>
        <v>SS-4</v>
      </c>
      <c r="CX55" s="1957" t="n">
        <f aca="false">Revenue!AX110</f>
        <v>385932.75</v>
      </c>
      <c r="CY55" s="1957" t="n">
        <f aca="false">Revenue!AY110</f>
        <v>385932.75</v>
      </c>
      <c r="CZ55" s="1957" t="n">
        <f aca="false">Revenue!AZ110</f>
        <v>385932.75</v>
      </c>
      <c r="DA55" s="1957" t="n">
        <f aca="false">Revenue!BA110</f>
        <v>385932.75</v>
      </c>
      <c r="DB55" s="1957" t="n">
        <f aca="false">Revenue!BB110</f>
        <v>385932.75</v>
      </c>
      <c r="DC55" s="1957" t="n">
        <f aca="false">Revenue!BC110</f>
        <v>385932.75</v>
      </c>
      <c r="DD55" s="1957" t="n">
        <f aca="false">Revenue!BD110</f>
        <v>385932.75</v>
      </c>
      <c r="DE55" s="1957" t="n">
        <f aca="false">Revenue!BE110</f>
        <v>385932.75</v>
      </c>
      <c r="DF55" s="1957" t="n">
        <f aca="false">Revenue!BF110</f>
        <v>385932.75</v>
      </c>
      <c r="DG55" s="1957" t="n">
        <f aca="false">Revenue!BG110</f>
        <v>385932.75</v>
      </c>
      <c r="DH55" s="1957" t="n">
        <f aca="false">Revenue!BH110</f>
        <v>385932.75</v>
      </c>
      <c r="DI55" s="1957" t="n">
        <f aca="false">Revenue!BI110</f>
        <v>385932.75</v>
      </c>
      <c r="DZ55" s="2112"/>
      <c r="EN55" s="2112"/>
      <c r="EO55" s="2112"/>
      <c r="EP55" s="2112"/>
      <c r="EQ55" s="2112"/>
      <c r="ER55" s="2112"/>
      <c r="ES55" s="2112"/>
      <c r="ET55" s="2112"/>
      <c r="EU55" s="2112"/>
      <c r="EV55" s="2112"/>
      <c r="EW55" s="2112"/>
      <c r="EX55" s="2112"/>
      <c r="EY55" s="2112"/>
      <c r="EZ55" s="2112"/>
      <c r="FB55" s="2112"/>
      <c r="FR55" s="2119"/>
      <c r="FS55" s="2119"/>
      <c r="FT55" s="2119"/>
      <c r="FU55" s="2119"/>
      <c r="FV55" s="2119"/>
      <c r="FW55" s="2119"/>
      <c r="FX55" s="2119"/>
      <c r="FY55" s="2119"/>
      <c r="FZ55" s="2119"/>
      <c r="GA55" s="2119"/>
      <c r="GB55" s="2119"/>
      <c r="GC55" s="2119"/>
      <c r="GF55" s="2119"/>
      <c r="GG55" s="2119"/>
      <c r="GH55" s="2119"/>
      <c r="GI55" s="2119"/>
      <c r="GJ55" s="2119"/>
      <c r="GK55" s="2119"/>
      <c r="GL55" s="2119"/>
      <c r="GM55" s="2119"/>
      <c r="GN55" s="2119"/>
      <c r="GO55" s="2119"/>
      <c r="GP55" s="2119"/>
      <c r="GQ55" s="2119"/>
      <c r="GS55" s="2120"/>
      <c r="GT55" s="2119"/>
      <c r="GU55" s="2119"/>
      <c r="GV55" s="2119"/>
      <c r="GW55" s="2119"/>
      <c r="GX55" s="2119"/>
      <c r="GY55" s="2119"/>
      <c r="GZ55" s="2119"/>
      <c r="HA55" s="2119"/>
      <c r="HB55" s="2119"/>
      <c r="HC55" s="2119"/>
      <c r="HD55" s="2119"/>
      <c r="HE55" s="2119"/>
      <c r="HH55" s="2112"/>
      <c r="HI55" s="2112"/>
      <c r="HJ55" s="2112"/>
      <c r="HK55" s="2112"/>
      <c r="HL55" s="2112"/>
      <c r="HM55" s="2112"/>
      <c r="HN55" s="2112"/>
      <c r="HO55" s="2112"/>
      <c r="HP55" s="2112"/>
      <c r="HQ55" s="2112"/>
      <c r="HR55" s="2112"/>
      <c r="HS55" s="2112"/>
    </row>
    <row r="56" s="2111" customFormat="true" ht="10.5" hidden="false" customHeight="true" outlineLevel="0" collapsed="false">
      <c r="A56" s="2121"/>
      <c r="C56" s="2112"/>
      <c r="D56" s="2112"/>
      <c r="E56" s="2112"/>
      <c r="F56" s="2112"/>
      <c r="G56" s="2112"/>
      <c r="H56" s="2112"/>
      <c r="I56" s="2112"/>
      <c r="J56" s="2112"/>
      <c r="K56" s="2112"/>
      <c r="L56" s="2112"/>
      <c r="M56" s="2112"/>
      <c r="N56" s="2112"/>
      <c r="Q56" s="2112"/>
      <c r="R56" s="2112"/>
      <c r="S56" s="2112"/>
      <c r="T56" s="2112"/>
      <c r="U56" s="2112"/>
      <c r="V56" s="2112"/>
      <c r="W56" s="2112"/>
      <c r="X56" s="2112"/>
      <c r="Y56" s="2112"/>
      <c r="Z56" s="2112"/>
      <c r="AA56" s="2112"/>
      <c r="AB56" s="2112"/>
      <c r="AE56" s="2112"/>
      <c r="AF56" s="2112"/>
      <c r="AG56" s="2112"/>
      <c r="AH56" s="2112"/>
      <c r="AI56" s="2112"/>
      <c r="AJ56" s="2112"/>
      <c r="AK56" s="2112"/>
      <c r="AL56" s="2112"/>
      <c r="AM56" s="2112"/>
      <c r="AN56" s="2112"/>
      <c r="AO56" s="2112"/>
      <c r="AP56" s="2112"/>
      <c r="AS56" s="2112"/>
      <c r="AT56" s="2112"/>
      <c r="AU56" s="2112"/>
      <c r="AV56" s="2112"/>
      <c r="AW56" s="2112"/>
      <c r="AX56" s="2112"/>
      <c r="AY56" s="2112"/>
      <c r="AZ56" s="2112"/>
      <c r="BA56" s="2112"/>
      <c r="BB56" s="2112"/>
      <c r="BC56" s="2112"/>
      <c r="BD56" s="2112"/>
      <c r="BF56" s="1885"/>
      <c r="BG56" s="2108" t="str">
        <f aca="false">Revenue!A143</f>
        <v>SS-6</v>
      </c>
      <c r="BH56" s="2109" t="n">
        <f aca="false">Revenue!N143</f>
        <v>44502.408</v>
      </c>
      <c r="BI56" s="2109" t="n">
        <f aca="false">Revenue!O143</f>
        <v>49447.12</v>
      </c>
      <c r="BJ56" s="2109" t="n">
        <f aca="false">Revenue!P143</f>
        <v>54391.832</v>
      </c>
      <c r="BK56" s="2109" t="n">
        <f aca="false">Revenue!Q143</f>
        <v>59336.544</v>
      </c>
      <c r="BL56" s="2109" t="n">
        <f aca="false">Revenue!R143</f>
        <v>64281.2559999999</v>
      </c>
      <c r="BM56" s="2109" t="n">
        <f aca="false">Revenue!S143</f>
        <v>69225.9679999999</v>
      </c>
      <c r="BN56" s="2109" t="n">
        <f aca="false">Revenue!T143</f>
        <v>74170.6800000002</v>
      </c>
      <c r="BO56" s="2109" t="n">
        <f aca="false">Revenue!U143</f>
        <v>79115.3920000001</v>
      </c>
      <c r="BP56" s="2109" t="n">
        <f aca="false">Revenue!V143</f>
        <v>84060.1040000001</v>
      </c>
      <c r="BQ56" s="2109" t="n">
        <f aca="false">Revenue!W143</f>
        <v>89004.8160000001</v>
      </c>
      <c r="BR56" s="2109" t="n">
        <f aca="false">Revenue!X143</f>
        <v>93949.5280000001</v>
      </c>
      <c r="BS56" s="2108" t="n">
        <f aca="false">Revenue!Y143</f>
        <v>98894.24</v>
      </c>
      <c r="BT56" s="1888"/>
      <c r="BU56" s="1952" t="str">
        <f aca="false">BG56</f>
        <v>SS-6</v>
      </c>
      <c r="BV56" s="1952" t="n">
        <f aca="false">Revenue!Z111</f>
        <v>294044</v>
      </c>
      <c r="BW56" s="1952" t="n">
        <f aca="false">Revenue!AA111</f>
        <v>294044</v>
      </c>
      <c r="BX56" s="1953" t="n">
        <f aca="false">Revenue!AB111</f>
        <v>294044</v>
      </c>
      <c r="BY56" s="1952" t="n">
        <f aca="false">Revenue!AC111</f>
        <v>294044</v>
      </c>
      <c r="BZ56" s="1952" t="n">
        <f aca="false">Revenue!AD111</f>
        <v>294044</v>
      </c>
      <c r="CA56" s="1952" t="n">
        <f aca="false">Revenue!AE111</f>
        <v>294044</v>
      </c>
      <c r="CB56" s="1952" t="n">
        <f aca="false">Revenue!AF111</f>
        <v>294044</v>
      </c>
      <c r="CC56" s="1952" t="n">
        <f aca="false">Revenue!AG111</f>
        <v>294044</v>
      </c>
      <c r="CD56" s="1952" t="n">
        <f aca="false">Revenue!AH111</f>
        <v>294044</v>
      </c>
      <c r="CE56" s="1952" t="n">
        <f aca="false">Revenue!AI111</f>
        <v>294044</v>
      </c>
      <c r="CF56" s="1952" t="n">
        <f aca="false">Revenue!AJ111</f>
        <v>294044</v>
      </c>
      <c r="CG56" s="1952" t="n">
        <f aca="false">Revenue!AK111</f>
        <v>294044</v>
      </c>
      <c r="CH56" s="1891"/>
      <c r="CI56" s="1954" t="str">
        <f aca="false">BU56</f>
        <v>SS-6</v>
      </c>
      <c r="CJ56" s="1955" t="n">
        <f aca="false">Revenue!AL111</f>
        <v>318547.666666667</v>
      </c>
      <c r="CK56" s="1955" t="n">
        <f aca="false">Revenue!AM111</f>
        <v>318547.666666667</v>
      </c>
      <c r="CL56" s="1955" t="n">
        <f aca="false">Revenue!AN111</f>
        <v>318547.666666667</v>
      </c>
      <c r="CM56" s="1955" t="n">
        <f aca="false">Revenue!AO111</f>
        <v>318547.666666667</v>
      </c>
      <c r="CN56" s="1955" t="n">
        <f aca="false">Revenue!AP111</f>
        <v>318547.666666667</v>
      </c>
      <c r="CO56" s="1955" t="n">
        <f aca="false">Revenue!AQ111</f>
        <v>318547.666666667</v>
      </c>
      <c r="CP56" s="1955" t="n">
        <f aca="false">Revenue!AR111</f>
        <v>318547.666666667</v>
      </c>
      <c r="CQ56" s="1955" t="n">
        <f aca="false">Revenue!AS111</f>
        <v>318547.666666667</v>
      </c>
      <c r="CR56" s="1955" t="n">
        <f aca="false">Revenue!AT111</f>
        <v>318547.666666667</v>
      </c>
      <c r="CS56" s="1955" t="n">
        <f aca="false">Revenue!AU111</f>
        <v>318547.666666667</v>
      </c>
      <c r="CT56" s="1955" t="n">
        <f aca="false">Revenue!AV111</f>
        <v>318547.666666667</v>
      </c>
      <c r="CU56" s="1955" t="n">
        <f aca="false">Revenue!AW111</f>
        <v>318547.666666667</v>
      </c>
      <c r="CV56" s="1888"/>
      <c r="CW56" s="1956" t="str">
        <f aca="false">CI56</f>
        <v>SS-6</v>
      </c>
      <c r="CX56" s="1957" t="n">
        <f aca="false">Revenue!AX111</f>
        <v>343051.333333333</v>
      </c>
      <c r="CY56" s="1957" t="n">
        <f aca="false">Revenue!AY111</f>
        <v>343051.333333333</v>
      </c>
      <c r="CZ56" s="1957" t="n">
        <f aca="false">Revenue!AZ111</f>
        <v>343051.333333333</v>
      </c>
      <c r="DA56" s="1957" t="n">
        <f aca="false">Revenue!BA111</f>
        <v>343051.333333333</v>
      </c>
      <c r="DB56" s="1957" t="n">
        <f aca="false">Revenue!BB111</f>
        <v>343051.333333333</v>
      </c>
      <c r="DC56" s="1957" t="n">
        <f aca="false">Revenue!BC111</f>
        <v>343051.333333333</v>
      </c>
      <c r="DD56" s="1957" t="n">
        <f aca="false">Revenue!BD111</f>
        <v>343051.333333333</v>
      </c>
      <c r="DE56" s="1957" t="n">
        <f aca="false">Revenue!BE111</f>
        <v>343051.333333333</v>
      </c>
      <c r="DF56" s="1957" t="n">
        <f aca="false">Revenue!BF111</f>
        <v>343051.333333333</v>
      </c>
      <c r="DG56" s="1957" t="n">
        <f aca="false">Revenue!BG111</f>
        <v>343051.333333333</v>
      </c>
      <c r="DH56" s="1957" t="n">
        <f aca="false">Revenue!BH111</f>
        <v>343051.333333333</v>
      </c>
      <c r="DI56" s="1957" t="n">
        <f aca="false">Revenue!BI111</f>
        <v>343051.333333333</v>
      </c>
      <c r="DZ56" s="2112"/>
      <c r="EN56" s="2112"/>
      <c r="EO56" s="2112"/>
      <c r="EP56" s="2112"/>
      <c r="EQ56" s="2112"/>
      <c r="ER56" s="2112"/>
      <c r="ES56" s="2112"/>
      <c r="ET56" s="2112"/>
      <c r="EU56" s="2112"/>
      <c r="EV56" s="2112"/>
      <c r="EW56" s="2112"/>
      <c r="EX56" s="2112"/>
      <c r="EY56" s="2112"/>
      <c r="EZ56" s="2112"/>
      <c r="FB56" s="2112"/>
      <c r="FR56" s="2119"/>
      <c r="FS56" s="2119"/>
      <c r="FT56" s="2119"/>
      <c r="FU56" s="2119"/>
      <c r="FV56" s="2119"/>
      <c r="FW56" s="2119"/>
      <c r="FX56" s="2119"/>
      <c r="FY56" s="2119"/>
      <c r="FZ56" s="2119"/>
      <c r="GA56" s="2119"/>
      <c r="GB56" s="2119"/>
      <c r="GC56" s="2119"/>
      <c r="GF56" s="2119"/>
      <c r="GG56" s="2119"/>
      <c r="GH56" s="2119"/>
      <c r="GI56" s="2119"/>
      <c r="GJ56" s="2119"/>
      <c r="GK56" s="2119"/>
      <c r="GL56" s="2119"/>
      <c r="GM56" s="2119"/>
      <c r="GN56" s="2119"/>
      <c r="GO56" s="2119"/>
      <c r="GP56" s="2119"/>
      <c r="GQ56" s="2119"/>
      <c r="GS56" s="2120"/>
      <c r="GT56" s="2119"/>
      <c r="GU56" s="2119"/>
      <c r="GV56" s="2119"/>
      <c r="GW56" s="2119"/>
      <c r="GX56" s="2119"/>
      <c r="GY56" s="2119"/>
      <c r="GZ56" s="2119"/>
      <c r="HA56" s="2119"/>
      <c r="HB56" s="2119"/>
      <c r="HC56" s="2119"/>
      <c r="HD56" s="2119"/>
      <c r="HE56" s="2119"/>
      <c r="HH56" s="2112"/>
      <c r="HI56" s="2112"/>
      <c r="HJ56" s="2112"/>
      <c r="HK56" s="2112"/>
      <c r="HL56" s="2112"/>
      <c r="HM56" s="2112"/>
      <c r="HN56" s="2112"/>
      <c r="HO56" s="2112"/>
      <c r="HP56" s="2112"/>
      <c r="HQ56" s="2112"/>
      <c r="HR56" s="2112"/>
      <c r="HS56" s="2112"/>
    </row>
    <row r="57" s="2111" customFormat="true" ht="10.5" hidden="false" customHeight="true" outlineLevel="0" collapsed="false">
      <c r="A57" s="2121"/>
      <c r="C57" s="2112"/>
      <c r="D57" s="2112"/>
      <c r="E57" s="2112"/>
      <c r="F57" s="2112"/>
      <c r="G57" s="2112"/>
      <c r="H57" s="2112"/>
      <c r="I57" s="2112"/>
      <c r="J57" s="2112"/>
      <c r="K57" s="2112"/>
      <c r="L57" s="2112"/>
      <c r="M57" s="2112"/>
      <c r="N57" s="2112"/>
      <c r="Q57" s="2112"/>
      <c r="R57" s="2112"/>
      <c r="S57" s="2112"/>
      <c r="T57" s="2112"/>
      <c r="U57" s="2112"/>
      <c r="V57" s="2112"/>
      <c r="W57" s="2112"/>
      <c r="X57" s="2112"/>
      <c r="Y57" s="2112"/>
      <c r="Z57" s="2112"/>
      <c r="AA57" s="2112"/>
      <c r="AB57" s="2112"/>
      <c r="AE57" s="2112"/>
      <c r="AF57" s="2112"/>
      <c r="AG57" s="2112"/>
      <c r="AH57" s="2112"/>
      <c r="AI57" s="2112"/>
      <c r="AJ57" s="2112"/>
      <c r="AK57" s="2112"/>
      <c r="AL57" s="2112"/>
      <c r="AM57" s="2112"/>
      <c r="AN57" s="2112"/>
      <c r="AO57" s="2112"/>
      <c r="AP57" s="2112"/>
      <c r="AS57" s="2112"/>
      <c r="AT57" s="2112"/>
      <c r="AU57" s="2112"/>
      <c r="AV57" s="2112"/>
      <c r="AW57" s="2112"/>
      <c r="AX57" s="2112"/>
      <c r="AY57" s="2112"/>
      <c r="AZ57" s="2112"/>
      <c r="BA57" s="2112"/>
      <c r="BB57" s="2112"/>
      <c r="BC57" s="2112"/>
      <c r="BD57" s="2112"/>
      <c r="BF57" s="1885"/>
      <c r="BG57" s="2108" t="str">
        <f aca="false">Revenue!A144</f>
        <v>SS-8</v>
      </c>
      <c r="BH57" s="2109" t="n">
        <f aca="false">Revenue!N144</f>
        <v>23166.7593749999</v>
      </c>
      <c r="BI57" s="2109" t="n">
        <f aca="false">Revenue!O144</f>
        <v>25740.84375</v>
      </c>
      <c r="BJ57" s="2109" t="n">
        <f aca="false">Revenue!P144</f>
        <v>28314.928125</v>
      </c>
      <c r="BK57" s="2109" t="n">
        <f aca="false">Revenue!Q144</f>
        <v>30889.0125000001</v>
      </c>
      <c r="BL57" s="2109" t="n">
        <f aca="false">Revenue!R144</f>
        <v>33463.0968750001</v>
      </c>
      <c r="BM57" s="2109" t="n">
        <f aca="false">Revenue!S144</f>
        <v>36037.1812499999</v>
      </c>
      <c r="BN57" s="2109" t="n">
        <f aca="false">Revenue!T144</f>
        <v>38611.265625</v>
      </c>
      <c r="BO57" s="2109" t="n">
        <f aca="false">Revenue!U144</f>
        <v>41185.35</v>
      </c>
      <c r="BP57" s="2109" t="n">
        <f aca="false">Revenue!V144</f>
        <v>43759.4343750001</v>
      </c>
      <c r="BQ57" s="2109" t="n">
        <f aca="false">Revenue!W144</f>
        <v>46333.5187500001</v>
      </c>
      <c r="BR57" s="2109" t="n">
        <f aca="false">Revenue!X144</f>
        <v>48907.6031249999</v>
      </c>
      <c r="BS57" s="2108" t="n">
        <f aca="false">Revenue!Y144</f>
        <v>51481.6875</v>
      </c>
      <c r="BT57" s="1888"/>
      <c r="BU57" s="1952" t="str">
        <f aca="false">BG57</f>
        <v>SS-8</v>
      </c>
      <c r="BV57" s="1952" t="n">
        <f aca="false">Revenue!Z112</f>
        <v>183777.5</v>
      </c>
      <c r="BW57" s="1952" t="n">
        <f aca="false">Revenue!AA112</f>
        <v>183777.5</v>
      </c>
      <c r="BX57" s="1953" t="n">
        <f aca="false">Revenue!AB112</f>
        <v>183777.5</v>
      </c>
      <c r="BY57" s="1952" t="n">
        <f aca="false">Revenue!AC112</f>
        <v>183777.5</v>
      </c>
      <c r="BZ57" s="1952" t="n">
        <f aca="false">Revenue!AD112</f>
        <v>183777.5</v>
      </c>
      <c r="CA57" s="1952" t="n">
        <f aca="false">Revenue!AE112</f>
        <v>183777.5</v>
      </c>
      <c r="CB57" s="1952" t="n">
        <f aca="false">Revenue!AF112</f>
        <v>183777.5</v>
      </c>
      <c r="CC57" s="1952" t="n">
        <f aca="false">Revenue!AG112</f>
        <v>183777.5</v>
      </c>
      <c r="CD57" s="1952" t="n">
        <f aca="false">Revenue!AH112</f>
        <v>183777.5</v>
      </c>
      <c r="CE57" s="1952" t="n">
        <f aca="false">Revenue!AI112</f>
        <v>183777.5</v>
      </c>
      <c r="CF57" s="1952" t="n">
        <f aca="false">Revenue!AJ112</f>
        <v>183777.5</v>
      </c>
      <c r="CG57" s="1952" t="n">
        <f aca="false">Revenue!AK112</f>
        <v>183777.5</v>
      </c>
      <c r="CH57" s="1891"/>
      <c r="CI57" s="1954" t="str">
        <f aca="false">BU57</f>
        <v>SS-8</v>
      </c>
      <c r="CJ57" s="1955" t="n">
        <f aca="false">Revenue!AL112</f>
        <v>199092.291666666</v>
      </c>
      <c r="CK57" s="1955" t="n">
        <f aca="false">Revenue!AM112</f>
        <v>199092.291666666</v>
      </c>
      <c r="CL57" s="1955" t="n">
        <f aca="false">Revenue!AN112</f>
        <v>199092.291666666</v>
      </c>
      <c r="CM57" s="1955" t="n">
        <f aca="false">Revenue!AO112</f>
        <v>199092.291666666</v>
      </c>
      <c r="CN57" s="1955" t="n">
        <f aca="false">Revenue!AP112</f>
        <v>199092.291666666</v>
      </c>
      <c r="CO57" s="1955" t="n">
        <f aca="false">Revenue!AQ112</f>
        <v>199092.291666666</v>
      </c>
      <c r="CP57" s="1955" t="n">
        <f aca="false">Revenue!AR112</f>
        <v>199092.291666666</v>
      </c>
      <c r="CQ57" s="1955" t="n">
        <f aca="false">Revenue!AS112</f>
        <v>199092.291666666</v>
      </c>
      <c r="CR57" s="1955" t="n">
        <f aca="false">Revenue!AT112</f>
        <v>199092.291666666</v>
      </c>
      <c r="CS57" s="1955" t="n">
        <f aca="false">Revenue!AU112</f>
        <v>199092.291666666</v>
      </c>
      <c r="CT57" s="1955" t="n">
        <f aca="false">Revenue!AV112</f>
        <v>199092.291666666</v>
      </c>
      <c r="CU57" s="1955" t="n">
        <f aca="false">Revenue!AW112</f>
        <v>199092.291666666</v>
      </c>
      <c r="CV57" s="1888"/>
      <c r="CW57" s="1956" t="str">
        <f aca="false">CI57</f>
        <v>SS-8</v>
      </c>
      <c r="CX57" s="1957" t="n">
        <f aca="false">Revenue!AX112</f>
        <v>214407.083333333</v>
      </c>
      <c r="CY57" s="1957" t="n">
        <f aca="false">Revenue!AY112</f>
        <v>214407.083333333</v>
      </c>
      <c r="CZ57" s="1957" t="n">
        <f aca="false">Revenue!AZ112</f>
        <v>214407.083333333</v>
      </c>
      <c r="DA57" s="1957" t="n">
        <f aca="false">Revenue!BA112</f>
        <v>214407.083333333</v>
      </c>
      <c r="DB57" s="1957" t="n">
        <f aca="false">Revenue!BB112</f>
        <v>214407.083333333</v>
      </c>
      <c r="DC57" s="1957" t="n">
        <f aca="false">Revenue!BC112</f>
        <v>214407.083333333</v>
      </c>
      <c r="DD57" s="1957" t="n">
        <f aca="false">Revenue!BD112</f>
        <v>214407.083333333</v>
      </c>
      <c r="DE57" s="1957" t="n">
        <f aca="false">Revenue!BE112</f>
        <v>214407.083333333</v>
      </c>
      <c r="DF57" s="1957" t="n">
        <f aca="false">Revenue!BF112</f>
        <v>214407.083333333</v>
      </c>
      <c r="DG57" s="1957" t="n">
        <f aca="false">Revenue!BG112</f>
        <v>214407.083333333</v>
      </c>
      <c r="DH57" s="1957" t="n">
        <f aca="false">Revenue!BH112</f>
        <v>214407.083333333</v>
      </c>
      <c r="DI57" s="1957" t="n">
        <f aca="false">Revenue!BI112</f>
        <v>214407.083333333</v>
      </c>
      <c r="DZ57" s="2112"/>
      <c r="EN57" s="2112"/>
      <c r="EO57" s="2112"/>
      <c r="EP57" s="2112"/>
      <c r="EQ57" s="2112"/>
      <c r="ER57" s="2112"/>
      <c r="ES57" s="2112"/>
      <c r="ET57" s="2112"/>
      <c r="EU57" s="2112"/>
      <c r="EV57" s="2112"/>
      <c r="EW57" s="2112"/>
      <c r="EX57" s="2112"/>
      <c r="EY57" s="2112"/>
      <c r="EZ57" s="2112"/>
      <c r="FB57" s="2112"/>
      <c r="FR57" s="2119"/>
      <c r="FS57" s="2119"/>
      <c r="FT57" s="2119"/>
      <c r="FU57" s="2119"/>
      <c r="FV57" s="2119"/>
      <c r="FW57" s="2119"/>
      <c r="FX57" s="2119"/>
      <c r="FY57" s="2119"/>
      <c r="FZ57" s="2119"/>
      <c r="GA57" s="2119"/>
      <c r="GB57" s="2119"/>
      <c r="GC57" s="2119"/>
      <c r="GF57" s="2119"/>
      <c r="GG57" s="2119"/>
      <c r="GH57" s="2119"/>
      <c r="GI57" s="2119"/>
      <c r="GJ57" s="2119"/>
      <c r="GK57" s="2119"/>
      <c r="GL57" s="2119"/>
      <c r="GM57" s="2119"/>
      <c r="GN57" s="2119"/>
      <c r="GO57" s="2119"/>
      <c r="GP57" s="2119"/>
      <c r="GQ57" s="2119"/>
      <c r="GS57" s="2120"/>
      <c r="GT57" s="2119"/>
      <c r="GU57" s="2119"/>
      <c r="GV57" s="2119"/>
      <c r="GW57" s="2119"/>
      <c r="GX57" s="2119"/>
      <c r="GY57" s="2119"/>
      <c r="GZ57" s="2119"/>
      <c r="HA57" s="2119"/>
      <c r="HB57" s="2119"/>
      <c r="HC57" s="2119"/>
      <c r="HD57" s="2119"/>
      <c r="HE57" s="2119"/>
      <c r="HH57" s="2112"/>
      <c r="HI57" s="2112"/>
      <c r="HJ57" s="2112"/>
      <c r="HK57" s="2112"/>
      <c r="HL57" s="2112"/>
      <c r="HM57" s="2112"/>
      <c r="HN57" s="2112"/>
      <c r="HO57" s="2112"/>
      <c r="HP57" s="2112"/>
      <c r="HQ57" s="2112"/>
      <c r="HR57" s="2112"/>
      <c r="HS57" s="2112"/>
    </row>
    <row r="58" s="2111" customFormat="true" ht="10.5" hidden="false" customHeight="true" outlineLevel="0" collapsed="false">
      <c r="A58" s="2121"/>
      <c r="C58" s="2112"/>
      <c r="D58" s="2112"/>
      <c r="E58" s="2112"/>
      <c r="F58" s="2112"/>
      <c r="G58" s="2112"/>
      <c r="H58" s="2112"/>
      <c r="I58" s="2112"/>
      <c r="J58" s="2112"/>
      <c r="K58" s="2112"/>
      <c r="L58" s="2112"/>
      <c r="M58" s="2112"/>
      <c r="N58" s="2112"/>
      <c r="Q58" s="2112"/>
      <c r="R58" s="2112"/>
      <c r="S58" s="2112"/>
      <c r="T58" s="2112"/>
      <c r="U58" s="2112"/>
      <c r="V58" s="2112"/>
      <c r="W58" s="2112"/>
      <c r="X58" s="2112"/>
      <c r="Y58" s="2112"/>
      <c r="Z58" s="2112"/>
      <c r="AA58" s="2112"/>
      <c r="AB58" s="2112"/>
      <c r="AE58" s="2112"/>
      <c r="AF58" s="2112"/>
      <c r="AG58" s="2112"/>
      <c r="AH58" s="2112"/>
      <c r="AI58" s="2112"/>
      <c r="AJ58" s="2112"/>
      <c r="AK58" s="2112"/>
      <c r="AL58" s="2112"/>
      <c r="AM58" s="2112"/>
      <c r="AN58" s="2112"/>
      <c r="AO58" s="2112"/>
      <c r="AP58" s="2112"/>
      <c r="AS58" s="2112"/>
      <c r="AT58" s="2112"/>
      <c r="AU58" s="2112"/>
      <c r="AV58" s="2112"/>
      <c r="AW58" s="2112"/>
      <c r="AX58" s="2112"/>
      <c r="AY58" s="2112"/>
      <c r="AZ58" s="2112"/>
      <c r="BA58" s="2112"/>
      <c r="BB58" s="2112"/>
      <c r="BC58" s="2112"/>
      <c r="BD58" s="2112"/>
      <c r="BF58" s="1885"/>
      <c r="BG58" s="2108" t="str">
        <f aca="false">Revenue!A145</f>
        <v>SS-10</v>
      </c>
      <c r="BH58" s="2109" t="n">
        <f aca="false">Revenue!N145</f>
        <v>10868.03325</v>
      </c>
      <c r="BI58" s="2109" t="n">
        <f aca="false">Revenue!O145</f>
        <v>12075.5925</v>
      </c>
      <c r="BJ58" s="2109" t="n">
        <f aca="false">Revenue!P145</f>
        <v>13283.15175</v>
      </c>
      <c r="BK58" s="2109" t="n">
        <f aca="false">Revenue!Q145</f>
        <v>14490.711</v>
      </c>
      <c r="BL58" s="2109" t="n">
        <f aca="false">Revenue!R145</f>
        <v>15698.27025</v>
      </c>
      <c r="BM58" s="2109" t="n">
        <f aca="false">Revenue!S145</f>
        <v>16905.8295</v>
      </c>
      <c r="BN58" s="2109" t="n">
        <f aca="false">Revenue!T145</f>
        <v>18113.38875</v>
      </c>
      <c r="BO58" s="2109" t="n">
        <f aca="false">Revenue!U145</f>
        <v>19320.948</v>
      </c>
      <c r="BP58" s="2109" t="n">
        <f aca="false">Revenue!V145</f>
        <v>20528.50725</v>
      </c>
      <c r="BQ58" s="2109" t="n">
        <f aca="false">Revenue!W145</f>
        <v>21736.0664999999</v>
      </c>
      <c r="BR58" s="2109" t="n">
        <f aca="false">Revenue!X145</f>
        <v>22943.62575</v>
      </c>
      <c r="BS58" s="2108" t="n">
        <f aca="false">Revenue!Y145</f>
        <v>24151.185</v>
      </c>
      <c r="BT58" s="1888"/>
      <c r="BU58" s="1952" t="str">
        <f aca="false">BG58</f>
        <v>SS-10</v>
      </c>
      <c r="BV58" s="1952" t="n">
        <f aca="false">Revenue!Z113</f>
        <v>91888.7500000002</v>
      </c>
      <c r="BW58" s="1952" t="n">
        <f aca="false">Revenue!AA113</f>
        <v>91888.7500000002</v>
      </c>
      <c r="BX58" s="1953" t="n">
        <f aca="false">Revenue!AB113</f>
        <v>91888.7500000002</v>
      </c>
      <c r="BY58" s="1952" t="n">
        <f aca="false">Revenue!AC113</f>
        <v>91888.7500000002</v>
      </c>
      <c r="BZ58" s="1952" t="n">
        <f aca="false">Revenue!AD113</f>
        <v>91888.7500000002</v>
      </c>
      <c r="CA58" s="1952" t="n">
        <f aca="false">Revenue!AE113</f>
        <v>91888.7500000002</v>
      </c>
      <c r="CB58" s="1952" t="n">
        <f aca="false">Revenue!AF113</f>
        <v>91888.7500000002</v>
      </c>
      <c r="CC58" s="1952" t="n">
        <f aca="false">Revenue!AG113</f>
        <v>91888.7500000002</v>
      </c>
      <c r="CD58" s="1952" t="n">
        <f aca="false">Revenue!AH113</f>
        <v>91888.7500000002</v>
      </c>
      <c r="CE58" s="1952" t="n">
        <f aca="false">Revenue!AI113</f>
        <v>91888.7500000002</v>
      </c>
      <c r="CF58" s="1952" t="n">
        <f aca="false">Revenue!AJ113</f>
        <v>91888.7500000002</v>
      </c>
      <c r="CG58" s="1952" t="n">
        <f aca="false">Revenue!AK113</f>
        <v>91888.7500000002</v>
      </c>
      <c r="CH58" s="1891"/>
      <c r="CI58" s="1954" t="str">
        <f aca="false">BU58</f>
        <v>SS-10</v>
      </c>
      <c r="CJ58" s="1955" t="n">
        <f aca="false">Revenue!AL113</f>
        <v>99546.1458333335</v>
      </c>
      <c r="CK58" s="1955" t="n">
        <f aca="false">Revenue!AM113</f>
        <v>99546.1458333335</v>
      </c>
      <c r="CL58" s="1955" t="n">
        <f aca="false">Revenue!AN113</f>
        <v>99546.1458333335</v>
      </c>
      <c r="CM58" s="1955" t="n">
        <f aca="false">Revenue!AO113</f>
        <v>99546.1458333335</v>
      </c>
      <c r="CN58" s="1955" t="n">
        <f aca="false">Revenue!AP113</f>
        <v>99546.1458333335</v>
      </c>
      <c r="CO58" s="1955" t="n">
        <f aca="false">Revenue!AQ113</f>
        <v>99546.1458333335</v>
      </c>
      <c r="CP58" s="1955" t="n">
        <f aca="false">Revenue!AR113</f>
        <v>99546.1458333335</v>
      </c>
      <c r="CQ58" s="1955" t="n">
        <f aca="false">Revenue!AS113</f>
        <v>99546.1458333335</v>
      </c>
      <c r="CR58" s="1955" t="n">
        <f aca="false">Revenue!AT113</f>
        <v>99546.1458333335</v>
      </c>
      <c r="CS58" s="1955" t="n">
        <f aca="false">Revenue!AU113</f>
        <v>99546.1458333335</v>
      </c>
      <c r="CT58" s="1955" t="n">
        <f aca="false">Revenue!AV113</f>
        <v>99546.1458333335</v>
      </c>
      <c r="CU58" s="1955" t="n">
        <f aca="false">Revenue!AW113</f>
        <v>99546.1458333335</v>
      </c>
      <c r="CV58" s="1888"/>
      <c r="CW58" s="1956" t="str">
        <f aca="false">CI58</f>
        <v>SS-10</v>
      </c>
      <c r="CX58" s="1957" t="n">
        <f aca="false">Revenue!AX113</f>
        <v>107203.541666667</v>
      </c>
      <c r="CY58" s="1957" t="n">
        <f aca="false">Revenue!AY113</f>
        <v>107203.541666667</v>
      </c>
      <c r="CZ58" s="1957" t="n">
        <f aca="false">Revenue!AZ113</f>
        <v>107203.541666667</v>
      </c>
      <c r="DA58" s="1957" t="n">
        <f aca="false">Revenue!BA113</f>
        <v>107203.541666667</v>
      </c>
      <c r="DB58" s="1957" t="n">
        <f aca="false">Revenue!BB113</f>
        <v>107203.541666667</v>
      </c>
      <c r="DC58" s="1957" t="n">
        <f aca="false">Revenue!BC113</f>
        <v>107203.541666667</v>
      </c>
      <c r="DD58" s="1957" t="n">
        <f aca="false">Revenue!BD113</f>
        <v>107203.541666667</v>
      </c>
      <c r="DE58" s="1957" t="n">
        <f aca="false">Revenue!BE113</f>
        <v>107203.541666667</v>
      </c>
      <c r="DF58" s="1957" t="n">
        <f aca="false">Revenue!BF113</f>
        <v>107203.541666667</v>
      </c>
      <c r="DG58" s="1957" t="n">
        <f aca="false">Revenue!BG113</f>
        <v>107203.541666667</v>
      </c>
      <c r="DH58" s="1957" t="n">
        <f aca="false">Revenue!BH113</f>
        <v>107203.541666667</v>
      </c>
      <c r="DI58" s="1957" t="n">
        <f aca="false">Revenue!BI113</f>
        <v>107203.541666667</v>
      </c>
      <c r="DZ58" s="2112"/>
      <c r="EN58" s="2112"/>
      <c r="EO58" s="2112"/>
      <c r="EP58" s="2112"/>
      <c r="EQ58" s="2112"/>
      <c r="ER58" s="2112"/>
      <c r="ES58" s="2112"/>
      <c r="ET58" s="2112"/>
      <c r="EU58" s="2112"/>
      <c r="EV58" s="2112"/>
      <c r="EW58" s="2112"/>
      <c r="EX58" s="2112"/>
      <c r="EY58" s="2112"/>
      <c r="EZ58" s="2112"/>
      <c r="FB58" s="2112"/>
      <c r="FR58" s="2119"/>
      <c r="FS58" s="2119"/>
      <c r="FT58" s="2119"/>
      <c r="FU58" s="2119"/>
      <c r="FV58" s="2119"/>
      <c r="FW58" s="2119"/>
      <c r="FX58" s="2119"/>
      <c r="FY58" s="2119"/>
      <c r="FZ58" s="2119"/>
      <c r="GA58" s="2119"/>
      <c r="GB58" s="2119"/>
      <c r="GC58" s="2119"/>
      <c r="GF58" s="2119"/>
      <c r="GG58" s="2119"/>
      <c r="GH58" s="2119"/>
      <c r="GI58" s="2119"/>
      <c r="GJ58" s="2119"/>
      <c r="GK58" s="2119"/>
      <c r="GL58" s="2119"/>
      <c r="GM58" s="2119"/>
      <c r="GN58" s="2119"/>
      <c r="GO58" s="2119"/>
      <c r="GP58" s="2119"/>
      <c r="GQ58" s="2119"/>
      <c r="GS58" s="2120"/>
      <c r="GT58" s="2119"/>
      <c r="GU58" s="2119"/>
      <c r="GV58" s="2119"/>
      <c r="GW58" s="2119"/>
      <c r="GX58" s="2119"/>
      <c r="GY58" s="2119"/>
      <c r="GZ58" s="2119"/>
      <c r="HA58" s="2119"/>
      <c r="HB58" s="2119"/>
      <c r="HC58" s="2119"/>
      <c r="HD58" s="2119"/>
      <c r="HE58" s="2119"/>
      <c r="HH58" s="2112"/>
      <c r="HI58" s="2112"/>
      <c r="HJ58" s="2112"/>
      <c r="HK58" s="2112"/>
      <c r="HL58" s="2112"/>
      <c r="HM58" s="2112"/>
      <c r="HN58" s="2112"/>
      <c r="HO58" s="2112"/>
      <c r="HP58" s="2112"/>
      <c r="HQ58" s="2112"/>
      <c r="HR58" s="2112"/>
      <c r="HS58" s="2112"/>
    </row>
    <row r="59" s="2111" customFormat="true" ht="10.5" hidden="false" customHeight="true" outlineLevel="0" collapsed="false">
      <c r="A59" s="2121"/>
      <c r="C59" s="2112"/>
      <c r="D59" s="2112"/>
      <c r="E59" s="2112"/>
      <c r="F59" s="2112"/>
      <c r="G59" s="2112"/>
      <c r="H59" s="2112"/>
      <c r="I59" s="2112"/>
      <c r="J59" s="2112"/>
      <c r="K59" s="2112"/>
      <c r="L59" s="2112"/>
      <c r="M59" s="2112"/>
      <c r="N59" s="2112"/>
      <c r="Q59" s="2112"/>
      <c r="R59" s="2112"/>
      <c r="S59" s="2112"/>
      <c r="T59" s="2112"/>
      <c r="U59" s="2112"/>
      <c r="V59" s="2112"/>
      <c r="W59" s="2112"/>
      <c r="X59" s="2112"/>
      <c r="Y59" s="2112"/>
      <c r="Z59" s="2112"/>
      <c r="AA59" s="2112"/>
      <c r="AB59" s="2112"/>
      <c r="AE59" s="2112"/>
      <c r="AF59" s="2112"/>
      <c r="AG59" s="2112"/>
      <c r="AH59" s="2112"/>
      <c r="AI59" s="2112"/>
      <c r="AJ59" s="2112"/>
      <c r="AK59" s="2112"/>
      <c r="AL59" s="2112"/>
      <c r="AM59" s="2112"/>
      <c r="AN59" s="2112"/>
      <c r="AO59" s="2112"/>
      <c r="AP59" s="2112"/>
      <c r="AS59" s="2112"/>
      <c r="AT59" s="2112"/>
      <c r="AU59" s="2112"/>
      <c r="AV59" s="2112"/>
      <c r="AW59" s="2112"/>
      <c r="AX59" s="2112"/>
      <c r="AY59" s="2112"/>
      <c r="AZ59" s="2112"/>
      <c r="BA59" s="2112"/>
      <c r="BB59" s="2112"/>
      <c r="BC59" s="2112"/>
      <c r="BD59" s="2112"/>
      <c r="BF59" s="1885"/>
      <c r="BG59" s="2108" t="str">
        <f aca="false">Revenue!A146</f>
        <v>SS-12</v>
      </c>
      <c r="BH59" s="2109" t="n">
        <f aca="false">Revenue!N146</f>
        <v>6518.691</v>
      </c>
      <c r="BI59" s="2109" t="n">
        <f aca="false">Revenue!O146</f>
        <v>7242.98999999999</v>
      </c>
      <c r="BJ59" s="2109" t="n">
        <f aca="false">Revenue!P146</f>
        <v>7967.28900000001</v>
      </c>
      <c r="BK59" s="2109" t="n">
        <f aca="false">Revenue!Q146</f>
        <v>8691.588</v>
      </c>
      <c r="BL59" s="2109" t="n">
        <f aca="false">Revenue!R146</f>
        <v>9415.88700000001</v>
      </c>
      <c r="BM59" s="2109" t="n">
        <f aca="false">Revenue!S146</f>
        <v>10140.186</v>
      </c>
      <c r="BN59" s="2109" t="n">
        <f aca="false">Revenue!T146</f>
        <v>10864.485</v>
      </c>
      <c r="BO59" s="2109" t="n">
        <f aca="false">Revenue!U146</f>
        <v>11588.784</v>
      </c>
      <c r="BP59" s="2109" t="n">
        <f aca="false">Revenue!V146</f>
        <v>12313.083</v>
      </c>
      <c r="BQ59" s="2109" t="n">
        <f aca="false">Revenue!W146</f>
        <v>13037.382</v>
      </c>
      <c r="BR59" s="2109" t="n">
        <f aca="false">Revenue!X146</f>
        <v>13761.681</v>
      </c>
      <c r="BS59" s="2108" t="n">
        <f aca="false">Revenue!Y146</f>
        <v>14485.98</v>
      </c>
      <c r="BT59" s="1888"/>
      <c r="BU59" s="1952" t="str">
        <f aca="false">BG59</f>
        <v>SS-12</v>
      </c>
      <c r="BV59" s="1952" t="n">
        <f aca="false">Revenue!Z114</f>
        <v>55133.25</v>
      </c>
      <c r="BW59" s="1952" t="n">
        <f aca="false">Revenue!AA114</f>
        <v>55133.25</v>
      </c>
      <c r="BX59" s="1953" t="n">
        <f aca="false">Revenue!AB114</f>
        <v>55133.25</v>
      </c>
      <c r="BY59" s="1952" t="n">
        <f aca="false">Revenue!AC114</f>
        <v>55133.25</v>
      </c>
      <c r="BZ59" s="1952" t="n">
        <f aca="false">Revenue!AD114</f>
        <v>55133.25</v>
      </c>
      <c r="CA59" s="1952" t="n">
        <f aca="false">Revenue!AE114</f>
        <v>55133.25</v>
      </c>
      <c r="CB59" s="1952" t="n">
        <f aca="false">Revenue!AF114</f>
        <v>55133.25</v>
      </c>
      <c r="CC59" s="1952" t="n">
        <f aca="false">Revenue!AG114</f>
        <v>55133.25</v>
      </c>
      <c r="CD59" s="1952" t="n">
        <f aca="false">Revenue!AH114</f>
        <v>55133.25</v>
      </c>
      <c r="CE59" s="1952" t="n">
        <f aca="false">Revenue!AI114</f>
        <v>55133.25</v>
      </c>
      <c r="CF59" s="1952" t="n">
        <f aca="false">Revenue!AJ114</f>
        <v>55133.25</v>
      </c>
      <c r="CG59" s="1952" t="n">
        <f aca="false">Revenue!AK114</f>
        <v>55133.25</v>
      </c>
      <c r="CH59" s="1891"/>
      <c r="CI59" s="1954" t="str">
        <f aca="false">BU59</f>
        <v>SS-12</v>
      </c>
      <c r="CJ59" s="1955" t="n">
        <f aca="false">Revenue!AL114</f>
        <v>59727.6875</v>
      </c>
      <c r="CK59" s="1955" t="n">
        <f aca="false">Revenue!AM114</f>
        <v>59727.6875</v>
      </c>
      <c r="CL59" s="1955" t="n">
        <f aca="false">Revenue!AN114</f>
        <v>59727.6875</v>
      </c>
      <c r="CM59" s="1955" t="n">
        <f aca="false">Revenue!AO114</f>
        <v>59727.6875</v>
      </c>
      <c r="CN59" s="1955" t="n">
        <f aca="false">Revenue!AP114</f>
        <v>59727.6875</v>
      </c>
      <c r="CO59" s="1955" t="n">
        <f aca="false">Revenue!AQ114</f>
        <v>59727.6875</v>
      </c>
      <c r="CP59" s="1955" t="n">
        <f aca="false">Revenue!AR114</f>
        <v>59727.6875</v>
      </c>
      <c r="CQ59" s="1955" t="n">
        <f aca="false">Revenue!AS114</f>
        <v>59727.6875</v>
      </c>
      <c r="CR59" s="1955" t="n">
        <f aca="false">Revenue!AT114</f>
        <v>59727.6875</v>
      </c>
      <c r="CS59" s="1955" t="n">
        <f aca="false">Revenue!AU114</f>
        <v>59727.6875</v>
      </c>
      <c r="CT59" s="1955" t="n">
        <f aca="false">Revenue!AV114</f>
        <v>59727.6875</v>
      </c>
      <c r="CU59" s="1955" t="n">
        <f aca="false">Revenue!AW114</f>
        <v>59727.6875</v>
      </c>
      <c r="CV59" s="1888"/>
      <c r="CW59" s="1956" t="str">
        <f aca="false">CI59</f>
        <v>SS-12</v>
      </c>
      <c r="CX59" s="1957" t="n">
        <f aca="false">Revenue!AX114</f>
        <v>64322.125</v>
      </c>
      <c r="CY59" s="1957" t="n">
        <f aca="false">Revenue!AY114</f>
        <v>64322.125</v>
      </c>
      <c r="CZ59" s="1957" t="n">
        <f aca="false">Revenue!AZ114</f>
        <v>64322.125</v>
      </c>
      <c r="DA59" s="1957" t="n">
        <f aca="false">Revenue!BA114</f>
        <v>64322.125</v>
      </c>
      <c r="DB59" s="1957" t="n">
        <f aca="false">Revenue!BB114</f>
        <v>64322.125</v>
      </c>
      <c r="DC59" s="1957" t="n">
        <f aca="false">Revenue!BC114</f>
        <v>64322.125</v>
      </c>
      <c r="DD59" s="1957" t="n">
        <f aca="false">Revenue!BD114</f>
        <v>64322.125</v>
      </c>
      <c r="DE59" s="1957" t="n">
        <f aca="false">Revenue!BE114</f>
        <v>64322.125</v>
      </c>
      <c r="DF59" s="1957" t="n">
        <f aca="false">Revenue!BF114</f>
        <v>64322.125</v>
      </c>
      <c r="DG59" s="1957" t="n">
        <f aca="false">Revenue!BG114</f>
        <v>64322.125</v>
      </c>
      <c r="DH59" s="1957" t="n">
        <f aca="false">Revenue!BH114</f>
        <v>64322.125</v>
      </c>
      <c r="DI59" s="1957" t="n">
        <f aca="false">Revenue!BI114</f>
        <v>64322.125</v>
      </c>
      <c r="DZ59" s="2112"/>
      <c r="EN59" s="2112"/>
      <c r="EO59" s="2112"/>
      <c r="EP59" s="2112"/>
      <c r="EQ59" s="2112"/>
      <c r="ER59" s="2112"/>
      <c r="ES59" s="2112"/>
      <c r="ET59" s="2112"/>
      <c r="EU59" s="2112"/>
      <c r="EV59" s="2112"/>
      <c r="EW59" s="2112"/>
      <c r="EX59" s="2112"/>
      <c r="EY59" s="2112"/>
      <c r="EZ59" s="2112"/>
      <c r="FB59" s="2112"/>
      <c r="FR59" s="2119"/>
      <c r="FS59" s="2119"/>
      <c r="FT59" s="2119"/>
      <c r="FU59" s="2119"/>
      <c r="FV59" s="2119"/>
      <c r="FW59" s="2119"/>
      <c r="FX59" s="2119"/>
      <c r="FY59" s="2119"/>
      <c r="FZ59" s="2119"/>
      <c r="GA59" s="2119"/>
      <c r="GB59" s="2119"/>
      <c r="GC59" s="2119"/>
      <c r="GF59" s="2119"/>
      <c r="GG59" s="2119"/>
      <c r="GH59" s="2119"/>
      <c r="GI59" s="2119"/>
      <c r="GJ59" s="2119"/>
      <c r="GK59" s="2119"/>
      <c r="GL59" s="2119"/>
      <c r="GM59" s="2119"/>
      <c r="GN59" s="2119"/>
      <c r="GO59" s="2119"/>
      <c r="GP59" s="2119"/>
      <c r="GQ59" s="2119"/>
      <c r="GS59" s="2120"/>
      <c r="GT59" s="2119"/>
      <c r="GU59" s="2119"/>
      <c r="GV59" s="2119"/>
      <c r="GW59" s="2119"/>
      <c r="GX59" s="2119"/>
      <c r="GY59" s="2119"/>
      <c r="GZ59" s="2119"/>
      <c r="HA59" s="2119"/>
      <c r="HB59" s="2119"/>
      <c r="HC59" s="2119"/>
      <c r="HD59" s="2119"/>
      <c r="HE59" s="2119"/>
      <c r="HH59" s="2112"/>
      <c r="HI59" s="2112"/>
      <c r="HJ59" s="2112"/>
      <c r="HK59" s="2112"/>
      <c r="HL59" s="2112"/>
      <c r="HM59" s="2112"/>
      <c r="HN59" s="2112"/>
      <c r="HO59" s="2112"/>
      <c r="HP59" s="2112"/>
      <c r="HQ59" s="2112"/>
      <c r="HR59" s="2112"/>
      <c r="HS59" s="2112"/>
    </row>
    <row r="60" s="2111" customFormat="true" ht="10.5" hidden="false" customHeight="true" outlineLevel="0" collapsed="false">
      <c r="A60" s="2121"/>
      <c r="C60" s="2112"/>
      <c r="D60" s="2112"/>
      <c r="E60" s="2112"/>
      <c r="F60" s="2112"/>
      <c r="G60" s="2112"/>
      <c r="H60" s="2112"/>
      <c r="I60" s="2112"/>
      <c r="J60" s="2112"/>
      <c r="K60" s="2112"/>
      <c r="L60" s="2112"/>
      <c r="M60" s="2112"/>
      <c r="N60" s="2112"/>
      <c r="Q60" s="2112"/>
      <c r="R60" s="2112"/>
      <c r="S60" s="2112"/>
      <c r="T60" s="2112"/>
      <c r="U60" s="2112"/>
      <c r="V60" s="2112"/>
      <c r="W60" s="2112"/>
      <c r="X60" s="2112"/>
      <c r="Y60" s="2112"/>
      <c r="Z60" s="2112"/>
      <c r="AA60" s="2112"/>
      <c r="AB60" s="2112"/>
      <c r="AE60" s="2112"/>
      <c r="AF60" s="2112"/>
      <c r="AG60" s="2112"/>
      <c r="AH60" s="2112"/>
      <c r="AI60" s="2112"/>
      <c r="AJ60" s="2112"/>
      <c r="AK60" s="2112"/>
      <c r="AL60" s="2112"/>
      <c r="AM60" s="2112"/>
      <c r="AN60" s="2112"/>
      <c r="AO60" s="2112"/>
      <c r="AP60" s="2112"/>
      <c r="AS60" s="2112"/>
      <c r="AT60" s="2112"/>
      <c r="AU60" s="2112"/>
      <c r="AV60" s="2112"/>
      <c r="AW60" s="2112"/>
      <c r="AX60" s="2112"/>
      <c r="AY60" s="2112"/>
      <c r="AZ60" s="2112"/>
      <c r="BA60" s="2112"/>
      <c r="BB60" s="2112"/>
      <c r="BC60" s="2112"/>
      <c r="BD60" s="2112"/>
      <c r="BF60" s="1885"/>
      <c r="BG60" s="2108" t="str">
        <f aca="false">Revenue!A147</f>
        <v>SS-14</v>
      </c>
      <c r="BH60" s="2109" t="n">
        <f aca="false">Revenue!N147</f>
        <v>2441.78839285714</v>
      </c>
      <c r="BI60" s="2109" t="n">
        <f aca="false">Revenue!O147</f>
        <v>2713.09821428572</v>
      </c>
      <c r="BJ60" s="2109" t="n">
        <f aca="false">Revenue!P147</f>
        <v>2984.40803571429</v>
      </c>
      <c r="BK60" s="2109" t="n">
        <f aca="false">Revenue!Q147</f>
        <v>3255.71785714287</v>
      </c>
      <c r="BL60" s="2109" t="n">
        <f aca="false">Revenue!R147</f>
        <v>3527.02767857145</v>
      </c>
      <c r="BM60" s="2109" t="n">
        <f aca="false">Revenue!S147</f>
        <v>3798.3375</v>
      </c>
      <c r="BN60" s="2109" t="n">
        <f aca="false">Revenue!T147</f>
        <v>4069.64732142858</v>
      </c>
      <c r="BO60" s="2109" t="n">
        <f aca="false">Revenue!U147</f>
        <v>4340.95714285715</v>
      </c>
      <c r="BP60" s="2109" t="n">
        <f aca="false">Revenue!V147</f>
        <v>4612.26696428573</v>
      </c>
      <c r="BQ60" s="2109" t="n">
        <f aca="false">Revenue!W147</f>
        <v>4883.57678571431</v>
      </c>
      <c r="BR60" s="2109" t="n">
        <f aca="false">Revenue!X147</f>
        <v>5154.88660714286</v>
      </c>
      <c r="BS60" s="2108" t="n">
        <f aca="false">Revenue!Y147</f>
        <v>5426.19642857143</v>
      </c>
      <c r="BT60" s="1888"/>
      <c r="BU60" s="1952" t="str">
        <f aca="false">BG60</f>
        <v>SS-14</v>
      </c>
      <c r="BV60" s="1952" t="n">
        <f aca="false">Revenue!Z115</f>
        <v>18377.75</v>
      </c>
      <c r="BW60" s="1952" t="n">
        <f aca="false">Revenue!AA115</f>
        <v>18377.75</v>
      </c>
      <c r="BX60" s="1953" t="n">
        <f aca="false">Revenue!AB115</f>
        <v>18377.75</v>
      </c>
      <c r="BY60" s="1952" t="n">
        <f aca="false">Revenue!AC115</f>
        <v>18377.75</v>
      </c>
      <c r="BZ60" s="1952" t="n">
        <f aca="false">Revenue!AD115</f>
        <v>18377.75</v>
      </c>
      <c r="CA60" s="1952" t="n">
        <f aca="false">Revenue!AE115</f>
        <v>18377.75</v>
      </c>
      <c r="CB60" s="1952" t="n">
        <f aca="false">Revenue!AF115</f>
        <v>18377.75</v>
      </c>
      <c r="CC60" s="1952" t="n">
        <f aca="false">Revenue!AG115</f>
        <v>18377.75</v>
      </c>
      <c r="CD60" s="1952" t="n">
        <f aca="false">Revenue!AH115</f>
        <v>18377.75</v>
      </c>
      <c r="CE60" s="1952" t="n">
        <f aca="false">Revenue!AI115</f>
        <v>18377.75</v>
      </c>
      <c r="CF60" s="1952" t="n">
        <f aca="false">Revenue!AJ115</f>
        <v>18377.75</v>
      </c>
      <c r="CG60" s="1952" t="n">
        <f aca="false">Revenue!AK115</f>
        <v>18377.75</v>
      </c>
      <c r="CH60" s="1891"/>
      <c r="CI60" s="1954" t="str">
        <f aca="false">BU60</f>
        <v>SS-14</v>
      </c>
      <c r="CJ60" s="1955" t="n">
        <f aca="false">Revenue!AL115</f>
        <v>19909.2291666666</v>
      </c>
      <c r="CK60" s="1955" t="n">
        <f aca="false">Revenue!AM115</f>
        <v>19909.2291666666</v>
      </c>
      <c r="CL60" s="1955" t="n">
        <f aca="false">Revenue!AN115</f>
        <v>19909.2291666666</v>
      </c>
      <c r="CM60" s="1955" t="n">
        <f aca="false">Revenue!AO115</f>
        <v>19909.2291666666</v>
      </c>
      <c r="CN60" s="1955" t="n">
        <f aca="false">Revenue!AP115</f>
        <v>19909.2291666666</v>
      </c>
      <c r="CO60" s="1955" t="n">
        <f aca="false">Revenue!AQ115</f>
        <v>19909.2291666666</v>
      </c>
      <c r="CP60" s="1955" t="n">
        <f aca="false">Revenue!AR115</f>
        <v>19909.2291666666</v>
      </c>
      <c r="CQ60" s="1955" t="n">
        <f aca="false">Revenue!AS115</f>
        <v>19909.2291666666</v>
      </c>
      <c r="CR60" s="1955" t="n">
        <f aca="false">Revenue!AT115</f>
        <v>19909.2291666666</v>
      </c>
      <c r="CS60" s="1955" t="n">
        <f aca="false">Revenue!AU115</f>
        <v>19909.2291666666</v>
      </c>
      <c r="CT60" s="1955" t="n">
        <f aca="false">Revenue!AV115</f>
        <v>19909.2291666666</v>
      </c>
      <c r="CU60" s="1955" t="n">
        <f aca="false">Revenue!AW115</f>
        <v>19909.2291666666</v>
      </c>
      <c r="CV60" s="1888"/>
      <c r="CW60" s="1956" t="str">
        <f aca="false">CI60</f>
        <v>SS-14</v>
      </c>
      <c r="CX60" s="1957" t="n">
        <f aca="false">Revenue!AX115</f>
        <v>21440.7083333333</v>
      </c>
      <c r="CY60" s="1957" t="n">
        <f aca="false">Revenue!AY115</f>
        <v>21440.7083333333</v>
      </c>
      <c r="CZ60" s="1957" t="n">
        <f aca="false">Revenue!AZ115</f>
        <v>21440.7083333333</v>
      </c>
      <c r="DA60" s="1957" t="n">
        <f aca="false">Revenue!BA115</f>
        <v>21440.7083333333</v>
      </c>
      <c r="DB60" s="1957" t="n">
        <f aca="false">Revenue!BB115</f>
        <v>21440.7083333333</v>
      </c>
      <c r="DC60" s="1957" t="n">
        <f aca="false">Revenue!BC115</f>
        <v>21440.7083333333</v>
      </c>
      <c r="DD60" s="1957" t="n">
        <f aca="false">Revenue!BD115</f>
        <v>21440.7083333333</v>
      </c>
      <c r="DE60" s="1957" t="n">
        <f aca="false">Revenue!BE115</f>
        <v>21440.7083333333</v>
      </c>
      <c r="DF60" s="1957" t="n">
        <f aca="false">Revenue!BF115</f>
        <v>21440.7083333333</v>
      </c>
      <c r="DG60" s="1957" t="n">
        <f aca="false">Revenue!BG115</f>
        <v>21440.7083333333</v>
      </c>
      <c r="DH60" s="1957" t="n">
        <f aca="false">Revenue!BH115</f>
        <v>21440.7083333333</v>
      </c>
      <c r="DI60" s="1957" t="n">
        <f aca="false">Revenue!BI115</f>
        <v>21440.7083333333</v>
      </c>
      <c r="DZ60" s="2112"/>
      <c r="EN60" s="2112"/>
      <c r="EO60" s="2112"/>
      <c r="EP60" s="2112"/>
      <c r="EQ60" s="2112"/>
      <c r="ER60" s="2112"/>
      <c r="ES60" s="2112"/>
      <c r="ET60" s="2112"/>
      <c r="EU60" s="2112"/>
      <c r="EV60" s="2112"/>
      <c r="EW60" s="2112"/>
      <c r="EX60" s="2112"/>
      <c r="EY60" s="2112"/>
      <c r="EZ60" s="2112"/>
      <c r="FB60" s="2112"/>
      <c r="FR60" s="2119"/>
      <c r="FS60" s="2119"/>
      <c r="FT60" s="2119"/>
      <c r="FU60" s="2119"/>
      <c r="FV60" s="2119"/>
      <c r="FW60" s="2119"/>
      <c r="FX60" s="2119"/>
      <c r="FY60" s="2119"/>
      <c r="FZ60" s="2119"/>
      <c r="GA60" s="2119"/>
      <c r="GB60" s="2119"/>
      <c r="GC60" s="2119"/>
      <c r="GF60" s="2119"/>
      <c r="GG60" s="2119"/>
      <c r="GH60" s="2119"/>
      <c r="GI60" s="2119"/>
      <c r="GJ60" s="2119"/>
      <c r="GK60" s="2119"/>
      <c r="GL60" s="2119"/>
      <c r="GM60" s="2119"/>
      <c r="GN60" s="2119"/>
      <c r="GO60" s="2119"/>
      <c r="GP60" s="2119"/>
      <c r="GQ60" s="2119"/>
      <c r="GS60" s="2120"/>
      <c r="GT60" s="2119"/>
      <c r="GU60" s="2119"/>
      <c r="GV60" s="2119"/>
      <c r="GW60" s="2119"/>
      <c r="GX60" s="2119"/>
      <c r="GY60" s="2119"/>
      <c r="GZ60" s="2119"/>
      <c r="HA60" s="2119"/>
      <c r="HB60" s="2119"/>
      <c r="HC60" s="2119"/>
      <c r="HD60" s="2119"/>
      <c r="HE60" s="2119"/>
      <c r="HH60" s="2112"/>
      <c r="HI60" s="2112"/>
      <c r="HJ60" s="2112"/>
      <c r="HK60" s="2112"/>
      <c r="HL60" s="2112"/>
      <c r="HM60" s="2112"/>
      <c r="HN60" s="2112"/>
      <c r="HO60" s="2112"/>
      <c r="HP60" s="2112"/>
      <c r="HQ60" s="2112"/>
      <c r="HR60" s="2112"/>
      <c r="HS60" s="2112"/>
    </row>
    <row r="61" s="2111" customFormat="true" ht="10.5" hidden="false" customHeight="true" outlineLevel="0" collapsed="false">
      <c r="A61" s="2121"/>
      <c r="C61" s="2112"/>
      <c r="D61" s="2112"/>
      <c r="E61" s="2112"/>
      <c r="F61" s="2112"/>
      <c r="G61" s="2112"/>
      <c r="H61" s="2112"/>
      <c r="I61" s="2112"/>
      <c r="J61" s="2112"/>
      <c r="K61" s="2112"/>
      <c r="L61" s="2112"/>
      <c r="M61" s="2112"/>
      <c r="N61" s="2112"/>
      <c r="Q61" s="2112"/>
      <c r="R61" s="2112"/>
      <c r="S61" s="2112"/>
      <c r="T61" s="2112"/>
      <c r="U61" s="2112"/>
      <c r="V61" s="2112"/>
      <c r="W61" s="2112"/>
      <c r="X61" s="2112"/>
      <c r="Y61" s="2112"/>
      <c r="Z61" s="2112"/>
      <c r="AA61" s="2112"/>
      <c r="AB61" s="2112"/>
      <c r="AE61" s="2112"/>
      <c r="AF61" s="2112"/>
      <c r="AG61" s="2112"/>
      <c r="AH61" s="2112"/>
      <c r="AI61" s="2112"/>
      <c r="AJ61" s="2112"/>
      <c r="AK61" s="2112"/>
      <c r="AL61" s="2112"/>
      <c r="AM61" s="2112"/>
      <c r="AN61" s="2112"/>
      <c r="AO61" s="2112"/>
      <c r="AP61" s="2112"/>
      <c r="AS61" s="2112"/>
      <c r="AT61" s="2112"/>
      <c r="AU61" s="2112"/>
      <c r="AV61" s="2112"/>
      <c r="AW61" s="2112"/>
      <c r="AX61" s="2112"/>
      <c r="AY61" s="2112"/>
      <c r="AZ61" s="2112"/>
      <c r="BA61" s="2112"/>
      <c r="BB61" s="2112"/>
      <c r="BC61" s="2112"/>
      <c r="BD61" s="2112"/>
      <c r="BF61" s="1885"/>
      <c r="BG61" s="2108" t="str">
        <f aca="false">Revenue!A148</f>
        <v>SS-16</v>
      </c>
      <c r="BH61" s="2109" t="n">
        <f aca="false">Revenue!N148</f>
        <v>1897.853328</v>
      </c>
      <c r="BI61" s="2109" t="n">
        <f aca="false">Revenue!O148</f>
        <v>2108.72592</v>
      </c>
      <c r="BJ61" s="2109" t="n">
        <f aca="false">Revenue!P148</f>
        <v>2319.598512</v>
      </c>
      <c r="BK61" s="2109" t="n">
        <f aca="false">Revenue!Q148</f>
        <v>2530.471104</v>
      </c>
      <c r="BL61" s="2109" t="n">
        <f aca="false">Revenue!R148</f>
        <v>2741.34369599999</v>
      </c>
      <c r="BM61" s="2109" t="n">
        <f aca="false">Revenue!S148</f>
        <v>2952.21628800001</v>
      </c>
      <c r="BN61" s="2109" t="n">
        <f aca="false">Revenue!T148</f>
        <v>3163.08888</v>
      </c>
      <c r="BO61" s="2109" t="n">
        <f aca="false">Revenue!U148</f>
        <v>3373.96147199999</v>
      </c>
      <c r="BP61" s="2109" t="n">
        <f aca="false">Revenue!V148</f>
        <v>3584.83406400001</v>
      </c>
      <c r="BQ61" s="2109" t="n">
        <f aca="false">Revenue!W148</f>
        <v>3795.706656</v>
      </c>
      <c r="BR61" s="2109" t="n">
        <f aca="false">Revenue!X148</f>
        <v>4006.57924799999</v>
      </c>
      <c r="BS61" s="2108" t="n">
        <f aca="false">Revenue!Y148</f>
        <v>4217.45184000001</v>
      </c>
      <c r="BT61" s="1888"/>
      <c r="BU61" s="1952" t="str">
        <f aca="false">BG61</f>
        <v>SS-16</v>
      </c>
      <c r="BV61" s="1952" t="n">
        <f aca="false">Revenue!Z116</f>
        <v>13785.247</v>
      </c>
      <c r="BW61" s="1952" t="n">
        <f aca="false">Revenue!AA116</f>
        <v>13785.247</v>
      </c>
      <c r="BX61" s="1953" t="n">
        <f aca="false">Revenue!AB116</f>
        <v>13785.247</v>
      </c>
      <c r="BY61" s="1952" t="n">
        <f aca="false">Revenue!AC116</f>
        <v>13785.247</v>
      </c>
      <c r="BZ61" s="1952" t="n">
        <f aca="false">Revenue!AD116</f>
        <v>13785.247</v>
      </c>
      <c r="CA61" s="1952" t="n">
        <f aca="false">Revenue!AE116</f>
        <v>13785.247</v>
      </c>
      <c r="CB61" s="1952" t="n">
        <f aca="false">Revenue!AF116</f>
        <v>13785.247</v>
      </c>
      <c r="CC61" s="1952" t="n">
        <f aca="false">Revenue!AG116</f>
        <v>13785.247</v>
      </c>
      <c r="CD61" s="1952" t="n">
        <f aca="false">Revenue!AH116</f>
        <v>13785.247</v>
      </c>
      <c r="CE61" s="1952" t="n">
        <f aca="false">Revenue!AI116</f>
        <v>13785.247</v>
      </c>
      <c r="CF61" s="1952" t="n">
        <f aca="false">Revenue!AJ116</f>
        <v>13785.247</v>
      </c>
      <c r="CG61" s="1952" t="n">
        <f aca="false">Revenue!AK116</f>
        <v>13785.247</v>
      </c>
      <c r="CH61" s="1891"/>
      <c r="CI61" s="1954" t="str">
        <f aca="false">BU61</f>
        <v>SS-16</v>
      </c>
      <c r="CJ61" s="1955" t="n">
        <f aca="false">Revenue!AL116</f>
        <v>14934.0175833334</v>
      </c>
      <c r="CK61" s="1955" t="n">
        <f aca="false">Revenue!AM116</f>
        <v>14934.0175833334</v>
      </c>
      <c r="CL61" s="1955" t="n">
        <f aca="false">Revenue!AN116</f>
        <v>14934.0175833334</v>
      </c>
      <c r="CM61" s="1955" t="n">
        <f aca="false">Revenue!AO116</f>
        <v>14934.0175833334</v>
      </c>
      <c r="CN61" s="1955" t="n">
        <f aca="false">Revenue!AP116</f>
        <v>14934.0175833334</v>
      </c>
      <c r="CO61" s="1955" t="n">
        <f aca="false">Revenue!AQ116</f>
        <v>14934.0175833334</v>
      </c>
      <c r="CP61" s="1955" t="n">
        <f aca="false">Revenue!AR116</f>
        <v>14934.0175833334</v>
      </c>
      <c r="CQ61" s="1955" t="n">
        <f aca="false">Revenue!AS116</f>
        <v>14934.0175833334</v>
      </c>
      <c r="CR61" s="1955" t="n">
        <f aca="false">Revenue!AT116</f>
        <v>14934.0175833334</v>
      </c>
      <c r="CS61" s="1955" t="n">
        <f aca="false">Revenue!AU116</f>
        <v>14934.0175833334</v>
      </c>
      <c r="CT61" s="1955" t="n">
        <f aca="false">Revenue!AV116</f>
        <v>14934.0175833334</v>
      </c>
      <c r="CU61" s="1955" t="n">
        <f aca="false">Revenue!AW116</f>
        <v>14934.0175833334</v>
      </c>
      <c r="CV61" s="1888"/>
      <c r="CW61" s="1956" t="str">
        <f aca="false">CI61</f>
        <v>SS-16</v>
      </c>
      <c r="CX61" s="1957" t="n">
        <f aca="false">Revenue!AX116</f>
        <v>16082.7881666667</v>
      </c>
      <c r="CY61" s="1957" t="n">
        <f aca="false">Revenue!AY116</f>
        <v>16082.7881666667</v>
      </c>
      <c r="CZ61" s="1957" t="n">
        <f aca="false">Revenue!AZ116</f>
        <v>16082.7881666667</v>
      </c>
      <c r="DA61" s="1957" t="n">
        <f aca="false">Revenue!BA116</f>
        <v>16082.7881666667</v>
      </c>
      <c r="DB61" s="1957" t="n">
        <f aca="false">Revenue!BB116</f>
        <v>16082.7881666667</v>
      </c>
      <c r="DC61" s="1957" t="n">
        <f aca="false">Revenue!BC116</f>
        <v>16082.7881666667</v>
      </c>
      <c r="DD61" s="1957" t="n">
        <f aca="false">Revenue!BD116</f>
        <v>16082.7881666667</v>
      </c>
      <c r="DE61" s="1957" t="n">
        <f aca="false">Revenue!BE116</f>
        <v>16082.7881666667</v>
      </c>
      <c r="DF61" s="1957" t="n">
        <f aca="false">Revenue!BF116</f>
        <v>16082.7881666667</v>
      </c>
      <c r="DG61" s="1957" t="n">
        <f aca="false">Revenue!BG116</f>
        <v>16082.7881666667</v>
      </c>
      <c r="DH61" s="1957" t="n">
        <f aca="false">Revenue!BH116</f>
        <v>16082.7881666667</v>
      </c>
      <c r="DI61" s="1957" t="n">
        <f aca="false">Revenue!BI116</f>
        <v>16082.7881666667</v>
      </c>
      <c r="DZ61" s="2112"/>
      <c r="EN61" s="2112"/>
      <c r="EO61" s="2112"/>
      <c r="EP61" s="2112"/>
      <c r="EQ61" s="2112"/>
      <c r="ER61" s="2112"/>
      <c r="ES61" s="2112"/>
      <c r="ET61" s="2112"/>
      <c r="EU61" s="2112"/>
      <c r="EV61" s="2112"/>
      <c r="EW61" s="2112"/>
      <c r="EX61" s="2112"/>
      <c r="EY61" s="2112"/>
      <c r="EZ61" s="2112"/>
      <c r="FB61" s="2112"/>
      <c r="FR61" s="2119"/>
      <c r="FS61" s="2119"/>
      <c r="FT61" s="2119"/>
      <c r="FU61" s="2119"/>
      <c r="FV61" s="2119"/>
      <c r="FW61" s="2119"/>
      <c r="FX61" s="2119"/>
      <c r="FY61" s="2119"/>
      <c r="FZ61" s="2119"/>
      <c r="GA61" s="2119"/>
      <c r="GB61" s="2119"/>
      <c r="GC61" s="2119"/>
      <c r="GF61" s="2119"/>
      <c r="GG61" s="2119"/>
      <c r="GH61" s="2119"/>
      <c r="GI61" s="2119"/>
      <c r="GJ61" s="2119"/>
      <c r="GK61" s="2119"/>
      <c r="GL61" s="2119"/>
      <c r="GM61" s="2119"/>
      <c r="GN61" s="2119"/>
      <c r="GO61" s="2119"/>
      <c r="GP61" s="2119"/>
      <c r="GQ61" s="2119"/>
      <c r="GS61" s="2120"/>
      <c r="GT61" s="2119"/>
      <c r="GU61" s="2119"/>
      <c r="GV61" s="2119"/>
      <c r="GW61" s="2119"/>
      <c r="GX61" s="2119"/>
      <c r="GY61" s="2119"/>
      <c r="GZ61" s="2119"/>
      <c r="HA61" s="2119"/>
      <c r="HB61" s="2119"/>
      <c r="HC61" s="2119"/>
      <c r="HD61" s="2119"/>
      <c r="HE61" s="2119"/>
      <c r="HH61" s="2112"/>
      <c r="HI61" s="2112"/>
      <c r="HJ61" s="2112"/>
      <c r="HK61" s="2112"/>
      <c r="HL61" s="2112"/>
      <c r="HM61" s="2112"/>
      <c r="HN61" s="2112"/>
      <c r="HO61" s="2112"/>
      <c r="HP61" s="2112"/>
      <c r="HQ61" s="2112"/>
      <c r="HR61" s="2112"/>
      <c r="HS61" s="2112"/>
    </row>
    <row r="62" s="2111" customFormat="true" ht="10.5" hidden="false" customHeight="true" outlineLevel="0" collapsed="false">
      <c r="A62" s="2121"/>
      <c r="C62" s="2112"/>
      <c r="D62" s="2112"/>
      <c r="E62" s="2112"/>
      <c r="F62" s="2112"/>
      <c r="G62" s="2112"/>
      <c r="H62" s="2112"/>
      <c r="I62" s="2112"/>
      <c r="J62" s="2112"/>
      <c r="K62" s="2112"/>
      <c r="L62" s="2112"/>
      <c r="M62" s="2112"/>
      <c r="N62" s="2112"/>
      <c r="Q62" s="2112"/>
      <c r="R62" s="2112"/>
      <c r="S62" s="2112"/>
      <c r="T62" s="2112"/>
      <c r="U62" s="2112"/>
      <c r="V62" s="2112"/>
      <c r="W62" s="2112"/>
      <c r="X62" s="2112"/>
      <c r="Y62" s="2112"/>
      <c r="Z62" s="2112"/>
      <c r="AA62" s="2112"/>
      <c r="AB62" s="2112"/>
      <c r="AE62" s="2112"/>
      <c r="AF62" s="2112"/>
      <c r="AG62" s="2112"/>
      <c r="AH62" s="2112"/>
      <c r="AI62" s="2112"/>
      <c r="AJ62" s="2112"/>
      <c r="AK62" s="2112"/>
      <c r="AL62" s="2112"/>
      <c r="AM62" s="2112"/>
      <c r="AN62" s="2112"/>
      <c r="AO62" s="2112"/>
      <c r="AP62" s="2112"/>
      <c r="AS62" s="2112"/>
      <c r="AT62" s="2112"/>
      <c r="AU62" s="2112"/>
      <c r="AV62" s="2112"/>
      <c r="AW62" s="2112"/>
      <c r="AX62" s="2112"/>
      <c r="AY62" s="2112"/>
      <c r="AZ62" s="2112"/>
      <c r="BA62" s="2112"/>
      <c r="BB62" s="2112"/>
      <c r="BC62" s="2112"/>
      <c r="BD62" s="2112"/>
      <c r="BF62" s="1885"/>
      <c r="BG62" s="2108" t="str">
        <f aca="false">Revenue!A149</f>
        <v>SS-18</v>
      </c>
      <c r="BH62" s="2109" t="n">
        <f aca="false">Revenue!N149</f>
        <v>650.21616</v>
      </c>
      <c r="BI62" s="2109" t="n">
        <f aca="false">Revenue!O149</f>
        <v>722.462399999999</v>
      </c>
      <c r="BJ62" s="2109" t="n">
        <f aca="false">Revenue!P149</f>
        <v>794.708639999999</v>
      </c>
      <c r="BK62" s="2109" t="n">
        <f aca="false">Revenue!Q149</f>
        <v>866.954879999998</v>
      </c>
      <c r="BL62" s="2109" t="n">
        <f aca="false">Revenue!R149</f>
        <v>939.20112</v>
      </c>
      <c r="BM62" s="2109" t="n">
        <f aca="false">Revenue!S149</f>
        <v>1011.44736</v>
      </c>
      <c r="BN62" s="2109" t="n">
        <f aca="false">Revenue!T149</f>
        <v>1083.6936</v>
      </c>
      <c r="BO62" s="2109" t="n">
        <f aca="false">Revenue!U149</f>
        <v>1155.93984</v>
      </c>
      <c r="BP62" s="2109" t="n">
        <f aca="false">Revenue!V149</f>
        <v>1228.18608</v>
      </c>
      <c r="BQ62" s="2109" t="n">
        <f aca="false">Revenue!W149</f>
        <v>1300.43232</v>
      </c>
      <c r="BR62" s="2109" t="n">
        <f aca="false">Revenue!X149</f>
        <v>1372.67856</v>
      </c>
      <c r="BS62" s="2108" t="n">
        <f aca="false">Revenue!Y149</f>
        <v>1444.9248</v>
      </c>
      <c r="BT62" s="1888"/>
      <c r="BU62" s="1952" t="str">
        <f aca="false">BG62</f>
        <v>SS-18</v>
      </c>
      <c r="BV62" s="1952" t="n">
        <f aca="false">Revenue!Z117</f>
        <v>4596.372</v>
      </c>
      <c r="BW62" s="1952" t="n">
        <f aca="false">Revenue!AA117</f>
        <v>4596.372</v>
      </c>
      <c r="BX62" s="1953" t="n">
        <f aca="false">Revenue!AB117</f>
        <v>4596.372</v>
      </c>
      <c r="BY62" s="1952" t="n">
        <f aca="false">Revenue!AC117</f>
        <v>4596.372</v>
      </c>
      <c r="BZ62" s="1952" t="n">
        <f aca="false">Revenue!AD117</f>
        <v>4596.372</v>
      </c>
      <c r="CA62" s="1952" t="n">
        <f aca="false">Revenue!AE117</f>
        <v>4596.372</v>
      </c>
      <c r="CB62" s="1952" t="n">
        <f aca="false">Revenue!AF117</f>
        <v>4596.372</v>
      </c>
      <c r="CC62" s="1952" t="n">
        <f aca="false">Revenue!AG117</f>
        <v>4596.372</v>
      </c>
      <c r="CD62" s="1952" t="n">
        <f aca="false">Revenue!AH117</f>
        <v>4596.372</v>
      </c>
      <c r="CE62" s="1952" t="n">
        <f aca="false">Revenue!AI117</f>
        <v>4596.372</v>
      </c>
      <c r="CF62" s="1952" t="n">
        <f aca="false">Revenue!AJ117</f>
        <v>4596.372</v>
      </c>
      <c r="CG62" s="1952" t="n">
        <f aca="false">Revenue!AK117</f>
        <v>4596.372</v>
      </c>
      <c r="CH62" s="1891"/>
      <c r="CI62" s="1954" t="str">
        <f aca="false">BU62</f>
        <v>SS-18</v>
      </c>
      <c r="CJ62" s="1955" t="n">
        <f aca="false">Revenue!AL117</f>
        <v>4979.403</v>
      </c>
      <c r="CK62" s="1955" t="n">
        <f aca="false">Revenue!AM117</f>
        <v>4979.403</v>
      </c>
      <c r="CL62" s="1955" t="n">
        <f aca="false">Revenue!AN117</f>
        <v>4979.403</v>
      </c>
      <c r="CM62" s="1955" t="n">
        <f aca="false">Revenue!AO117</f>
        <v>4979.403</v>
      </c>
      <c r="CN62" s="1955" t="n">
        <f aca="false">Revenue!AP117</f>
        <v>4979.403</v>
      </c>
      <c r="CO62" s="1955" t="n">
        <f aca="false">Revenue!AQ117</f>
        <v>4979.403</v>
      </c>
      <c r="CP62" s="1955" t="n">
        <f aca="false">Revenue!AR117</f>
        <v>4979.403</v>
      </c>
      <c r="CQ62" s="1955" t="n">
        <f aca="false">Revenue!AS117</f>
        <v>4979.403</v>
      </c>
      <c r="CR62" s="1955" t="n">
        <f aca="false">Revenue!AT117</f>
        <v>4979.403</v>
      </c>
      <c r="CS62" s="1955" t="n">
        <f aca="false">Revenue!AU117</f>
        <v>4979.403</v>
      </c>
      <c r="CT62" s="1955" t="n">
        <f aca="false">Revenue!AV117</f>
        <v>4979.403</v>
      </c>
      <c r="CU62" s="1955" t="n">
        <f aca="false">Revenue!AW117</f>
        <v>4979.403</v>
      </c>
      <c r="CV62" s="1888"/>
      <c r="CW62" s="1956" t="str">
        <f aca="false">CI62</f>
        <v>SS-18</v>
      </c>
      <c r="CX62" s="1957" t="n">
        <f aca="false">Revenue!AX117</f>
        <v>5362.434</v>
      </c>
      <c r="CY62" s="1957" t="n">
        <f aca="false">Revenue!AY117</f>
        <v>5362.434</v>
      </c>
      <c r="CZ62" s="1957" t="n">
        <f aca="false">Revenue!AZ117</f>
        <v>5362.434</v>
      </c>
      <c r="DA62" s="1957" t="n">
        <f aca="false">Revenue!BA117</f>
        <v>5362.434</v>
      </c>
      <c r="DB62" s="1957" t="n">
        <f aca="false">Revenue!BB117</f>
        <v>5362.434</v>
      </c>
      <c r="DC62" s="1957" t="n">
        <f aca="false">Revenue!BC117</f>
        <v>5362.434</v>
      </c>
      <c r="DD62" s="1957" t="n">
        <f aca="false">Revenue!BD117</f>
        <v>5362.434</v>
      </c>
      <c r="DE62" s="1957" t="n">
        <f aca="false">Revenue!BE117</f>
        <v>5362.434</v>
      </c>
      <c r="DF62" s="1957" t="n">
        <f aca="false">Revenue!BF117</f>
        <v>5362.434</v>
      </c>
      <c r="DG62" s="1957" t="n">
        <f aca="false">Revenue!BG117</f>
        <v>5362.434</v>
      </c>
      <c r="DH62" s="1957" t="n">
        <f aca="false">Revenue!BH117</f>
        <v>5362.434</v>
      </c>
      <c r="DI62" s="1957" t="n">
        <f aca="false">Revenue!BI117</f>
        <v>5362.434</v>
      </c>
      <c r="DZ62" s="2112"/>
      <c r="EN62" s="2112"/>
      <c r="EO62" s="2112"/>
      <c r="EP62" s="2112"/>
      <c r="EQ62" s="2112"/>
      <c r="ER62" s="2112"/>
      <c r="ES62" s="2112"/>
      <c r="ET62" s="2112"/>
      <c r="EU62" s="2112"/>
      <c r="EV62" s="2112"/>
      <c r="EW62" s="2112"/>
      <c r="EX62" s="2112"/>
      <c r="EY62" s="2112"/>
      <c r="EZ62" s="2112"/>
      <c r="FB62" s="2112"/>
      <c r="FR62" s="2119"/>
      <c r="FS62" s="2119"/>
      <c r="FT62" s="2119"/>
      <c r="FU62" s="2119"/>
      <c r="FV62" s="2119"/>
      <c r="FW62" s="2119"/>
      <c r="FX62" s="2119"/>
      <c r="FY62" s="2119"/>
      <c r="FZ62" s="2119"/>
      <c r="GA62" s="2119"/>
      <c r="GB62" s="2119"/>
      <c r="GC62" s="2119"/>
      <c r="GF62" s="2119"/>
      <c r="GG62" s="2119"/>
      <c r="GH62" s="2119"/>
      <c r="GI62" s="2119"/>
      <c r="GJ62" s="2119"/>
      <c r="GK62" s="2119"/>
      <c r="GL62" s="2119"/>
      <c r="GM62" s="2119"/>
      <c r="GN62" s="2119"/>
      <c r="GO62" s="2119"/>
      <c r="GP62" s="2119"/>
      <c r="GQ62" s="2119"/>
      <c r="GS62" s="2120"/>
      <c r="GT62" s="2119"/>
      <c r="GU62" s="2119"/>
      <c r="GV62" s="2119"/>
      <c r="GW62" s="2119"/>
      <c r="GX62" s="2119"/>
      <c r="GY62" s="2119"/>
      <c r="GZ62" s="2119"/>
      <c r="HA62" s="2119"/>
      <c r="HB62" s="2119"/>
      <c r="HC62" s="2119"/>
      <c r="HD62" s="2119"/>
      <c r="HE62" s="2119"/>
      <c r="HH62" s="2112"/>
      <c r="HI62" s="2112"/>
      <c r="HJ62" s="2112"/>
      <c r="HK62" s="2112"/>
      <c r="HL62" s="2112"/>
      <c r="HM62" s="2112"/>
      <c r="HN62" s="2112"/>
      <c r="HO62" s="2112"/>
      <c r="HP62" s="2112"/>
      <c r="HQ62" s="2112"/>
      <c r="HR62" s="2112"/>
      <c r="HS62" s="2112"/>
    </row>
    <row r="63" customFormat="false" ht="10.5" hidden="false" customHeight="true" outlineLevel="0" collapsed="false">
      <c r="BF63" s="1885"/>
      <c r="BG63" s="2129" t="str">
        <f aca="false">Revenue!A150</f>
        <v>Subtotal Cost of Revenue</v>
      </c>
      <c r="BH63" s="2130" t="n">
        <f aca="false">Revenue!N150</f>
        <v>1322485.07428264</v>
      </c>
      <c r="BI63" s="2130" t="n">
        <f aca="false">Revenue!O150</f>
        <v>1469427.86031405</v>
      </c>
      <c r="BJ63" s="2130" t="n">
        <f aca="false">Revenue!P150</f>
        <v>1616370.64634545</v>
      </c>
      <c r="BK63" s="2130" t="n">
        <f aca="false">Revenue!Q150</f>
        <v>1763313.43237686</v>
      </c>
      <c r="BL63" s="2130" t="n">
        <f aca="false">Revenue!R150</f>
        <v>1910256.21840826</v>
      </c>
      <c r="BM63" s="2130" t="n">
        <f aca="false">Revenue!S150</f>
        <v>2057199.00443967</v>
      </c>
      <c r="BN63" s="2130" t="n">
        <f aca="false">Revenue!T150</f>
        <v>2204141.79047107</v>
      </c>
      <c r="BO63" s="2130" t="n">
        <f aca="false">Revenue!U150</f>
        <v>2351084.57650248</v>
      </c>
      <c r="BP63" s="2130" t="n">
        <f aca="false">Revenue!V150</f>
        <v>2498027.36253388</v>
      </c>
      <c r="BQ63" s="2130" t="n">
        <f aca="false">Revenue!W150</f>
        <v>2644970.14856529</v>
      </c>
      <c r="BR63" s="2130" t="n">
        <f aca="false">Revenue!X150</f>
        <v>2791912.93459669</v>
      </c>
      <c r="BS63" s="2129" t="n">
        <f aca="false">Revenue!Y150</f>
        <v>2938855.7206281</v>
      </c>
      <c r="BT63" s="1888"/>
      <c r="BU63" s="2129" t="str">
        <f aca="false">BG63</f>
        <v>Subtotal Cost of Revenue</v>
      </c>
      <c r="BV63" s="2129" t="n">
        <f aca="false">Revenue!Z118</f>
        <v>13928403.869</v>
      </c>
      <c r="BW63" s="2129" t="n">
        <f aca="false">Revenue!AA118</f>
        <v>13928403.869</v>
      </c>
      <c r="BX63" s="2131" t="n">
        <f aca="false">Revenue!AB118</f>
        <v>13928403.869</v>
      </c>
      <c r="BY63" s="2129" t="n">
        <f aca="false">Revenue!AC118</f>
        <v>13928403.869</v>
      </c>
      <c r="BZ63" s="2129" t="n">
        <f aca="false">Revenue!AD118</f>
        <v>13928403.869</v>
      </c>
      <c r="CA63" s="2129" t="n">
        <f aca="false">Revenue!AE118</f>
        <v>13928403.869</v>
      </c>
      <c r="CB63" s="2129" t="n">
        <f aca="false">Revenue!AF118</f>
        <v>13928403.869</v>
      </c>
      <c r="CC63" s="2129" t="n">
        <f aca="false">Revenue!AG118</f>
        <v>13928403.869</v>
      </c>
      <c r="CD63" s="2129" t="n">
        <f aca="false">Revenue!AH118</f>
        <v>13928403.869</v>
      </c>
      <c r="CE63" s="2129" t="n">
        <f aca="false">Revenue!AI118</f>
        <v>13928403.869</v>
      </c>
      <c r="CF63" s="2129" t="n">
        <f aca="false">Revenue!AJ118</f>
        <v>13928403.869</v>
      </c>
      <c r="CG63" s="2129" t="n">
        <f aca="false">Revenue!AK118</f>
        <v>13928403.869</v>
      </c>
      <c r="CH63" s="1891"/>
      <c r="CI63" s="2102" t="str">
        <f aca="false">BU63</f>
        <v>Subtotal Cost of Revenue</v>
      </c>
      <c r="CJ63" s="2103" t="n">
        <f aca="false">Revenue!AL118</f>
        <v>15089104.1914167</v>
      </c>
      <c r="CK63" s="2103" t="n">
        <f aca="false">Revenue!AM118</f>
        <v>15089104.1914167</v>
      </c>
      <c r="CL63" s="2103" t="n">
        <f aca="false">Revenue!AN118</f>
        <v>15089104.1914167</v>
      </c>
      <c r="CM63" s="2103" t="n">
        <f aca="false">Revenue!AO118</f>
        <v>15089104.1914167</v>
      </c>
      <c r="CN63" s="2103" t="n">
        <f aca="false">Revenue!AP118</f>
        <v>15089104.1914167</v>
      </c>
      <c r="CO63" s="2103" t="n">
        <f aca="false">Revenue!AQ118</f>
        <v>15089104.1914167</v>
      </c>
      <c r="CP63" s="2103" t="n">
        <f aca="false">Revenue!AR118</f>
        <v>15089104.1914167</v>
      </c>
      <c r="CQ63" s="2103" t="n">
        <f aca="false">Revenue!AS118</f>
        <v>15089104.1914167</v>
      </c>
      <c r="CR63" s="2103" t="n">
        <f aca="false">Revenue!AT118</f>
        <v>15089104.1914167</v>
      </c>
      <c r="CS63" s="2103" t="n">
        <f aca="false">Revenue!AU118</f>
        <v>15089104.1914167</v>
      </c>
      <c r="CT63" s="2103" t="n">
        <f aca="false">Revenue!AV118</f>
        <v>15089104.1914167</v>
      </c>
      <c r="CU63" s="2103" t="n">
        <f aca="false">Revenue!AW118</f>
        <v>15089104.1914167</v>
      </c>
      <c r="CV63" s="1888"/>
      <c r="CW63" s="2130" t="str">
        <f aca="false">CI63</f>
        <v>Subtotal Cost of Revenue</v>
      </c>
      <c r="CX63" s="2129" t="n">
        <f aca="false">Revenue!AX118</f>
        <v>16249804.5138333</v>
      </c>
      <c r="CY63" s="2129" t="n">
        <f aca="false">Revenue!AY118</f>
        <v>16249804.5138333</v>
      </c>
      <c r="CZ63" s="2129" t="n">
        <f aca="false">Revenue!AZ118</f>
        <v>16249804.5138333</v>
      </c>
      <c r="DA63" s="2129" t="n">
        <f aca="false">Revenue!BA118</f>
        <v>16249804.5138333</v>
      </c>
      <c r="DB63" s="2129" t="n">
        <f aca="false">Revenue!BB118</f>
        <v>16249804.5138333</v>
      </c>
      <c r="DC63" s="2129" t="n">
        <f aca="false">Revenue!BC118</f>
        <v>16249804.5138333</v>
      </c>
      <c r="DD63" s="2129" t="n">
        <f aca="false">Revenue!BD118</f>
        <v>16249804.5138333</v>
      </c>
      <c r="DE63" s="2129" t="n">
        <f aca="false">Revenue!BE118</f>
        <v>16249804.5138333</v>
      </c>
      <c r="DF63" s="2129" t="n">
        <f aca="false">Revenue!BF118</f>
        <v>16249804.5138333</v>
      </c>
      <c r="DG63" s="2129" t="n">
        <f aca="false">Revenue!BG118</f>
        <v>16249804.5138333</v>
      </c>
      <c r="DH63" s="2129" t="n">
        <f aca="false">Revenue!BH118</f>
        <v>16249804.5138333</v>
      </c>
      <c r="DI63" s="2129" t="n">
        <f aca="false">Revenue!BI118</f>
        <v>16249804.5138333</v>
      </c>
    </row>
    <row r="64" customFormat="false" ht="10.5" hidden="false" customHeight="true" outlineLevel="0" collapsed="false">
      <c r="BF64" s="1134" t="s">
        <v>2515</v>
      </c>
      <c r="BG64" s="2132"/>
      <c r="BT64" s="1134" t="s">
        <v>2515</v>
      </c>
      <c r="BV64" s="2133"/>
      <c r="BW64" s="2133"/>
      <c r="BX64" s="2133"/>
      <c r="BY64" s="2133"/>
      <c r="BZ64" s="2133"/>
      <c r="CA64" s="2133"/>
      <c r="CB64" s="2133"/>
      <c r="CC64" s="2133"/>
      <c r="CD64" s="2133"/>
      <c r="CE64" s="2133"/>
      <c r="CF64" s="2133"/>
      <c r="CG64" s="2133"/>
      <c r="CJ64" s="2133"/>
      <c r="CK64" s="2133"/>
      <c r="CL64" s="2133"/>
      <c r="CM64" s="2133"/>
      <c r="CN64" s="2133"/>
      <c r="CO64" s="2133"/>
      <c r="CP64" s="2133"/>
      <c r="CQ64" s="2133"/>
      <c r="CR64" s="2133"/>
      <c r="CS64" s="2133"/>
      <c r="CT64" s="2133"/>
      <c r="CU64" s="2133"/>
    </row>
    <row r="65" customFormat="false" ht="10.5" hidden="false" customHeight="true" outlineLevel="0" collapsed="false">
      <c r="BG65" s="2132"/>
    </row>
    <row r="66" customFormat="false" ht="10.5" hidden="false" customHeight="true" outlineLevel="0" collapsed="false">
      <c r="BG66" s="2132"/>
    </row>
    <row r="67" customFormat="false" ht="10.5" hidden="false" customHeight="true" outlineLevel="0" collapsed="false">
      <c r="BG67" s="2132"/>
    </row>
    <row r="68" customFormat="false" ht="10.5" hidden="false" customHeight="true" outlineLevel="0" collapsed="false">
      <c r="BG68" s="2132"/>
    </row>
    <row r="69" customFormat="false" ht="10.5" hidden="false" customHeight="true" outlineLevel="0" collapsed="false">
      <c r="BG69" s="2132"/>
    </row>
    <row r="70" customFormat="false" ht="10.5" hidden="false" customHeight="true" outlineLevel="0" collapsed="false">
      <c r="BG70" s="2132"/>
    </row>
    <row r="71" customFormat="false" ht="10.5" hidden="false" customHeight="true" outlineLevel="0" collapsed="false">
      <c r="BG71" s="2132"/>
    </row>
    <row r="72" customFormat="false" ht="10.5" hidden="false" customHeight="true" outlineLevel="0" collapsed="false">
      <c r="BG72" s="2132"/>
    </row>
    <row r="73" customFormat="false" ht="10.5" hidden="false" customHeight="true" outlineLevel="0" collapsed="false">
      <c r="BG73" s="2132"/>
    </row>
    <row r="74" customFormat="false" ht="10.5" hidden="false" customHeight="true" outlineLevel="0" collapsed="false">
      <c r="BG74" s="2132"/>
    </row>
    <row r="75" customFormat="false" ht="10.5" hidden="false" customHeight="true" outlineLevel="0" collapsed="false">
      <c r="BG75" s="2132"/>
    </row>
    <row r="76" customFormat="false" ht="10.5" hidden="false" customHeight="true" outlineLevel="0" collapsed="false">
      <c r="BG76" s="2132"/>
    </row>
  </sheetData>
  <mergeCells count="16">
    <mergeCell ref="A1:A38"/>
    <mergeCell ref="O1:O38"/>
    <mergeCell ref="AC1:AC38"/>
    <mergeCell ref="AQ1:AQ38"/>
    <mergeCell ref="BF1:BF63"/>
    <mergeCell ref="BT1:BT63"/>
    <mergeCell ref="CH1:CH63"/>
    <mergeCell ref="CV1:CV63"/>
    <mergeCell ref="DK1:DK37"/>
    <mergeCell ref="DY1:DY37"/>
    <mergeCell ref="EM1:EM37"/>
    <mergeCell ref="FA1:FA37"/>
    <mergeCell ref="FP1:FP31"/>
    <mergeCell ref="GD1:GD31"/>
    <mergeCell ref="GR1:GR31"/>
    <mergeCell ref="HF1:HF31"/>
  </mergeCells>
  <printOptions headings="false" gridLines="false" gridLinesSet="true" horizontalCentered="false" verticalCentered="false"/>
  <pageMargins left="0.75" right="0.75" top="0.861111111111111" bottom="1" header="0.511811023622047" footer="0.5"/>
  <pageSetup paperSize="1" scale="100" fitToWidth="1" fitToHeight="0" pageOrder="downThenOver" orientation="landscape" blackAndWhite="false" draft="false" cellComments="none" horizontalDpi="300" verticalDpi="300" copies="1"/>
  <headerFooter differentFirst="false" differentOddEven="false">
    <oddHeader/>
    <oddFooter>&amp;CPro Forma Profit/Loss Monthlies</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9900"/>
    <pageSetUpPr fitToPage="true"/>
  </sheetPr>
  <dimension ref="A1:DI60"/>
  <sheetViews>
    <sheetView showFormulas="false" showGridLines="true" showRowColHeaders="true" showZeros="true" rightToLeft="false" tabSelected="false" showOutlineSymbols="true" defaultGridColor="true" view="normal" topLeftCell="CE1" colorId="64" zoomScale="100" zoomScaleNormal="100" zoomScalePageLayoutView="100" workbookViewId="0">
      <selection pane="topLeft" activeCell="CZ49" activeCellId="0" sqref="CZ49"/>
    </sheetView>
  </sheetViews>
  <sheetFormatPr defaultColWidth="9.18359375" defaultRowHeight="10.5" customHeight="true" zeroHeight="false" outlineLevelRow="0" outlineLevelCol="0"/>
  <cols>
    <col collapsed="false" customWidth="true" hidden="false" outlineLevel="0" max="1" min="1" style="1520" width="4.82"/>
    <col collapsed="false" customWidth="true" hidden="false" outlineLevel="0" max="2" min="2" style="1134" width="22.45"/>
    <col collapsed="false" customWidth="false" hidden="false" outlineLevel="0" max="13" min="3" style="1134" width="9.18"/>
    <col collapsed="false" customWidth="true" hidden="false" outlineLevel="0" max="14" min="14" style="1134" width="10.18"/>
    <col collapsed="false" customWidth="true" hidden="false" outlineLevel="0" max="15" min="15" style="1134" width="4.45"/>
    <col collapsed="false" customWidth="true" hidden="false" outlineLevel="0" max="16" min="16" style="1134" width="22.45"/>
    <col collapsed="false" customWidth="false" hidden="false" outlineLevel="0" max="27" min="17" style="1134" width="9.18"/>
    <col collapsed="false" customWidth="true" hidden="false" outlineLevel="0" max="28" min="28" style="1134" width="10.54"/>
    <col collapsed="false" customWidth="true" hidden="false" outlineLevel="0" max="29" min="29" style="1134" width="4.45"/>
    <col collapsed="false" customWidth="true" hidden="false" outlineLevel="0" max="30" min="30" style="1134" width="22.45"/>
    <col collapsed="false" customWidth="false" hidden="false" outlineLevel="0" max="41" min="31" style="1134" width="9.18"/>
    <col collapsed="false" customWidth="true" hidden="false" outlineLevel="0" max="42" min="42" style="1134" width="10.73"/>
    <col collapsed="false" customWidth="true" hidden="false" outlineLevel="0" max="43" min="43" style="1134" width="4.45"/>
    <col collapsed="false" customWidth="true" hidden="false" outlineLevel="0" max="44" min="44" style="1134" width="24.73"/>
    <col collapsed="false" customWidth="true" hidden="false" outlineLevel="0" max="55" min="45" style="1134" width="10.18"/>
    <col collapsed="false" customWidth="true" hidden="false" outlineLevel="0" max="56" min="56" style="1134" width="11.82"/>
    <col collapsed="false" customWidth="false" hidden="false" outlineLevel="0" max="57" min="57" style="1134" width="9.18"/>
    <col collapsed="false" customWidth="true" hidden="false" outlineLevel="0" max="58" min="58" style="1134" width="4.45"/>
    <col collapsed="false" customWidth="true" hidden="false" outlineLevel="0" max="59" min="59" style="1134" width="18.45"/>
    <col collapsed="false" customWidth="true" hidden="false" outlineLevel="0" max="71" min="60" style="1134" width="8.45"/>
    <col collapsed="false" customWidth="true" hidden="false" outlineLevel="0" max="72" min="72" style="1134" width="4"/>
    <col collapsed="false" customWidth="true" hidden="false" outlineLevel="0" max="73" min="73" style="1134" width="18.45"/>
    <col collapsed="false" customWidth="true" hidden="false" outlineLevel="0" max="85" min="74" style="1134" width="8.45"/>
    <col collapsed="false" customWidth="true" hidden="false" outlineLevel="0" max="86" min="86" style="1134" width="4.45"/>
    <col collapsed="false" customWidth="true" hidden="false" outlineLevel="0" max="87" min="87" style="1134" width="18.45"/>
    <col collapsed="false" customWidth="true" hidden="false" outlineLevel="0" max="95" min="88" style="1134" width="8.45"/>
    <col collapsed="false" customWidth="false" hidden="false" outlineLevel="0" max="99" min="96" style="1134" width="9.18"/>
    <col collapsed="false" customWidth="true" hidden="false" outlineLevel="0" max="100" min="100" style="1134" width="4.45"/>
    <col collapsed="false" customWidth="true" hidden="false" outlineLevel="0" max="101" min="101" style="1134" width="18.45"/>
    <col collapsed="false" customWidth="false" hidden="false" outlineLevel="0" max="16384" min="102" style="1134" width="9.18"/>
  </cols>
  <sheetData>
    <row r="1" customFormat="false" ht="11.25" hidden="false" customHeight="true" outlineLevel="0" collapsed="false">
      <c r="A1" s="1157" t="s">
        <v>2516</v>
      </c>
      <c r="B1" s="1147"/>
      <c r="C1" s="1883" t="str">
        <f aca="false">'Cash Flow'!N23</f>
        <v>Month 13</v>
      </c>
      <c r="D1" s="1883" t="str">
        <f aca="false">'Cash Flow'!O23</f>
        <v>Month 14</v>
      </c>
      <c r="E1" s="1883" t="str">
        <f aca="false">'Cash Flow'!P23</f>
        <v>Month 15</v>
      </c>
      <c r="F1" s="1883" t="str">
        <f aca="false">'Cash Flow'!Q23</f>
        <v>Month 16</v>
      </c>
      <c r="G1" s="1883" t="str">
        <f aca="false">'Cash Flow'!R23</f>
        <v>Month 17</v>
      </c>
      <c r="H1" s="1883" t="str">
        <f aca="false">'Cash Flow'!S23</f>
        <v>Month 18</v>
      </c>
      <c r="I1" s="1883" t="str">
        <f aca="false">'Cash Flow'!T23</f>
        <v>Month 19</v>
      </c>
      <c r="J1" s="1883" t="str">
        <f aca="false">'Cash Flow'!U23</f>
        <v>Month 20</v>
      </c>
      <c r="K1" s="1883" t="str">
        <f aca="false">'Cash Flow'!V23</f>
        <v>Month 21</v>
      </c>
      <c r="L1" s="1883" t="str">
        <f aca="false">'Cash Flow'!W23</f>
        <v>Month 22</v>
      </c>
      <c r="M1" s="1883" t="str">
        <f aca="false">'Cash Flow'!X23</f>
        <v>Month 23</v>
      </c>
      <c r="N1" s="2134" t="str">
        <f aca="false">'Cash Flow'!Y23</f>
        <v>Month 24</v>
      </c>
      <c r="O1" s="2135" t="s">
        <v>2517</v>
      </c>
      <c r="P1" s="1147"/>
      <c r="Q1" s="1883" t="str">
        <f aca="false">'Cash Flow'!Z23</f>
        <v>Month 25</v>
      </c>
      <c r="R1" s="1883" t="str">
        <f aca="false">'Cash Flow'!AA23</f>
        <v>Month 26</v>
      </c>
      <c r="S1" s="1883" t="str">
        <f aca="false">'Cash Flow'!AB23</f>
        <v>Month 27</v>
      </c>
      <c r="T1" s="1883" t="str">
        <f aca="false">'Cash Flow'!AC23</f>
        <v>Month 28</v>
      </c>
      <c r="U1" s="1883" t="str">
        <f aca="false">'Cash Flow'!AD23</f>
        <v>Month 29</v>
      </c>
      <c r="V1" s="1883" t="str">
        <f aca="false">'Cash Flow'!AE23</f>
        <v>Month 30</v>
      </c>
      <c r="W1" s="1883" t="str">
        <f aca="false">'Cash Flow'!AF23</f>
        <v>Month 31</v>
      </c>
      <c r="X1" s="1883" t="str">
        <f aca="false">'Cash Flow'!AG23</f>
        <v>Month 32</v>
      </c>
      <c r="Y1" s="1883" t="str">
        <f aca="false">'Cash Flow'!AH23</f>
        <v>Month 33</v>
      </c>
      <c r="Z1" s="1883" t="str">
        <f aca="false">'Cash Flow'!AI23</f>
        <v>Month 34</v>
      </c>
      <c r="AA1" s="1883" t="str">
        <f aca="false">'Cash Flow'!AJ23</f>
        <v>Month 35</v>
      </c>
      <c r="AB1" s="2134" t="str">
        <f aca="false">'Cash Flow'!AK23</f>
        <v>Month 36</v>
      </c>
      <c r="AC1" s="2135" t="s">
        <v>2518</v>
      </c>
      <c r="AD1" s="1147"/>
      <c r="AE1" s="1883" t="str">
        <f aca="false">'Cash Flow'!AL23</f>
        <v>Month 37</v>
      </c>
      <c r="AF1" s="1883" t="str">
        <f aca="false">'Cash Flow'!AM23</f>
        <v>Month 38</v>
      </c>
      <c r="AG1" s="1883" t="str">
        <f aca="false">'Cash Flow'!AN23</f>
        <v>Month 39</v>
      </c>
      <c r="AH1" s="1883" t="str">
        <f aca="false">'Cash Flow'!AO23</f>
        <v>Month 40</v>
      </c>
      <c r="AI1" s="1883" t="str">
        <f aca="false">'Cash Flow'!AP23</f>
        <v>Month 41</v>
      </c>
      <c r="AJ1" s="1883" t="str">
        <f aca="false">'Cash Flow'!AQ23</f>
        <v>Month 42</v>
      </c>
      <c r="AK1" s="1883" t="str">
        <f aca="false">'Cash Flow'!AR23</f>
        <v>Month 43</v>
      </c>
      <c r="AL1" s="1883" t="str">
        <f aca="false">'Cash Flow'!AS23</f>
        <v>Month 44</v>
      </c>
      <c r="AM1" s="1883" t="str">
        <f aca="false">'Cash Flow'!AT23</f>
        <v>Month 45</v>
      </c>
      <c r="AN1" s="1883" t="str">
        <f aca="false">'Cash Flow'!AU23</f>
        <v>Month 46</v>
      </c>
      <c r="AO1" s="1883" t="str">
        <f aca="false">'Cash Flow'!AV23</f>
        <v>Month 47</v>
      </c>
      <c r="AP1" s="2134" t="str">
        <f aca="false">'Cash Flow'!AW23</f>
        <v>Month 48</v>
      </c>
      <c r="AQ1" s="2135" t="s">
        <v>2519</v>
      </c>
      <c r="AR1" s="1147"/>
      <c r="AS1" s="1883" t="str">
        <f aca="false">'Cash Flow'!AX23</f>
        <v>Month 49</v>
      </c>
      <c r="AT1" s="1883" t="str">
        <f aca="false">'Cash Flow'!AY23</f>
        <v>Month 50</v>
      </c>
      <c r="AU1" s="1883" t="str">
        <f aca="false">'Cash Flow'!AZ23</f>
        <v>Month 51</v>
      </c>
      <c r="AV1" s="1883" t="str">
        <f aca="false">'Cash Flow'!BA23</f>
        <v>Month 52</v>
      </c>
      <c r="AW1" s="1883" t="str">
        <f aca="false">'Cash Flow'!BB23</f>
        <v>Month 53</v>
      </c>
      <c r="AX1" s="1883" t="str">
        <f aca="false">'Cash Flow'!BC23</f>
        <v>Month 54</v>
      </c>
      <c r="AY1" s="1883" t="str">
        <f aca="false">'Cash Flow'!BD23</f>
        <v>Month 55</v>
      </c>
      <c r="AZ1" s="1883" t="str">
        <f aca="false">'Cash Flow'!BE23</f>
        <v>Month 56</v>
      </c>
      <c r="BA1" s="1883" t="str">
        <f aca="false">'Cash Flow'!BF23</f>
        <v>Month 57</v>
      </c>
      <c r="BB1" s="1883" t="str">
        <f aca="false">'Cash Flow'!BG23</f>
        <v>Month 58</v>
      </c>
      <c r="BC1" s="1883" t="str">
        <f aca="false">'Cash Flow'!BH23</f>
        <v>Month 59</v>
      </c>
      <c r="BD1" s="2134" t="str">
        <f aca="false">'Cash Flow'!BI23</f>
        <v>Month 60</v>
      </c>
      <c r="BE1" s="1466"/>
      <c r="BF1" s="1157" t="s">
        <v>2520</v>
      </c>
      <c r="BG1" s="1147"/>
      <c r="BH1" s="2136" t="str">
        <f aca="false">'Balance Sheet'!N1</f>
        <v>Month 13</v>
      </c>
      <c r="BI1" s="2136" t="str">
        <f aca="false">'Balance Sheet'!O1</f>
        <v>Month 14</v>
      </c>
      <c r="BJ1" s="2136" t="str">
        <f aca="false">'Balance Sheet'!P1</f>
        <v>Month 15</v>
      </c>
      <c r="BK1" s="2136" t="str">
        <f aca="false">'Balance Sheet'!Q1</f>
        <v>Month 16</v>
      </c>
      <c r="BL1" s="2136" t="str">
        <f aca="false">'Balance Sheet'!R1</f>
        <v>Month 17</v>
      </c>
      <c r="BM1" s="2136" t="str">
        <f aca="false">'Balance Sheet'!S1</f>
        <v>Month 18</v>
      </c>
      <c r="BN1" s="2136" t="str">
        <f aca="false">'Balance Sheet'!T1</f>
        <v>Month 19</v>
      </c>
      <c r="BO1" s="2136" t="str">
        <f aca="false">'Balance Sheet'!U1</f>
        <v>Month 20</v>
      </c>
      <c r="BP1" s="2136" t="str">
        <f aca="false">'Balance Sheet'!V1</f>
        <v>Month 21</v>
      </c>
      <c r="BQ1" s="2136" t="str">
        <f aca="false">'Balance Sheet'!W1</f>
        <v>Month 22</v>
      </c>
      <c r="BR1" s="2136" t="str">
        <f aca="false">'Balance Sheet'!X1</f>
        <v>Month 23</v>
      </c>
      <c r="BS1" s="2137" t="str">
        <f aca="false">'Balance Sheet'!Y1</f>
        <v>Month 24</v>
      </c>
      <c r="BT1" s="2135" t="s">
        <v>2521</v>
      </c>
      <c r="BU1" s="1147"/>
      <c r="BV1" s="2136" t="str">
        <f aca="false">'Balance Sheet'!Z1</f>
        <v>Month 25</v>
      </c>
      <c r="BW1" s="2136" t="str">
        <f aca="false">'Balance Sheet'!AA1</f>
        <v>Month 26</v>
      </c>
      <c r="BX1" s="2136" t="str">
        <f aca="false">'Balance Sheet'!AB1</f>
        <v>Month 27</v>
      </c>
      <c r="BY1" s="2136" t="str">
        <f aca="false">'Balance Sheet'!AC1</f>
        <v>Month 28</v>
      </c>
      <c r="BZ1" s="2136" t="str">
        <f aca="false">'Balance Sheet'!AD1</f>
        <v>Month 29</v>
      </c>
      <c r="CA1" s="2136" t="str">
        <f aca="false">'Balance Sheet'!AE1</f>
        <v>Month 30</v>
      </c>
      <c r="CB1" s="2136" t="str">
        <f aca="false">'Balance Sheet'!AF1</f>
        <v>Month 31</v>
      </c>
      <c r="CC1" s="2136" t="str">
        <f aca="false">'Balance Sheet'!AG1</f>
        <v>Month 32</v>
      </c>
      <c r="CD1" s="2136" t="str">
        <f aca="false">'Balance Sheet'!AH1</f>
        <v>Month 33</v>
      </c>
      <c r="CE1" s="2136" t="str">
        <f aca="false">'Balance Sheet'!AI1</f>
        <v>Month 34</v>
      </c>
      <c r="CF1" s="2136" t="str">
        <f aca="false">'Balance Sheet'!AJ1</f>
        <v>Month 35</v>
      </c>
      <c r="CG1" s="2137" t="str">
        <f aca="false">'Balance Sheet'!AK1</f>
        <v>Month 36</v>
      </c>
      <c r="CH1" s="2135" t="s">
        <v>2522</v>
      </c>
      <c r="CI1" s="1147"/>
      <c r="CJ1" s="2138" t="str">
        <f aca="false">'Balance Sheet'!AL1</f>
        <v>Month 37</v>
      </c>
      <c r="CK1" s="2138" t="str">
        <f aca="false">'Balance Sheet'!AM1</f>
        <v>Month 38</v>
      </c>
      <c r="CL1" s="2138" t="str">
        <f aca="false">'Balance Sheet'!AN1</f>
        <v>Month 39</v>
      </c>
      <c r="CM1" s="2138" t="str">
        <f aca="false">'Balance Sheet'!AO1</f>
        <v>Month 40</v>
      </c>
      <c r="CN1" s="2138" t="str">
        <f aca="false">'Balance Sheet'!AP1</f>
        <v>Month 41</v>
      </c>
      <c r="CO1" s="2138" t="str">
        <f aca="false">'Balance Sheet'!AQ1</f>
        <v>Month 42</v>
      </c>
      <c r="CP1" s="2138" t="str">
        <f aca="false">'Balance Sheet'!AR1</f>
        <v>Month 43</v>
      </c>
      <c r="CQ1" s="2138" t="str">
        <f aca="false">'Balance Sheet'!AS1</f>
        <v>Month 44</v>
      </c>
      <c r="CR1" s="2138" t="str">
        <f aca="false">'Balance Sheet'!AT1</f>
        <v>Month 45</v>
      </c>
      <c r="CS1" s="2138" t="str">
        <f aca="false">'Balance Sheet'!AU1</f>
        <v>Month 46</v>
      </c>
      <c r="CT1" s="2138" t="str">
        <f aca="false">'Balance Sheet'!AV1</f>
        <v>Month 47</v>
      </c>
      <c r="CU1" s="2139" t="str">
        <f aca="false">'Balance Sheet'!AW1</f>
        <v>Month 48</v>
      </c>
      <c r="CV1" s="2135" t="s">
        <v>2523</v>
      </c>
      <c r="CW1" s="1156"/>
      <c r="CX1" s="2138" t="str">
        <f aca="false">'Balance Sheet'!AX1</f>
        <v>Month 49</v>
      </c>
      <c r="CY1" s="2138" t="str">
        <f aca="false">'Balance Sheet'!AY1</f>
        <v>Month 50</v>
      </c>
      <c r="CZ1" s="2138" t="str">
        <f aca="false">'Balance Sheet'!AZ1</f>
        <v>Month 51</v>
      </c>
      <c r="DA1" s="2138" t="str">
        <f aca="false">'Balance Sheet'!BA1</f>
        <v>Month 52</v>
      </c>
      <c r="DB1" s="2138" t="str">
        <f aca="false">'Balance Sheet'!BB1</f>
        <v>Month 53</v>
      </c>
      <c r="DC1" s="2138" t="str">
        <f aca="false">'Balance Sheet'!BC1</f>
        <v>Month 54</v>
      </c>
      <c r="DD1" s="2138" t="str">
        <f aca="false">'Balance Sheet'!BD1</f>
        <v>Month 55</v>
      </c>
      <c r="DE1" s="2138" t="str">
        <f aca="false">'Balance Sheet'!BE1</f>
        <v>Month 56</v>
      </c>
      <c r="DF1" s="2138" t="str">
        <f aca="false">'Balance Sheet'!BF1</f>
        <v>Month 57</v>
      </c>
      <c r="DG1" s="2138" t="str">
        <f aca="false">'Balance Sheet'!BG1</f>
        <v>Month 58</v>
      </c>
      <c r="DH1" s="2138" t="str">
        <f aca="false">'Balance Sheet'!BH1</f>
        <v>Month 59</v>
      </c>
      <c r="DI1" s="2139" t="str">
        <f aca="false">'Balance Sheet'!BI1</f>
        <v>Month 60</v>
      </c>
    </row>
    <row r="2" customFormat="false" ht="12.75" hidden="false" customHeight="true" outlineLevel="0" collapsed="false">
      <c r="A2" s="1157"/>
      <c r="B2" s="2140" t="str">
        <f aca="false">'Tables 5Y'!DH2</f>
        <v>OPERATING</v>
      </c>
      <c r="C2" s="1901"/>
      <c r="D2" s="1901"/>
      <c r="E2" s="1901"/>
      <c r="F2" s="1901"/>
      <c r="G2" s="1901"/>
      <c r="H2" s="1901"/>
      <c r="I2" s="1901"/>
      <c r="J2" s="1901"/>
      <c r="K2" s="1901"/>
      <c r="L2" s="1901"/>
      <c r="M2" s="1901"/>
      <c r="N2" s="2141"/>
      <c r="O2" s="2135"/>
      <c r="P2" s="2142" t="str">
        <f aca="false">B2</f>
        <v>OPERATING</v>
      </c>
      <c r="Q2" s="1905"/>
      <c r="R2" s="1905"/>
      <c r="S2" s="1905"/>
      <c r="T2" s="1905"/>
      <c r="U2" s="1905"/>
      <c r="V2" s="1905"/>
      <c r="W2" s="1905"/>
      <c r="X2" s="1905"/>
      <c r="Y2" s="1905"/>
      <c r="Z2" s="1905"/>
      <c r="AA2" s="1905"/>
      <c r="AB2" s="2143"/>
      <c r="AC2" s="2135"/>
      <c r="AD2" s="2144" t="str">
        <f aca="false">P2</f>
        <v>OPERATING</v>
      </c>
      <c r="AE2" s="1909"/>
      <c r="AF2" s="1909"/>
      <c r="AG2" s="1909"/>
      <c r="AH2" s="1909"/>
      <c r="AI2" s="1909"/>
      <c r="AJ2" s="1909"/>
      <c r="AK2" s="1909"/>
      <c r="AL2" s="1909"/>
      <c r="AM2" s="1909"/>
      <c r="AN2" s="1909"/>
      <c r="AO2" s="1909"/>
      <c r="AP2" s="2145"/>
      <c r="AQ2" s="2135"/>
      <c r="AR2" s="2146" t="str">
        <f aca="false">AD2</f>
        <v>OPERATING</v>
      </c>
      <c r="AS2" s="1913"/>
      <c r="AT2" s="1913"/>
      <c r="AU2" s="1913"/>
      <c r="AV2" s="1913"/>
      <c r="AW2" s="1913"/>
      <c r="AX2" s="1913"/>
      <c r="AY2" s="1913"/>
      <c r="AZ2" s="1913"/>
      <c r="BA2" s="1913"/>
      <c r="BB2" s="1913"/>
      <c r="BC2" s="1913"/>
      <c r="BD2" s="2147"/>
      <c r="BE2" s="1466"/>
      <c r="BF2" s="1157"/>
      <c r="BG2" s="1899" t="str">
        <f aca="false">'Tables 5Y'!EE2</f>
        <v>Assets</v>
      </c>
      <c r="BH2" s="2148"/>
      <c r="BI2" s="2148"/>
      <c r="BJ2" s="2148"/>
      <c r="BK2" s="2148"/>
      <c r="BL2" s="2148"/>
      <c r="BM2" s="2148"/>
      <c r="BN2" s="2148"/>
      <c r="BO2" s="2148"/>
      <c r="BP2" s="2148"/>
      <c r="BQ2" s="2148"/>
      <c r="BR2" s="2148"/>
      <c r="BS2" s="2149"/>
      <c r="BT2" s="2135"/>
      <c r="BU2" s="1903" t="str">
        <f aca="false">BG2</f>
        <v>Assets</v>
      </c>
      <c r="BV2" s="2150"/>
      <c r="BW2" s="2150"/>
      <c r="BX2" s="2150"/>
      <c r="BY2" s="2150"/>
      <c r="BZ2" s="2150"/>
      <c r="CA2" s="2150"/>
      <c r="CB2" s="2150"/>
      <c r="CC2" s="2150"/>
      <c r="CD2" s="2150"/>
      <c r="CE2" s="2150"/>
      <c r="CF2" s="2150"/>
      <c r="CG2" s="2151"/>
      <c r="CH2" s="2135"/>
      <c r="CI2" s="1907" t="str">
        <f aca="false">BU2</f>
        <v>Assets</v>
      </c>
      <c r="CJ2" s="2152"/>
      <c r="CK2" s="2152"/>
      <c r="CL2" s="2152"/>
      <c r="CM2" s="2152"/>
      <c r="CN2" s="2152"/>
      <c r="CO2" s="2152"/>
      <c r="CP2" s="2152"/>
      <c r="CQ2" s="2152"/>
      <c r="CR2" s="2152"/>
      <c r="CS2" s="2152"/>
      <c r="CT2" s="2152"/>
      <c r="CU2" s="2153"/>
      <c r="CV2" s="2135"/>
      <c r="CW2" s="1911" t="str">
        <f aca="false">'Tables 5Y'!EE2</f>
        <v>Assets</v>
      </c>
      <c r="CX2" s="2154"/>
      <c r="CY2" s="2154"/>
      <c r="CZ2" s="2154"/>
      <c r="DA2" s="2154"/>
      <c r="DB2" s="2154"/>
      <c r="DC2" s="2154"/>
      <c r="DD2" s="2154"/>
      <c r="DE2" s="2154"/>
      <c r="DF2" s="2154"/>
      <c r="DG2" s="2154"/>
      <c r="DH2" s="2154"/>
      <c r="DI2" s="2155"/>
    </row>
    <row r="3" customFormat="false" ht="12.75" hidden="false" customHeight="true" outlineLevel="0" collapsed="false">
      <c r="A3" s="1157"/>
      <c r="B3" s="1958" t="str">
        <f aca="false">'Tables 5Y'!DH3</f>
        <v>Net Profit</v>
      </c>
      <c r="C3" s="1972" t="n">
        <f aca="false">'Cash Flow'!N25</f>
        <v>363802.231401596</v>
      </c>
      <c r="D3" s="1972" t="n">
        <f aca="false">'Cash Flow'!O25</f>
        <v>454675.422910459</v>
      </c>
      <c r="E3" s="1972" t="n">
        <f aca="false">'Cash Flow'!P25</f>
        <v>500794.329108123</v>
      </c>
      <c r="F3" s="1972" t="n">
        <f aca="false">'Cash Flow'!Q25</f>
        <v>553144.574568031</v>
      </c>
      <c r="G3" s="1972" t="n">
        <f aca="false">'Cash Flow'!R25</f>
        <v>605498.494065785</v>
      </c>
      <c r="H3" s="1972" t="n">
        <f aca="false">'Cash Flow'!S25</f>
        <v>657856.105971575</v>
      </c>
      <c r="I3" s="1972" t="n">
        <f aca="false">'Cash Flow'!T25</f>
        <v>603684.814435326</v>
      </c>
      <c r="J3" s="1972" t="n">
        <f aca="false">'Cash Flow'!U25</f>
        <v>686251.308805574</v>
      </c>
      <c r="K3" s="1972" t="n">
        <f aca="false">'Cash Flow'!V25</f>
        <v>810048.539036639</v>
      </c>
      <c r="L3" s="1972" t="n">
        <f aca="false">'Cash Flow'!W25</f>
        <v>933848.971057825</v>
      </c>
      <c r="M3" s="1972" t="n">
        <f aca="false">'Cash Flow'!X25</f>
        <v>1057652.62087808</v>
      </c>
      <c r="N3" s="2156" t="n">
        <f aca="false">'Cash Flow'!Y25</f>
        <v>1181459.50458641</v>
      </c>
      <c r="O3" s="2135"/>
      <c r="P3" s="1974" t="str">
        <f aca="false">B3</f>
        <v>Net Profit</v>
      </c>
      <c r="Q3" s="1976" t="n">
        <f aca="false">'Cash Flow'!Z25</f>
        <v>3504280.11930847</v>
      </c>
      <c r="R3" s="1976" t="n">
        <f aca="false">'Cash Flow'!AA25</f>
        <v>3504936.64717517</v>
      </c>
      <c r="S3" s="1976" t="n">
        <f aca="false">'Cash Flow'!AB25</f>
        <v>3505596.45768121</v>
      </c>
      <c r="T3" s="1976" t="n">
        <f aca="false">'Cash Flow'!AC25</f>
        <v>3506259.56723977</v>
      </c>
      <c r="U3" s="1976" t="n">
        <f aca="false">'Cash Flow'!AD25</f>
        <v>3506925.99234613</v>
      </c>
      <c r="V3" s="1976" t="n">
        <f aca="false">'Cash Flow'!AE25</f>
        <v>3507595.74957802</v>
      </c>
      <c r="W3" s="1976" t="n">
        <f aca="false">'Cash Flow'!AF25</f>
        <v>3508268.85559607</v>
      </c>
      <c r="X3" s="1976" t="n">
        <f aca="false">'Cash Flow'!AG25</f>
        <v>3508945.32714421</v>
      </c>
      <c r="Y3" s="1976" t="n">
        <f aca="false">'Cash Flow'!AH25</f>
        <v>3509625.18105009</v>
      </c>
      <c r="Z3" s="1976" t="n">
        <f aca="false">'Cash Flow'!AI25</f>
        <v>3510308.4342255</v>
      </c>
      <c r="AA3" s="1976" t="n">
        <f aca="false">'Cash Flow'!AJ25</f>
        <v>3510995.10366679</v>
      </c>
      <c r="AB3" s="2157" t="n">
        <f aca="false">'Cash Flow'!AK25</f>
        <v>3511685.20645528</v>
      </c>
      <c r="AC3" s="2135"/>
      <c r="AD3" s="1978" t="str">
        <f aca="false">P3</f>
        <v>Net Profit</v>
      </c>
      <c r="AE3" s="1980" t="n">
        <f aca="false">'Cash Flow'!AL25</f>
        <v>4036934.44702477</v>
      </c>
      <c r="AF3" s="1980" t="n">
        <f aca="false">'Cash Flow'!AM25</f>
        <v>4037631.46809371</v>
      </c>
      <c r="AG3" s="1980" t="n">
        <f aca="false">'Cash Flow'!AN25</f>
        <v>4038331.97426801</v>
      </c>
      <c r="AH3" s="1980" t="n">
        <f aca="false">'Cash Flow'!AO25</f>
        <v>4039035.98297317</v>
      </c>
      <c r="AI3" s="1980" t="n">
        <f aca="false">'Cash Flow'!AP25</f>
        <v>4039743.51172186</v>
      </c>
      <c r="AJ3" s="1980" t="n">
        <f aca="false">'Cash Flow'!AQ25</f>
        <v>4040454.57811429</v>
      </c>
      <c r="AK3" s="1980" t="n">
        <f aca="false">'Cash Flow'!AR25</f>
        <v>4041169.19983869</v>
      </c>
      <c r="AL3" s="1980" t="n">
        <f aca="false">'Cash Flow'!AS25</f>
        <v>4041887.39467171</v>
      </c>
      <c r="AM3" s="1980" t="n">
        <f aca="false">'Cash Flow'!AT25</f>
        <v>4042609.18047889</v>
      </c>
      <c r="AN3" s="1980" t="n">
        <f aca="false">'Cash Flow'!AU25</f>
        <v>4043334.57521511</v>
      </c>
      <c r="AO3" s="1980" t="n">
        <f aca="false">'Cash Flow'!AV25</f>
        <v>4044063.59692501</v>
      </c>
      <c r="AP3" s="2158" t="n">
        <f aca="false">'Cash Flow'!AW25</f>
        <v>4044796.26374346</v>
      </c>
      <c r="AQ3" s="2135"/>
      <c r="AR3" s="2159" t="str">
        <f aca="false">AD3</f>
        <v>Net Profit</v>
      </c>
      <c r="AS3" s="1984" t="n">
        <f aca="false">'Cash Flow'!AX25</f>
        <v>4567260.70190812</v>
      </c>
      <c r="AT3" s="1984" t="n">
        <f aca="false">'Cash Flow'!AY25</f>
        <v>4568000.71371142</v>
      </c>
      <c r="AU3" s="1984" t="n">
        <f aca="false">'Cash Flow'!AZ25</f>
        <v>4568744.42557374</v>
      </c>
      <c r="AV3" s="1984" t="n">
        <f aca="false">'Cash Flow'!BA25</f>
        <v>4569491.85599538</v>
      </c>
      <c r="AW3" s="1984" t="n">
        <f aca="false">'Cash Flow'!BB25</f>
        <v>4570243.02356911</v>
      </c>
      <c r="AX3" s="1984" t="n">
        <f aca="false">'Cash Flow'!BC25</f>
        <v>4570997.94698072</v>
      </c>
      <c r="AY3" s="1984" t="n">
        <f aca="false">'Cash Flow'!BD25</f>
        <v>4571756.64500939</v>
      </c>
      <c r="AZ3" s="1984" t="n">
        <f aca="false">'Cash Flow'!BE25</f>
        <v>4572519.1365282</v>
      </c>
      <c r="BA3" s="1984" t="n">
        <f aca="false">'Cash Flow'!BF25</f>
        <v>4573285.44050461</v>
      </c>
      <c r="BB3" s="1984" t="n">
        <f aca="false">'Cash Flow'!BG25</f>
        <v>4574055.57600089</v>
      </c>
      <c r="BC3" s="1984" t="n">
        <f aca="false">'Cash Flow'!BH25</f>
        <v>4574829.56217466</v>
      </c>
      <c r="BD3" s="2160" t="n">
        <f aca="false">'Cash Flow'!BI25</f>
        <v>4575607.4182793</v>
      </c>
      <c r="BE3" s="1466"/>
      <c r="BF3" s="1157"/>
      <c r="BG3" s="1936" t="str">
        <f aca="false">'Tables 5Y'!EE3</f>
        <v>Current Assets</v>
      </c>
      <c r="BH3" s="2161" t="n">
        <f aca="false">'Balance Sheet'!N2</f>
        <v>0</v>
      </c>
      <c r="BI3" s="2161" t="n">
        <f aca="false">'Balance Sheet'!O2</f>
        <v>0</v>
      </c>
      <c r="BJ3" s="2161" t="n">
        <f aca="false">'Balance Sheet'!P2</f>
        <v>0</v>
      </c>
      <c r="BK3" s="2161" t="n">
        <f aca="false">'Balance Sheet'!Q2</f>
        <v>0</v>
      </c>
      <c r="BL3" s="2161" t="n">
        <f aca="false">'Balance Sheet'!R2</f>
        <v>0</v>
      </c>
      <c r="BM3" s="2161" t="n">
        <f aca="false">'Balance Sheet'!S2</f>
        <v>0</v>
      </c>
      <c r="BN3" s="2161" t="n">
        <f aca="false">'Balance Sheet'!T2</f>
        <v>0</v>
      </c>
      <c r="BO3" s="2161" t="n">
        <f aca="false">'Balance Sheet'!U2</f>
        <v>0</v>
      </c>
      <c r="BP3" s="2161" t="n">
        <f aca="false">'Balance Sheet'!V2</f>
        <v>0</v>
      </c>
      <c r="BQ3" s="2161" t="n">
        <f aca="false">'Balance Sheet'!W2</f>
        <v>0</v>
      </c>
      <c r="BR3" s="2161" t="n">
        <f aca="false">'Balance Sheet'!X2</f>
        <v>0</v>
      </c>
      <c r="BS3" s="2162" t="n">
        <f aca="false">'Balance Sheet'!Y2</f>
        <v>0</v>
      </c>
      <c r="BT3" s="2135"/>
      <c r="BU3" s="1940" t="str">
        <f aca="false">BG3</f>
        <v>Current Assets</v>
      </c>
      <c r="BV3" s="2163" t="n">
        <f aca="false">'Balance Sheet'!Z2</f>
        <v>0</v>
      </c>
      <c r="BW3" s="2163" t="n">
        <f aca="false">'Balance Sheet'!AA2</f>
        <v>0</v>
      </c>
      <c r="BX3" s="2163" t="n">
        <f aca="false">'Balance Sheet'!AB2</f>
        <v>0</v>
      </c>
      <c r="BY3" s="2163" t="n">
        <f aca="false">'Balance Sheet'!AC2</f>
        <v>0</v>
      </c>
      <c r="BZ3" s="2163" t="n">
        <f aca="false">'Balance Sheet'!AD2</f>
        <v>0</v>
      </c>
      <c r="CA3" s="2163" t="n">
        <f aca="false">'Balance Sheet'!AE2</f>
        <v>0</v>
      </c>
      <c r="CB3" s="2163" t="n">
        <f aca="false">'Balance Sheet'!AF2</f>
        <v>0</v>
      </c>
      <c r="CC3" s="2163" t="n">
        <f aca="false">'Balance Sheet'!AG2</f>
        <v>0</v>
      </c>
      <c r="CD3" s="2163" t="n">
        <f aca="false">'Balance Sheet'!AH2</f>
        <v>0</v>
      </c>
      <c r="CE3" s="2163" t="n">
        <f aca="false">'Balance Sheet'!AI2</f>
        <v>0</v>
      </c>
      <c r="CF3" s="2163" t="n">
        <f aca="false">'Balance Sheet'!AJ2</f>
        <v>0</v>
      </c>
      <c r="CG3" s="2164" t="n">
        <f aca="false">'Balance Sheet'!AK2</f>
        <v>0</v>
      </c>
      <c r="CH3" s="2135"/>
      <c r="CI3" s="1944" t="str">
        <f aca="false">BU3</f>
        <v>Current Assets</v>
      </c>
      <c r="CJ3" s="2165" t="n">
        <f aca="false">'Balance Sheet'!AL2</f>
        <v>0</v>
      </c>
      <c r="CK3" s="2165" t="n">
        <f aca="false">'Balance Sheet'!AM2</f>
        <v>0</v>
      </c>
      <c r="CL3" s="2165" t="n">
        <f aca="false">'Balance Sheet'!AN2</f>
        <v>0</v>
      </c>
      <c r="CM3" s="2165" t="n">
        <f aca="false">'Balance Sheet'!AO2</f>
        <v>0</v>
      </c>
      <c r="CN3" s="2165" t="n">
        <f aca="false">'Balance Sheet'!AP2</f>
        <v>0</v>
      </c>
      <c r="CO3" s="2165" t="n">
        <f aca="false">'Balance Sheet'!AQ2</f>
        <v>0</v>
      </c>
      <c r="CP3" s="2165" t="n">
        <f aca="false">'Balance Sheet'!AR2</f>
        <v>0</v>
      </c>
      <c r="CQ3" s="2165" t="n">
        <f aca="false">'Balance Sheet'!AS2</f>
        <v>0</v>
      </c>
      <c r="CR3" s="2165" t="n">
        <f aca="false">'Balance Sheet'!AT2</f>
        <v>0</v>
      </c>
      <c r="CS3" s="2165" t="n">
        <f aca="false">'Balance Sheet'!AU2</f>
        <v>0</v>
      </c>
      <c r="CT3" s="2165" t="n">
        <f aca="false">'Balance Sheet'!AV2</f>
        <v>0</v>
      </c>
      <c r="CU3" s="2166" t="n">
        <f aca="false">'Balance Sheet'!AW2</f>
        <v>0</v>
      </c>
      <c r="CV3" s="2135"/>
      <c r="CW3" s="1948" t="str">
        <f aca="false">CI3</f>
        <v>Current Assets</v>
      </c>
      <c r="CX3" s="2167" t="n">
        <f aca="false">'Balance Sheet'!AX2</f>
        <v>0</v>
      </c>
      <c r="CY3" s="2167" t="n">
        <f aca="false">'Balance Sheet'!AY2</f>
        <v>0</v>
      </c>
      <c r="CZ3" s="2167" t="n">
        <f aca="false">'Balance Sheet'!AZ2</f>
        <v>0</v>
      </c>
      <c r="DA3" s="2167" t="n">
        <f aca="false">'Balance Sheet'!BA2</f>
        <v>0</v>
      </c>
      <c r="DB3" s="2167" t="n">
        <f aca="false">'Balance Sheet'!BB2</f>
        <v>0</v>
      </c>
      <c r="DC3" s="2167" t="n">
        <f aca="false">'Balance Sheet'!BC2</f>
        <v>0</v>
      </c>
      <c r="DD3" s="2167" t="n">
        <f aca="false">'Balance Sheet'!BD2</f>
        <v>0</v>
      </c>
      <c r="DE3" s="2167" t="n">
        <f aca="false">'Balance Sheet'!BE2</f>
        <v>0</v>
      </c>
      <c r="DF3" s="2167" t="n">
        <f aca="false">'Balance Sheet'!BF2</f>
        <v>0</v>
      </c>
      <c r="DG3" s="2167" t="n">
        <f aca="false">'Balance Sheet'!BG2</f>
        <v>0</v>
      </c>
      <c r="DH3" s="2167" t="n">
        <f aca="false">'Balance Sheet'!BH2</f>
        <v>0</v>
      </c>
      <c r="DI3" s="2168" t="n">
        <f aca="false">'Balance Sheet'!BI2</f>
        <v>0</v>
      </c>
    </row>
    <row r="4" customFormat="false" ht="12.75" hidden="false" customHeight="true" outlineLevel="0" collapsed="false">
      <c r="A4" s="1157"/>
      <c r="B4" s="2169" t="str">
        <f aca="false">'Tables 5Y'!DH4</f>
        <v>Adjustments to Net Profit</v>
      </c>
      <c r="C4" s="1972" t="n">
        <f aca="false">'Cash Flow'!N26</f>
        <v>0</v>
      </c>
      <c r="D4" s="1972" t="n">
        <f aca="false">'Cash Flow'!O26</f>
        <v>0</v>
      </c>
      <c r="E4" s="1972" t="n">
        <f aca="false">'Cash Flow'!P26</f>
        <v>0</v>
      </c>
      <c r="F4" s="1972" t="n">
        <f aca="false">'Cash Flow'!Q26</f>
        <v>0</v>
      </c>
      <c r="G4" s="1972" t="n">
        <f aca="false">'Cash Flow'!R26</f>
        <v>0</v>
      </c>
      <c r="H4" s="1972" t="n">
        <f aca="false">'Cash Flow'!S26</f>
        <v>0</v>
      </c>
      <c r="I4" s="1972" t="n">
        <f aca="false">'Cash Flow'!T26</f>
        <v>0</v>
      </c>
      <c r="J4" s="1972" t="n">
        <f aca="false">'Cash Flow'!U26</f>
        <v>0</v>
      </c>
      <c r="K4" s="1972" t="n">
        <f aca="false">'Cash Flow'!V26</f>
        <v>0</v>
      </c>
      <c r="L4" s="1972" t="n">
        <f aca="false">'Cash Flow'!W26</f>
        <v>0</v>
      </c>
      <c r="M4" s="1972" t="n">
        <f aca="false">'Cash Flow'!X26</f>
        <v>0</v>
      </c>
      <c r="N4" s="2156" t="n">
        <f aca="false">'Cash Flow'!Y26</f>
        <v>0</v>
      </c>
      <c r="O4" s="2135"/>
      <c r="P4" s="2170" t="str">
        <f aca="false">B4</f>
        <v>Adjustments to Net Profit</v>
      </c>
      <c r="Q4" s="1976" t="n">
        <f aca="false">'Cash Flow'!Z26</f>
        <v>0</v>
      </c>
      <c r="R4" s="1976" t="n">
        <f aca="false">'Cash Flow'!AA26</f>
        <v>0</v>
      </c>
      <c r="S4" s="1976" t="n">
        <f aca="false">'Cash Flow'!AB26</f>
        <v>0</v>
      </c>
      <c r="T4" s="1976" t="n">
        <f aca="false">'Cash Flow'!AC26</f>
        <v>0</v>
      </c>
      <c r="U4" s="1976" t="n">
        <f aca="false">'Cash Flow'!AD26</f>
        <v>0</v>
      </c>
      <c r="V4" s="1976" t="n">
        <f aca="false">'Cash Flow'!AE26</f>
        <v>0</v>
      </c>
      <c r="W4" s="1976" t="n">
        <f aca="false">'Cash Flow'!AF26</f>
        <v>0</v>
      </c>
      <c r="X4" s="1976" t="n">
        <f aca="false">'Cash Flow'!AG26</f>
        <v>0</v>
      </c>
      <c r="Y4" s="1976" t="n">
        <f aca="false">'Cash Flow'!AH26</f>
        <v>0</v>
      </c>
      <c r="Z4" s="1976" t="n">
        <f aca="false">'Cash Flow'!AI26</f>
        <v>0</v>
      </c>
      <c r="AA4" s="1976" t="n">
        <f aca="false">'Cash Flow'!AJ26</f>
        <v>0</v>
      </c>
      <c r="AB4" s="2157" t="n">
        <f aca="false">'Cash Flow'!AK26</f>
        <v>0</v>
      </c>
      <c r="AC4" s="2135"/>
      <c r="AD4" s="2171" t="str">
        <f aca="false">P4</f>
        <v>Adjustments to Net Profit</v>
      </c>
      <c r="AE4" s="1980" t="n">
        <f aca="false">'Cash Flow'!AL26</f>
        <v>0</v>
      </c>
      <c r="AF4" s="1980" t="n">
        <f aca="false">'Cash Flow'!AM26</f>
        <v>0</v>
      </c>
      <c r="AG4" s="1980" t="n">
        <f aca="false">'Cash Flow'!AN26</f>
        <v>0</v>
      </c>
      <c r="AH4" s="1980" t="n">
        <f aca="false">'Cash Flow'!AO26</f>
        <v>0</v>
      </c>
      <c r="AI4" s="1980" t="n">
        <f aca="false">'Cash Flow'!AP26</f>
        <v>0</v>
      </c>
      <c r="AJ4" s="1980" t="n">
        <f aca="false">'Cash Flow'!AQ26</f>
        <v>0</v>
      </c>
      <c r="AK4" s="1980" t="n">
        <f aca="false">'Cash Flow'!AR26</f>
        <v>0</v>
      </c>
      <c r="AL4" s="1980" t="n">
        <f aca="false">'Cash Flow'!AS26</f>
        <v>0</v>
      </c>
      <c r="AM4" s="1980" t="n">
        <f aca="false">'Cash Flow'!AT26</f>
        <v>0</v>
      </c>
      <c r="AN4" s="1980" t="n">
        <f aca="false">'Cash Flow'!AU26</f>
        <v>0</v>
      </c>
      <c r="AO4" s="1980" t="n">
        <f aca="false">'Cash Flow'!AV26</f>
        <v>0</v>
      </c>
      <c r="AP4" s="2158" t="n">
        <f aca="false">'Cash Flow'!AW26</f>
        <v>0</v>
      </c>
      <c r="AQ4" s="2135"/>
      <c r="AR4" s="2172" t="str">
        <f aca="false">AD4</f>
        <v>Adjustments to Net Profit</v>
      </c>
      <c r="AS4" s="1984" t="n">
        <f aca="false">'Cash Flow'!AX26</f>
        <v>0</v>
      </c>
      <c r="AT4" s="1984" t="n">
        <f aca="false">'Cash Flow'!AY26</f>
        <v>0</v>
      </c>
      <c r="AU4" s="1984" t="n">
        <f aca="false">'Cash Flow'!AZ26</f>
        <v>0</v>
      </c>
      <c r="AV4" s="1984" t="n">
        <f aca="false">'Cash Flow'!BA26</f>
        <v>0</v>
      </c>
      <c r="AW4" s="1984" t="n">
        <f aca="false">'Cash Flow'!BB26</f>
        <v>0</v>
      </c>
      <c r="AX4" s="1984" t="n">
        <f aca="false">'Cash Flow'!BC26</f>
        <v>0</v>
      </c>
      <c r="AY4" s="1984" t="n">
        <f aca="false">'Cash Flow'!BD26</f>
        <v>0</v>
      </c>
      <c r="AZ4" s="1984" t="n">
        <f aca="false">'Cash Flow'!BE26</f>
        <v>0</v>
      </c>
      <c r="BA4" s="1984" t="n">
        <f aca="false">'Cash Flow'!BF26</f>
        <v>0</v>
      </c>
      <c r="BB4" s="1984" t="n">
        <f aca="false">'Cash Flow'!BG26</f>
        <v>0</v>
      </c>
      <c r="BC4" s="1984" t="n">
        <f aca="false">'Cash Flow'!BH26</f>
        <v>0</v>
      </c>
      <c r="BD4" s="2160" t="n">
        <f aca="false">'Cash Flow'!BI26</f>
        <v>0</v>
      </c>
      <c r="BE4" s="1466"/>
      <c r="BF4" s="1157"/>
      <c r="BG4" s="1936" t="str">
        <f aca="false">'Tables 5Y'!EE4</f>
        <v>Cash</v>
      </c>
      <c r="BH4" s="2161" t="n">
        <f aca="false">'Balance Sheet'!N3</f>
        <v>6204603.78210309</v>
      </c>
      <c r="BI4" s="2161" t="n">
        <f aca="false">'Balance Sheet'!O3</f>
        <v>6614051.68839412</v>
      </c>
      <c r="BJ4" s="2161" t="n">
        <f aca="false">'Balance Sheet'!P3</f>
        <v>7114082.52134368</v>
      </c>
      <c r="BK4" s="2161" t="n">
        <f aca="false">'Balance Sheet'!Q3</f>
        <v>7663413.07565112</v>
      </c>
      <c r="BL4" s="2161" t="n">
        <f aca="false">'Balance Sheet'!R3</f>
        <v>8264355.4441405</v>
      </c>
      <c r="BM4" s="2161" t="n">
        <f aca="false">'Balance Sheet'!S3</f>
        <v>8916909.60869328</v>
      </c>
      <c r="BN4" s="2161" t="n">
        <f aca="false">'Balance Sheet'!T3</f>
        <v>9619616.20021932</v>
      </c>
      <c r="BO4" s="2161" t="n">
        <f aca="false">'Balance Sheet'!U3</f>
        <v>10269275.0062542</v>
      </c>
      <c r="BP4" s="2161" t="n">
        <f aca="false">'Balance Sheet'!V3</f>
        <v>11001311.7488788</v>
      </c>
      <c r="BQ4" s="2161" t="n">
        <f aca="false">'Balance Sheet'!W3</f>
        <v>11856388.6364014</v>
      </c>
      <c r="BR4" s="2161" t="n">
        <f aca="false">'Balance Sheet'!X3</f>
        <v>12834505.0851854</v>
      </c>
      <c r="BS4" s="2162" t="n">
        <f aca="false">'Balance Sheet'!Y3</f>
        <v>13935660.5086761</v>
      </c>
      <c r="BT4" s="2135"/>
      <c r="BU4" s="1940" t="str">
        <f aca="false">BG4</f>
        <v>Cash</v>
      </c>
      <c r="BV4" s="2163" t="n">
        <f aca="false">'Balance Sheet'!Z3</f>
        <v>15189977.7486319</v>
      </c>
      <c r="BW4" s="2163" t="n">
        <f aca="false">'Balance Sheet'!AA3</f>
        <v>18734532.7506411</v>
      </c>
      <c r="BX4" s="2163" t="n">
        <f aca="false">'Balance Sheet'!AB3</f>
        <v>22278968.0778304</v>
      </c>
      <c r="BY4" s="2163" t="n">
        <f aca="false">'Balance Sheet'!AC3</f>
        <v>25823283.1318259</v>
      </c>
      <c r="BZ4" s="2163" t="n">
        <f aca="false">'Balance Sheet'!AD3</f>
        <v>29367477.3112615</v>
      </c>
      <c r="CA4" s="2163" t="n">
        <f aca="false">'Balance Sheet'!AE3</f>
        <v>32911550.0117644</v>
      </c>
      <c r="CB4" s="2163" t="n">
        <f aca="false">'Balance Sheet'!AF3</f>
        <v>36455500.62594</v>
      </c>
      <c r="CC4" s="2163" t="n">
        <f aca="false">'Balance Sheet'!AG3</f>
        <v>39999328.5433566</v>
      </c>
      <c r="CD4" s="2163" t="n">
        <f aca="false">'Balance Sheet'!AH3</f>
        <v>43543033.1505305</v>
      </c>
      <c r="CE4" s="2163" t="n">
        <f aca="false">'Balance Sheet'!AI3</f>
        <v>47086613.8309104</v>
      </c>
      <c r="CF4" s="2163" t="n">
        <f aca="false">'Balance Sheet'!AJ3</f>
        <v>50630069.9648624</v>
      </c>
      <c r="CG4" s="2164" t="n">
        <f aca="false">'Balance Sheet'!AK3</f>
        <v>54173400.9296542</v>
      </c>
      <c r="CH4" s="2135"/>
      <c r="CI4" s="1944" t="str">
        <f aca="false">BU4</f>
        <v>Cash</v>
      </c>
      <c r="CJ4" s="2165" t="n">
        <v>0</v>
      </c>
      <c r="CK4" s="2165" t="n">
        <v>0</v>
      </c>
      <c r="CL4" s="2165" t="n">
        <v>0</v>
      </c>
      <c r="CM4" s="2165" t="n">
        <v>0</v>
      </c>
      <c r="CN4" s="2165" t="n">
        <v>0</v>
      </c>
      <c r="CO4" s="2165" t="n">
        <v>0</v>
      </c>
      <c r="CP4" s="2165" t="n">
        <v>0</v>
      </c>
      <c r="CQ4" s="2165" t="n">
        <v>0</v>
      </c>
      <c r="CR4" s="2165" t="n">
        <v>0</v>
      </c>
      <c r="CS4" s="2165" t="n">
        <v>0</v>
      </c>
      <c r="CT4" s="2165" t="n">
        <v>0</v>
      </c>
      <c r="CU4" s="2166" t="n">
        <v>0</v>
      </c>
      <c r="CV4" s="2135"/>
      <c r="CW4" s="1948" t="str">
        <f aca="false">CI4</f>
        <v>Cash</v>
      </c>
      <c r="CX4" s="2167" t="n">
        <v>0</v>
      </c>
      <c r="CY4" s="2167" t="n">
        <v>0</v>
      </c>
      <c r="CZ4" s="2167" t="n">
        <v>0</v>
      </c>
      <c r="DA4" s="2167" t="n">
        <v>0</v>
      </c>
      <c r="DB4" s="2167" t="n">
        <v>0</v>
      </c>
      <c r="DC4" s="2167" t="n">
        <v>0</v>
      </c>
      <c r="DD4" s="2167" t="n">
        <v>0</v>
      </c>
      <c r="DE4" s="2167" t="n">
        <v>0</v>
      </c>
      <c r="DF4" s="2167" t="n">
        <v>0</v>
      </c>
      <c r="DG4" s="2167" t="n">
        <v>0</v>
      </c>
      <c r="DH4" s="2167" t="n">
        <v>0</v>
      </c>
      <c r="DI4" s="2168" t="n">
        <v>0</v>
      </c>
    </row>
    <row r="5" customFormat="false" ht="12.75" hidden="false" customHeight="true" outlineLevel="0" collapsed="false">
      <c r="A5" s="1157"/>
      <c r="B5" s="1936" t="str">
        <f aca="false">'Tables 5Y'!DH5</f>
        <v>Depreciation &amp; Amortization</v>
      </c>
      <c r="C5" s="1972" t="n">
        <f aca="false">'Cash Flow'!N27</f>
        <v>187748.5</v>
      </c>
      <c r="D5" s="1972" t="n">
        <f aca="false">'Cash Flow'!O27</f>
        <v>191631.96</v>
      </c>
      <c r="E5" s="1972" t="n">
        <f aca="false">'Cash Flow'!P27</f>
        <v>195515.42</v>
      </c>
      <c r="F5" s="1972" t="n">
        <f aca="false">'Cash Flow'!Q27</f>
        <v>195515.42</v>
      </c>
      <c r="G5" s="1972" t="n">
        <f aca="false">'Cash Flow'!R27</f>
        <v>195515.42</v>
      </c>
      <c r="H5" s="1972" t="n">
        <f aca="false">'Cash Flow'!S27</f>
        <v>195515.42</v>
      </c>
      <c r="I5" s="1972" t="n">
        <f aca="false">'Cash Flow'!T27</f>
        <v>195515.42</v>
      </c>
      <c r="J5" s="1972" t="n">
        <f aca="false">'Cash Flow'!U27</f>
        <v>195515.42</v>
      </c>
      <c r="K5" s="1972" t="n">
        <f aca="false">'Cash Flow'!V27</f>
        <v>195515.42</v>
      </c>
      <c r="L5" s="1972" t="n">
        <f aca="false">'Cash Flow'!W27</f>
        <v>195515.42</v>
      </c>
      <c r="M5" s="1972" t="n">
        <f aca="false">'Cash Flow'!X27</f>
        <v>195515.42</v>
      </c>
      <c r="N5" s="2156" t="n">
        <f aca="false">'Cash Flow'!Y27</f>
        <v>195515.42</v>
      </c>
      <c r="O5" s="2135"/>
      <c r="P5" s="1940" t="str">
        <f aca="false">B5</f>
        <v>Depreciation &amp; Amortization</v>
      </c>
      <c r="Q5" s="1976" t="n">
        <f aca="false">'Cash Flow'!Z27</f>
        <v>195515.42</v>
      </c>
      <c r="R5" s="1976" t="n">
        <f aca="false">'Cash Flow'!AA27</f>
        <v>195515.42</v>
      </c>
      <c r="S5" s="1976" t="n">
        <f aca="false">'Cash Flow'!AB27</f>
        <v>195515.42</v>
      </c>
      <c r="T5" s="1976" t="n">
        <f aca="false">'Cash Flow'!AC27</f>
        <v>195515.42</v>
      </c>
      <c r="U5" s="1976" t="n">
        <f aca="false">'Cash Flow'!AD27</f>
        <v>195515.42</v>
      </c>
      <c r="V5" s="1976" t="n">
        <f aca="false">'Cash Flow'!AE27</f>
        <v>195515.42</v>
      </c>
      <c r="W5" s="1976" t="n">
        <f aca="false">'Cash Flow'!AF27</f>
        <v>195515.42</v>
      </c>
      <c r="X5" s="1976" t="n">
        <f aca="false">'Cash Flow'!AG27</f>
        <v>195515.42</v>
      </c>
      <c r="Y5" s="1976" t="n">
        <f aca="false">'Cash Flow'!AH27</f>
        <v>195515.42</v>
      </c>
      <c r="Z5" s="1976" t="n">
        <f aca="false">'Cash Flow'!AI27</f>
        <v>195515.42</v>
      </c>
      <c r="AA5" s="1976" t="n">
        <f aca="false">'Cash Flow'!AJ27</f>
        <v>195515.42</v>
      </c>
      <c r="AB5" s="2157" t="n">
        <f aca="false">'Cash Flow'!AK27</f>
        <v>195515.42</v>
      </c>
      <c r="AC5" s="2135"/>
      <c r="AD5" s="1944" t="str">
        <f aca="false">P5</f>
        <v>Depreciation &amp; Amortization</v>
      </c>
      <c r="AE5" s="1980" t="n">
        <f aca="false">'Cash Flow'!AL27</f>
        <v>195515.42</v>
      </c>
      <c r="AF5" s="1980" t="n">
        <f aca="false">'Cash Flow'!AM27</f>
        <v>195515.42</v>
      </c>
      <c r="AG5" s="1980" t="n">
        <f aca="false">'Cash Flow'!AN27</f>
        <v>195515.42</v>
      </c>
      <c r="AH5" s="1980" t="n">
        <f aca="false">'Cash Flow'!AO27</f>
        <v>195515.42</v>
      </c>
      <c r="AI5" s="1980" t="n">
        <f aca="false">'Cash Flow'!AP27</f>
        <v>195515.42</v>
      </c>
      <c r="AJ5" s="1980" t="n">
        <f aca="false">'Cash Flow'!AQ27</f>
        <v>195515.42</v>
      </c>
      <c r="AK5" s="1980" t="n">
        <f aca="false">'Cash Flow'!AR27</f>
        <v>195515.42</v>
      </c>
      <c r="AL5" s="1980" t="n">
        <f aca="false">'Cash Flow'!AS27</f>
        <v>195515.42</v>
      </c>
      <c r="AM5" s="1980" t="n">
        <f aca="false">'Cash Flow'!AT27</f>
        <v>195515.42</v>
      </c>
      <c r="AN5" s="1980" t="n">
        <f aca="false">'Cash Flow'!AU27</f>
        <v>195515.42</v>
      </c>
      <c r="AO5" s="1980" t="n">
        <f aca="false">'Cash Flow'!AV27</f>
        <v>195515.42</v>
      </c>
      <c r="AP5" s="2158" t="n">
        <f aca="false">'Cash Flow'!AW27</f>
        <v>195515.42</v>
      </c>
      <c r="AQ5" s="2135"/>
      <c r="AR5" s="2173" t="str">
        <f aca="false">AD5</f>
        <v>Depreciation &amp; Amortization</v>
      </c>
      <c r="AS5" s="1984" t="n">
        <f aca="false">'Cash Flow'!AX27</f>
        <v>195515.42</v>
      </c>
      <c r="AT5" s="1984" t="n">
        <f aca="false">'Cash Flow'!AY27</f>
        <v>195515.42</v>
      </c>
      <c r="AU5" s="1984" t="n">
        <f aca="false">'Cash Flow'!AZ27</f>
        <v>195515.42</v>
      </c>
      <c r="AV5" s="1984" t="n">
        <f aca="false">'Cash Flow'!BA27</f>
        <v>195515.42</v>
      </c>
      <c r="AW5" s="1984" t="n">
        <f aca="false">'Cash Flow'!BB27</f>
        <v>195515.42</v>
      </c>
      <c r="AX5" s="1984" t="n">
        <f aca="false">'Cash Flow'!BC27</f>
        <v>195515.42</v>
      </c>
      <c r="AY5" s="1984" t="n">
        <f aca="false">'Cash Flow'!BD27</f>
        <v>195515.42</v>
      </c>
      <c r="AZ5" s="1984" t="n">
        <f aca="false">'Cash Flow'!BE27</f>
        <v>195515.42</v>
      </c>
      <c r="BA5" s="1984" t="n">
        <f aca="false">'Cash Flow'!BF27</f>
        <v>195515.42</v>
      </c>
      <c r="BB5" s="1984" t="n">
        <f aca="false">'Cash Flow'!BG27</f>
        <v>195515.42</v>
      </c>
      <c r="BC5" s="1984" t="n">
        <f aca="false">'Cash Flow'!BH27</f>
        <v>195515.42</v>
      </c>
      <c r="BD5" s="2160" t="n">
        <f aca="false">'Cash Flow'!BI27</f>
        <v>195515.42</v>
      </c>
      <c r="BE5" s="1466"/>
      <c r="BF5" s="1157"/>
      <c r="BG5" s="1936" t="str">
        <f aca="false">'Tables 5Y'!EE5</f>
        <v>Accounts Receivable</v>
      </c>
      <c r="BH5" s="2161" t="n">
        <f aca="false">'Balance Sheet'!N4</f>
        <v>3238149.47091429</v>
      </c>
      <c r="BI5" s="2161" t="n">
        <f aca="false">'Balance Sheet'!O4</f>
        <v>3597943.85657143</v>
      </c>
      <c r="BJ5" s="2161" t="n">
        <f aca="false">'Balance Sheet'!P4</f>
        <v>3957738.24222857</v>
      </c>
      <c r="BK5" s="2161" t="n">
        <f aca="false">'Balance Sheet'!Q4</f>
        <v>4317532.62788572</v>
      </c>
      <c r="BL5" s="2161" t="n">
        <f aca="false">'Balance Sheet'!R4</f>
        <v>4677327.01354286</v>
      </c>
      <c r="BM5" s="2161" t="n">
        <f aca="false">'Balance Sheet'!S4</f>
        <v>5037121.3992</v>
      </c>
      <c r="BN5" s="2161" t="n">
        <f aca="false">'Balance Sheet'!T4</f>
        <v>5396915.78485715</v>
      </c>
      <c r="BO5" s="2161" t="n">
        <f aca="false">'Balance Sheet'!U4</f>
        <v>5756710.17051429</v>
      </c>
      <c r="BP5" s="2161" t="n">
        <f aca="false">'Balance Sheet'!V4</f>
        <v>6116504.55617143</v>
      </c>
      <c r="BQ5" s="2161" t="n">
        <f aca="false">'Balance Sheet'!W4</f>
        <v>6476298.94182857</v>
      </c>
      <c r="BR5" s="2161" t="n">
        <f aca="false">'Balance Sheet'!X4</f>
        <v>6836093.32748571</v>
      </c>
      <c r="BS5" s="2162" t="n">
        <f aca="false">'Balance Sheet'!Y4</f>
        <v>7195887.71314286</v>
      </c>
      <c r="BT5" s="2135"/>
      <c r="BU5" s="1940" t="str">
        <f aca="false">BG5</f>
        <v>Accounts Receivable</v>
      </c>
      <c r="BV5" s="2163" t="n">
        <f aca="false">'Balance Sheet'!Z4</f>
        <v>13737603.816</v>
      </c>
      <c r="BW5" s="2163" t="n">
        <f aca="false">'Balance Sheet'!AA4</f>
        <v>13737603.816</v>
      </c>
      <c r="BX5" s="2163" t="n">
        <f aca="false">'Balance Sheet'!AB4</f>
        <v>13737603.816</v>
      </c>
      <c r="BY5" s="2163" t="n">
        <f aca="false">'Balance Sheet'!AC4</f>
        <v>13737603.816</v>
      </c>
      <c r="BZ5" s="2163" t="n">
        <f aca="false">'Balance Sheet'!AD4</f>
        <v>13737603.816</v>
      </c>
      <c r="CA5" s="2163" t="n">
        <f aca="false">'Balance Sheet'!AE4</f>
        <v>13737603.816</v>
      </c>
      <c r="CB5" s="2163" t="n">
        <f aca="false">'Balance Sheet'!AF4</f>
        <v>13737603.816</v>
      </c>
      <c r="CC5" s="2163" t="n">
        <f aca="false">'Balance Sheet'!AG4</f>
        <v>13737603.816</v>
      </c>
      <c r="CD5" s="2163" t="n">
        <f aca="false">'Balance Sheet'!AH4</f>
        <v>13737603.816</v>
      </c>
      <c r="CE5" s="2163" t="n">
        <f aca="false">'Balance Sheet'!AI4</f>
        <v>13737603.816</v>
      </c>
      <c r="CF5" s="2163" t="n">
        <f aca="false">'Balance Sheet'!AJ4</f>
        <v>13737603.816</v>
      </c>
      <c r="CG5" s="2164" t="n">
        <f aca="false">'Balance Sheet'!AK4</f>
        <v>13737603.816</v>
      </c>
      <c r="CH5" s="2135"/>
      <c r="CI5" s="1944" t="str">
        <f aca="false">BU5</f>
        <v>Accounts Receivable</v>
      </c>
      <c r="CJ5" s="2165" t="n">
        <f aca="false">'Balance Sheet'!AL4</f>
        <v>14882404.134</v>
      </c>
      <c r="CK5" s="2165" t="n">
        <f aca="false">'Balance Sheet'!AM4</f>
        <v>14882404.134</v>
      </c>
      <c r="CL5" s="2165" t="n">
        <f aca="false">'Balance Sheet'!AN4</f>
        <v>14882404.134</v>
      </c>
      <c r="CM5" s="2165" t="n">
        <f aca="false">'Balance Sheet'!AO4</f>
        <v>14882404.134</v>
      </c>
      <c r="CN5" s="2165" t="n">
        <f aca="false">'Balance Sheet'!AP4</f>
        <v>14882404.134</v>
      </c>
      <c r="CO5" s="2165" t="n">
        <f aca="false">'Balance Sheet'!AQ4</f>
        <v>14882404.134</v>
      </c>
      <c r="CP5" s="2165" t="n">
        <f aca="false">'Balance Sheet'!AR4</f>
        <v>14882404.134</v>
      </c>
      <c r="CQ5" s="2165" t="n">
        <f aca="false">'Balance Sheet'!AS4</f>
        <v>14882404.134</v>
      </c>
      <c r="CR5" s="2165" t="n">
        <f aca="false">'Balance Sheet'!AT4</f>
        <v>14882404.134</v>
      </c>
      <c r="CS5" s="2165" t="n">
        <f aca="false">'Balance Sheet'!AU4</f>
        <v>14882404.134</v>
      </c>
      <c r="CT5" s="2165" t="n">
        <f aca="false">'Balance Sheet'!AV4</f>
        <v>14882404.134</v>
      </c>
      <c r="CU5" s="2166" t="n">
        <f aca="false">'Balance Sheet'!AW4</f>
        <v>14882404.134</v>
      </c>
      <c r="CV5" s="2135"/>
      <c r="CW5" s="1948" t="str">
        <f aca="false">CI5</f>
        <v>Accounts Receivable</v>
      </c>
      <c r="CX5" s="2167" t="n">
        <f aca="false">'Balance Sheet'!AX4</f>
        <v>16027204.452</v>
      </c>
      <c r="CY5" s="2167" t="n">
        <f aca="false">'Balance Sheet'!AY4</f>
        <v>16027204.452</v>
      </c>
      <c r="CZ5" s="2167" t="n">
        <f aca="false">'Balance Sheet'!AZ4</f>
        <v>16027204.452</v>
      </c>
      <c r="DA5" s="2167" t="n">
        <f aca="false">'Balance Sheet'!BA4</f>
        <v>16027204.452</v>
      </c>
      <c r="DB5" s="2167" t="n">
        <f aca="false">'Balance Sheet'!BB4</f>
        <v>16027204.452</v>
      </c>
      <c r="DC5" s="2167" t="n">
        <f aca="false">'Balance Sheet'!BC4</f>
        <v>16027204.452</v>
      </c>
      <c r="DD5" s="2167" t="n">
        <f aca="false">'Balance Sheet'!BD4</f>
        <v>16027204.452</v>
      </c>
      <c r="DE5" s="2167" t="n">
        <f aca="false">'Balance Sheet'!BE4</f>
        <v>16027204.452</v>
      </c>
      <c r="DF5" s="2167" t="n">
        <f aca="false">'Balance Sheet'!BF4</f>
        <v>16027204.452</v>
      </c>
      <c r="DG5" s="2167" t="n">
        <f aca="false">'Balance Sheet'!BG4</f>
        <v>16027204.452</v>
      </c>
      <c r="DH5" s="2167" t="n">
        <f aca="false">'Balance Sheet'!BH4</f>
        <v>16027204.452</v>
      </c>
      <c r="DI5" s="2168" t="n">
        <f aca="false">'Balance Sheet'!BI4</f>
        <v>16027204.452</v>
      </c>
    </row>
    <row r="6" customFormat="false" ht="12.75" hidden="false" customHeight="true" outlineLevel="0" collapsed="false">
      <c r="A6" s="1157"/>
      <c r="B6" s="1936" t="str">
        <f aca="false">'Tables 5Y'!DH6</f>
        <v>Accounts Receivable</v>
      </c>
      <c r="C6" s="1972" t="n">
        <f aca="false">'Cash Flow'!N28</f>
        <v>-1120409.55144658</v>
      </c>
      <c r="D6" s="1972" t="n">
        <f aca="false">'Cash Flow'!O28</f>
        <v>-359794.385657143</v>
      </c>
      <c r="E6" s="1972" t="n">
        <f aca="false">'Cash Flow'!P28</f>
        <v>-359794.385657146</v>
      </c>
      <c r="F6" s="1972" t="n">
        <f aca="false">'Cash Flow'!Q28</f>
        <v>-359794.385657142</v>
      </c>
      <c r="G6" s="1972" t="n">
        <f aca="false">'Cash Flow'!R28</f>
        <v>-359794.385657143</v>
      </c>
      <c r="H6" s="1972" t="n">
        <f aca="false">'Cash Flow'!S28</f>
        <v>-359794.385657142</v>
      </c>
      <c r="I6" s="1972" t="n">
        <f aca="false">'Cash Flow'!T28</f>
        <v>-359794.385657146</v>
      </c>
      <c r="J6" s="1972" t="n">
        <f aca="false">'Cash Flow'!U28</f>
        <v>-359794.38565714</v>
      </c>
      <c r="K6" s="1972" t="n">
        <f aca="false">'Cash Flow'!V28</f>
        <v>-359794.38565714</v>
      </c>
      <c r="L6" s="1972" t="n">
        <f aca="false">'Cash Flow'!W28</f>
        <v>-359794.385657138</v>
      </c>
      <c r="M6" s="1972" t="n">
        <f aca="false">'Cash Flow'!X28</f>
        <v>-359794.385657148</v>
      </c>
      <c r="N6" s="2156" t="n">
        <f aca="false">'Cash Flow'!Y28</f>
        <v>-359794.385657144</v>
      </c>
      <c r="O6" s="2135"/>
      <c r="P6" s="1940" t="str">
        <f aca="false">B6</f>
        <v>Accounts Receivable</v>
      </c>
      <c r="Q6" s="1976" t="n">
        <f aca="false">'Cash Flow'!Z28</f>
        <v>-6541716.10285714</v>
      </c>
      <c r="R6" s="1976" t="n">
        <f aca="false">'Cash Flow'!AA28</f>
        <v>-0</v>
      </c>
      <c r="S6" s="1976" t="n">
        <f aca="false">'Cash Flow'!AB28</f>
        <v>-0</v>
      </c>
      <c r="T6" s="1976" t="n">
        <f aca="false">'Cash Flow'!AC28</f>
        <v>-0</v>
      </c>
      <c r="U6" s="1976" t="n">
        <f aca="false">'Cash Flow'!AD28</f>
        <v>-0</v>
      </c>
      <c r="V6" s="1976" t="n">
        <f aca="false">'Cash Flow'!AE28</f>
        <v>-0</v>
      </c>
      <c r="W6" s="1976" t="n">
        <f aca="false">'Cash Flow'!AF28</f>
        <v>-0</v>
      </c>
      <c r="X6" s="1976" t="n">
        <f aca="false">'Cash Flow'!AG28</f>
        <v>-0</v>
      </c>
      <c r="Y6" s="1976" t="n">
        <f aca="false">'Cash Flow'!AH28</f>
        <v>-0</v>
      </c>
      <c r="Z6" s="1976" t="n">
        <f aca="false">'Cash Flow'!AI28</f>
        <v>-0</v>
      </c>
      <c r="AA6" s="1976" t="n">
        <f aca="false">'Cash Flow'!AJ28</f>
        <v>-0</v>
      </c>
      <c r="AB6" s="2157" t="n">
        <f aca="false">'Cash Flow'!AK28</f>
        <v>-0</v>
      </c>
      <c r="AC6" s="2135"/>
      <c r="AD6" s="1944" t="str">
        <f aca="false">P6</f>
        <v>Accounts Receivable</v>
      </c>
      <c r="AE6" s="1980" t="n">
        <f aca="false">'Cash Flow'!AL28</f>
        <v>-1144800.318</v>
      </c>
      <c r="AF6" s="1980" t="n">
        <f aca="false">'Cash Flow'!AM28</f>
        <v>-0</v>
      </c>
      <c r="AG6" s="1980" t="n">
        <f aca="false">'Cash Flow'!AN28</f>
        <v>-0</v>
      </c>
      <c r="AH6" s="1980" t="n">
        <f aca="false">'Cash Flow'!AO28</f>
        <v>-0</v>
      </c>
      <c r="AI6" s="1980" t="n">
        <f aca="false">'Cash Flow'!AP28</f>
        <v>-0</v>
      </c>
      <c r="AJ6" s="1980" t="n">
        <f aca="false">'Cash Flow'!AQ28</f>
        <v>-0</v>
      </c>
      <c r="AK6" s="1980" t="n">
        <f aca="false">'Cash Flow'!AR28</f>
        <v>-0</v>
      </c>
      <c r="AL6" s="1980" t="n">
        <f aca="false">'Cash Flow'!AS28</f>
        <v>-0</v>
      </c>
      <c r="AM6" s="1980" t="n">
        <f aca="false">'Cash Flow'!AT28</f>
        <v>-0</v>
      </c>
      <c r="AN6" s="1980" t="n">
        <f aca="false">'Cash Flow'!AU28</f>
        <v>-0</v>
      </c>
      <c r="AO6" s="1980" t="n">
        <f aca="false">'Cash Flow'!AV28</f>
        <v>-0</v>
      </c>
      <c r="AP6" s="2158" t="n">
        <f aca="false">'Cash Flow'!AW28</f>
        <v>-0</v>
      </c>
      <c r="AQ6" s="2135"/>
      <c r="AR6" s="2173" t="str">
        <f aca="false">AD6</f>
        <v>Accounts Receivable</v>
      </c>
      <c r="AS6" s="1984" t="n">
        <f aca="false">'Cash Flow'!AX28</f>
        <v>-1144800.318</v>
      </c>
      <c r="AT6" s="1984" t="n">
        <f aca="false">'Cash Flow'!AY28</f>
        <v>-0</v>
      </c>
      <c r="AU6" s="1984" t="n">
        <f aca="false">'Cash Flow'!AZ28</f>
        <v>-0</v>
      </c>
      <c r="AV6" s="1984" t="n">
        <f aca="false">'Cash Flow'!BA28</f>
        <v>-0</v>
      </c>
      <c r="AW6" s="1984" t="n">
        <f aca="false">'Cash Flow'!BB28</f>
        <v>-0</v>
      </c>
      <c r="AX6" s="1984" t="n">
        <f aca="false">'Cash Flow'!BC28</f>
        <v>-0</v>
      </c>
      <c r="AY6" s="1984" t="n">
        <f aca="false">'Cash Flow'!BD28</f>
        <v>-0</v>
      </c>
      <c r="AZ6" s="1984" t="n">
        <f aca="false">'Cash Flow'!BE28</f>
        <v>-0</v>
      </c>
      <c r="BA6" s="1984" t="n">
        <f aca="false">'Cash Flow'!BF28</f>
        <v>-0</v>
      </c>
      <c r="BB6" s="1984" t="n">
        <f aca="false">'Cash Flow'!BG28</f>
        <v>-0</v>
      </c>
      <c r="BC6" s="1984" t="n">
        <f aca="false">'Cash Flow'!BH28</f>
        <v>-0</v>
      </c>
      <c r="BD6" s="2160" t="n">
        <f aca="false">'Cash Flow'!BI28</f>
        <v>-0</v>
      </c>
      <c r="BE6" s="1466"/>
      <c r="BF6" s="1157"/>
      <c r="BG6" s="1936" t="str">
        <f aca="false">'Tables 5Y'!EE6</f>
        <v>Inventory</v>
      </c>
      <c r="BH6" s="2161" t="n">
        <f aca="false">'Balance Sheet'!N5</f>
        <v>0</v>
      </c>
      <c r="BI6" s="2161" t="n">
        <f aca="false">'Balance Sheet'!O5</f>
        <v>0</v>
      </c>
      <c r="BJ6" s="2161" t="n">
        <f aca="false">'Balance Sheet'!P5</f>
        <v>0</v>
      </c>
      <c r="BK6" s="2161" t="n">
        <f aca="false">'Balance Sheet'!Q5</f>
        <v>0</v>
      </c>
      <c r="BL6" s="2161" t="n">
        <f aca="false">'Balance Sheet'!R5</f>
        <v>0</v>
      </c>
      <c r="BM6" s="2161" t="n">
        <f aca="false">'Balance Sheet'!S5</f>
        <v>0</v>
      </c>
      <c r="BN6" s="2161" t="n">
        <f aca="false">'Balance Sheet'!T5</f>
        <v>0</v>
      </c>
      <c r="BO6" s="2161" t="n">
        <f aca="false">'Balance Sheet'!U5</f>
        <v>0</v>
      </c>
      <c r="BP6" s="2161" t="n">
        <f aca="false">'Balance Sheet'!V5</f>
        <v>0</v>
      </c>
      <c r="BQ6" s="2161" t="n">
        <f aca="false">'Balance Sheet'!W5</f>
        <v>0</v>
      </c>
      <c r="BR6" s="2161" t="n">
        <f aca="false">'Balance Sheet'!X5</f>
        <v>0</v>
      </c>
      <c r="BS6" s="2162" t="n">
        <f aca="false">'Balance Sheet'!Y5</f>
        <v>0</v>
      </c>
      <c r="BT6" s="2135"/>
      <c r="BU6" s="1940" t="str">
        <f aca="false">BG6</f>
        <v>Inventory</v>
      </c>
      <c r="BV6" s="2163" t="n">
        <f aca="false">'Balance Sheet'!Z5</f>
        <v>0</v>
      </c>
      <c r="BW6" s="2163" t="n">
        <f aca="false">'Balance Sheet'!AA5</f>
        <v>0</v>
      </c>
      <c r="BX6" s="2163" t="n">
        <f aca="false">'Balance Sheet'!AB5</f>
        <v>0</v>
      </c>
      <c r="BY6" s="2163" t="n">
        <f aca="false">'Balance Sheet'!AC5</f>
        <v>0</v>
      </c>
      <c r="BZ6" s="2163" t="n">
        <f aca="false">'Balance Sheet'!AD5</f>
        <v>0</v>
      </c>
      <c r="CA6" s="2163" t="n">
        <f aca="false">'Balance Sheet'!AE5</f>
        <v>0</v>
      </c>
      <c r="CB6" s="2163" t="n">
        <f aca="false">'Balance Sheet'!AF5</f>
        <v>0</v>
      </c>
      <c r="CC6" s="2163" t="n">
        <f aca="false">'Balance Sheet'!AG5</f>
        <v>0</v>
      </c>
      <c r="CD6" s="2163" t="n">
        <f aca="false">'Balance Sheet'!AH5</f>
        <v>0</v>
      </c>
      <c r="CE6" s="2163" t="n">
        <f aca="false">'Balance Sheet'!AI5</f>
        <v>0</v>
      </c>
      <c r="CF6" s="2163" t="n">
        <f aca="false">'Balance Sheet'!AJ5</f>
        <v>0</v>
      </c>
      <c r="CG6" s="2164" t="n">
        <f aca="false">'Balance Sheet'!AK5</f>
        <v>0</v>
      </c>
      <c r="CH6" s="2135"/>
      <c r="CI6" s="1944" t="str">
        <f aca="false">BU6</f>
        <v>Inventory</v>
      </c>
      <c r="CJ6" s="2165" t="n">
        <f aca="false">'Balance Sheet'!AL5</f>
        <v>0</v>
      </c>
      <c r="CK6" s="2165" t="n">
        <f aca="false">'Balance Sheet'!AM5</f>
        <v>0</v>
      </c>
      <c r="CL6" s="2165" t="n">
        <f aca="false">'Balance Sheet'!AN5</f>
        <v>0</v>
      </c>
      <c r="CM6" s="2165" t="n">
        <f aca="false">'Balance Sheet'!AO5</f>
        <v>0</v>
      </c>
      <c r="CN6" s="2165" t="n">
        <f aca="false">'Balance Sheet'!AP5</f>
        <v>0</v>
      </c>
      <c r="CO6" s="2165" t="n">
        <f aca="false">'Balance Sheet'!AQ5</f>
        <v>0</v>
      </c>
      <c r="CP6" s="2165" t="n">
        <f aca="false">'Balance Sheet'!AR5</f>
        <v>0</v>
      </c>
      <c r="CQ6" s="2165" t="n">
        <f aca="false">'Balance Sheet'!AS5</f>
        <v>0</v>
      </c>
      <c r="CR6" s="2165" t="n">
        <f aca="false">'Balance Sheet'!AT5</f>
        <v>0</v>
      </c>
      <c r="CS6" s="2165" t="n">
        <f aca="false">'Balance Sheet'!AU5</f>
        <v>0</v>
      </c>
      <c r="CT6" s="2165" t="n">
        <f aca="false">'Balance Sheet'!AV5</f>
        <v>0</v>
      </c>
      <c r="CU6" s="2166" t="n">
        <f aca="false">'Balance Sheet'!AW5</f>
        <v>0</v>
      </c>
      <c r="CV6" s="2135"/>
      <c r="CW6" s="1948" t="str">
        <f aca="false">CI6</f>
        <v>Inventory</v>
      </c>
      <c r="CX6" s="2167" t="n">
        <f aca="false">'Balance Sheet'!AX5</f>
        <v>0</v>
      </c>
      <c r="CY6" s="2167" t="n">
        <f aca="false">'Balance Sheet'!AY5</f>
        <v>0</v>
      </c>
      <c r="CZ6" s="2167" t="n">
        <f aca="false">'Balance Sheet'!AZ5</f>
        <v>0</v>
      </c>
      <c r="DA6" s="2167" t="n">
        <f aca="false">'Balance Sheet'!BA5</f>
        <v>0</v>
      </c>
      <c r="DB6" s="2167" t="n">
        <f aca="false">'Balance Sheet'!BB5</f>
        <v>0</v>
      </c>
      <c r="DC6" s="2167" t="n">
        <f aca="false">'Balance Sheet'!BC5</f>
        <v>0</v>
      </c>
      <c r="DD6" s="2167" t="n">
        <f aca="false">'Balance Sheet'!BD5</f>
        <v>0</v>
      </c>
      <c r="DE6" s="2167" t="n">
        <f aca="false">'Balance Sheet'!BE5</f>
        <v>0</v>
      </c>
      <c r="DF6" s="2167" t="n">
        <f aca="false">'Balance Sheet'!BF5</f>
        <v>0</v>
      </c>
      <c r="DG6" s="2167" t="n">
        <f aca="false">'Balance Sheet'!BG5</f>
        <v>0</v>
      </c>
      <c r="DH6" s="2167" t="n">
        <f aca="false">'Balance Sheet'!BH5</f>
        <v>0</v>
      </c>
      <c r="DI6" s="2168" t="n">
        <f aca="false">'Balance Sheet'!BI5</f>
        <v>0</v>
      </c>
    </row>
    <row r="7" customFormat="false" ht="12.75" hidden="false" customHeight="true" outlineLevel="0" collapsed="false">
      <c r="A7" s="1157"/>
      <c r="B7" s="1936" t="str">
        <f aca="false">'Tables 5Y'!DH7</f>
        <v>Inventory </v>
      </c>
      <c r="C7" s="1972" t="n">
        <f aca="false">'Cash Flow'!N29</f>
        <v>-0</v>
      </c>
      <c r="D7" s="1972" t="n">
        <f aca="false">'Cash Flow'!O29</f>
        <v>-0</v>
      </c>
      <c r="E7" s="1972" t="n">
        <f aca="false">'Cash Flow'!P29</f>
        <v>-0</v>
      </c>
      <c r="F7" s="1972" t="n">
        <f aca="false">'Cash Flow'!Q29</f>
        <v>-0</v>
      </c>
      <c r="G7" s="1972" t="n">
        <f aca="false">'Cash Flow'!R29</f>
        <v>-0</v>
      </c>
      <c r="H7" s="1972" t="n">
        <f aca="false">'Cash Flow'!S29</f>
        <v>-0</v>
      </c>
      <c r="I7" s="1972" t="n">
        <f aca="false">'Cash Flow'!T29</f>
        <v>-0</v>
      </c>
      <c r="J7" s="1972" t="n">
        <f aca="false">'Cash Flow'!U29</f>
        <v>-0</v>
      </c>
      <c r="K7" s="1972" t="n">
        <f aca="false">'Cash Flow'!V29</f>
        <v>-0</v>
      </c>
      <c r="L7" s="1972" t="n">
        <f aca="false">'Cash Flow'!W29</f>
        <v>-0</v>
      </c>
      <c r="M7" s="1972" t="n">
        <f aca="false">'Cash Flow'!X29</f>
        <v>-0</v>
      </c>
      <c r="N7" s="2156" t="n">
        <f aca="false">'Cash Flow'!Y29</f>
        <v>-0</v>
      </c>
      <c r="O7" s="2135"/>
      <c r="P7" s="1940" t="str">
        <f aca="false">B7</f>
        <v>Inventory </v>
      </c>
      <c r="Q7" s="1976" t="n">
        <f aca="false">'Cash Flow'!Z29</f>
        <v>-0</v>
      </c>
      <c r="R7" s="1976" t="n">
        <f aca="false">'Cash Flow'!AA29</f>
        <v>-0</v>
      </c>
      <c r="S7" s="1976" t="n">
        <f aca="false">'Cash Flow'!AB29</f>
        <v>-0</v>
      </c>
      <c r="T7" s="1976" t="n">
        <f aca="false">'Cash Flow'!AC29</f>
        <v>-0</v>
      </c>
      <c r="U7" s="1976" t="n">
        <f aca="false">'Cash Flow'!AD29</f>
        <v>-0</v>
      </c>
      <c r="V7" s="1976" t="n">
        <f aca="false">'Cash Flow'!AE29</f>
        <v>-0</v>
      </c>
      <c r="W7" s="1976" t="n">
        <f aca="false">'Cash Flow'!AF29</f>
        <v>-0</v>
      </c>
      <c r="X7" s="1976" t="n">
        <f aca="false">'Cash Flow'!AG29</f>
        <v>-0</v>
      </c>
      <c r="Y7" s="1976" t="n">
        <f aca="false">'Cash Flow'!AH29</f>
        <v>-0</v>
      </c>
      <c r="Z7" s="1976" t="n">
        <f aca="false">'Cash Flow'!AI29</f>
        <v>-0</v>
      </c>
      <c r="AA7" s="1976" t="n">
        <f aca="false">'Cash Flow'!AJ29</f>
        <v>-0</v>
      </c>
      <c r="AB7" s="2157" t="n">
        <f aca="false">'Cash Flow'!AK29</f>
        <v>-0</v>
      </c>
      <c r="AC7" s="2135"/>
      <c r="AD7" s="1944" t="str">
        <f aca="false">P7</f>
        <v>Inventory </v>
      </c>
      <c r="AE7" s="1980" t="n">
        <f aca="false">'Cash Flow'!AL29</f>
        <v>-0</v>
      </c>
      <c r="AF7" s="1980" t="n">
        <f aca="false">'Cash Flow'!AM29</f>
        <v>-0</v>
      </c>
      <c r="AG7" s="1980" t="n">
        <f aca="false">'Cash Flow'!AN29</f>
        <v>-0</v>
      </c>
      <c r="AH7" s="1980" t="n">
        <f aca="false">'Cash Flow'!AO29</f>
        <v>-0</v>
      </c>
      <c r="AI7" s="1980" t="n">
        <f aca="false">'Cash Flow'!AP29</f>
        <v>-0</v>
      </c>
      <c r="AJ7" s="1980" t="n">
        <f aca="false">'Cash Flow'!AQ29</f>
        <v>-0</v>
      </c>
      <c r="AK7" s="1980" t="n">
        <f aca="false">'Cash Flow'!AR29</f>
        <v>-0</v>
      </c>
      <c r="AL7" s="1980" t="n">
        <f aca="false">'Cash Flow'!AS29</f>
        <v>-0</v>
      </c>
      <c r="AM7" s="1980" t="n">
        <f aca="false">'Cash Flow'!AT29</f>
        <v>-0</v>
      </c>
      <c r="AN7" s="1980" t="n">
        <f aca="false">'Cash Flow'!AU29</f>
        <v>-0</v>
      </c>
      <c r="AO7" s="1980" t="n">
        <f aca="false">'Cash Flow'!AV29</f>
        <v>-0</v>
      </c>
      <c r="AP7" s="2158" t="n">
        <f aca="false">'Cash Flow'!AW29</f>
        <v>-0</v>
      </c>
      <c r="AQ7" s="2135"/>
      <c r="AR7" s="2173" t="str">
        <f aca="false">AD7</f>
        <v>Inventory </v>
      </c>
      <c r="AS7" s="1984" t="n">
        <f aca="false">'Cash Flow'!AX29</f>
        <v>-0</v>
      </c>
      <c r="AT7" s="1984" t="n">
        <f aca="false">'Cash Flow'!AY29</f>
        <v>-0</v>
      </c>
      <c r="AU7" s="1984" t="n">
        <f aca="false">'Cash Flow'!AZ29</f>
        <v>-0</v>
      </c>
      <c r="AV7" s="1984" t="n">
        <f aca="false">'Cash Flow'!BA29</f>
        <v>-0</v>
      </c>
      <c r="AW7" s="1984" t="n">
        <f aca="false">'Cash Flow'!BB29</f>
        <v>-0</v>
      </c>
      <c r="AX7" s="1984" t="n">
        <f aca="false">'Cash Flow'!BC29</f>
        <v>-0</v>
      </c>
      <c r="AY7" s="1984" t="n">
        <f aca="false">'Cash Flow'!BD29</f>
        <v>-0</v>
      </c>
      <c r="AZ7" s="1984" t="n">
        <f aca="false">'Cash Flow'!BE29</f>
        <v>-0</v>
      </c>
      <c r="BA7" s="1984" t="n">
        <f aca="false">'Cash Flow'!BF29</f>
        <v>-0</v>
      </c>
      <c r="BB7" s="1984" t="n">
        <f aca="false">'Cash Flow'!BG29</f>
        <v>-0</v>
      </c>
      <c r="BC7" s="1984" t="n">
        <f aca="false">'Cash Flow'!BH29</f>
        <v>-0</v>
      </c>
      <c r="BD7" s="2160" t="n">
        <f aca="false">'Cash Flow'!BI29</f>
        <v>-0</v>
      </c>
      <c r="BE7" s="1466"/>
      <c r="BF7" s="1157"/>
      <c r="BG7" s="1936" t="str">
        <f aca="false">'Tables 5Y'!EE7</f>
        <v>Other Current Assets</v>
      </c>
      <c r="BH7" s="2161" t="n">
        <f aca="false">'Balance Sheet'!N6</f>
        <v>0</v>
      </c>
      <c r="BI7" s="2161" t="n">
        <f aca="false">'Balance Sheet'!O6</f>
        <v>0</v>
      </c>
      <c r="BJ7" s="2161" t="n">
        <f aca="false">'Balance Sheet'!P6</f>
        <v>0</v>
      </c>
      <c r="BK7" s="2161" t="n">
        <f aca="false">'Balance Sheet'!Q6</f>
        <v>0</v>
      </c>
      <c r="BL7" s="2161" t="n">
        <f aca="false">'Balance Sheet'!R6</f>
        <v>0</v>
      </c>
      <c r="BM7" s="2161" t="n">
        <f aca="false">'Balance Sheet'!S6</f>
        <v>0</v>
      </c>
      <c r="BN7" s="2161" t="n">
        <f aca="false">'Balance Sheet'!T6</f>
        <v>0</v>
      </c>
      <c r="BO7" s="2161" t="n">
        <f aca="false">'Balance Sheet'!U6</f>
        <v>0</v>
      </c>
      <c r="BP7" s="2161" t="n">
        <f aca="false">'Balance Sheet'!V6</f>
        <v>0</v>
      </c>
      <c r="BQ7" s="2161" t="n">
        <f aca="false">'Balance Sheet'!W6</f>
        <v>0</v>
      </c>
      <c r="BR7" s="2161" t="n">
        <f aca="false">'Balance Sheet'!X6</f>
        <v>0</v>
      </c>
      <c r="BS7" s="2162" t="n">
        <f aca="false">'Balance Sheet'!Y6</f>
        <v>0</v>
      </c>
      <c r="BT7" s="2135"/>
      <c r="BU7" s="1940" t="str">
        <f aca="false">BG7</f>
        <v>Other Current Assets</v>
      </c>
      <c r="BV7" s="2163" t="n">
        <f aca="false">'Balance Sheet'!Z6</f>
        <v>0</v>
      </c>
      <c r="BW7" s="2163" t="n">
        <f aca="false">'Balance Sheet'!AA6</f>
        <v>0</v>
      </c>
      <c r="BX7" s="2163" t="n">
        <f aca="false">'Balance Sheet'!AB6</f>
        <v>0</v>
      </c>
      <c r="BY7" s="2163" t="n">
        <f aca="false">'Balance Sheet'!AC6</f>
        <v>0</v>
      </c>
      <c r="BZ7" s="2163" t="n">
        <f aca="false">'Balance Sheet'!AD6</f>
        <v>0</v>
      </c>
      <c r="CA7" s="2163" t="n">
        <f aca="false">'Balance Sheet'!AE6</f>
        <v>0</v>
      </c>
      <c r="CB7" s="2163" t="n">
        <f aca="false">'Balance Sheet'!AF6</f>
        <v>0</v>
      </c>
      <c r="CC7" s="2163" t="n">
        <f aca="false">'Balance Sheet'!AG6</f>
        <v>0</v>
      </c>
      <c r="CD7" s="2163" t="n">
        <f aca="false">'Balance Sheet'!AH6</f>
        <v>0</v>
      </c>
      <c r="CE7" s="2163" t="n">
        <f aca="false">'Balance Sheet'!AI6</f>
        <v>0</v>
      </c>
      <c r="CF7" s="2163" t="n">
        <f aca="false">'Balance Sheet'!AJ6</f>
        <v>0</v>
      </c>
      <c r="CG7" s="2164" t="n">
        <f aca="false">'Balance Sheet'!AK6</f>
        <v>0</v>
      </c>
      <c r="CH7" s="2135"/>
      <c r="CI7" s="1944" t="str">
        <f aca="false">BU7</f>
        <v>Other Current Assets</v>
      </c>
      <c r="CJ7" s="2165" t="n">
        <f aca="false">'Balance Sheet'!AL6</f>
        <v>0</v>
      </c>
      <c r="CK7" s="2165" t="n">
        <f aca="false">'Balance Sheet'!AM6</f>
        <v>0</v>
      </c>
      <c r="CL7" s="2165" t="n">
        <f aca="false">'Balance Sheet'!AN6</f>
        <v>0</v>
      </c>
      <c r="CM7" s="2165" t="n">
        <f aca="false">'Balance Sheet'!AO6</f>
        <v>0</v>
      </c>
      <c r="CN7" s="2165" t="n">
        <f aca="false">'Balance Sheet'!AP6</f>
        <v>0</v>
      </c>
      <c r="CO7" s="2165" t="n">
        <f aca="false">'Balance Sheet'!AQ6</f>
        <v>0</v>
      </c>
      <c r="CP7" s="2165" t="n">
        <f aca="false">'Balance Sheet'!AR6</f>
        <v>0</v>
      </c>
      <c r="CQ7" s="2165" t="n">
        <f aca="false">'Balance Sheet'!AS6</f>
        <v>0</v>
      </c>
      <c r="CR7" s="2165" t="n">
        <f aca="false">'Balance Sheet'!AT6</f>
        <v>0</v>
      </c>
      <c r="CS7" s="2165" t="n">
        <f aca="false">'Balance Sheet'!AU6</f>
        <v>0</v>
      </c>
      <c r="CT7" s="2165" t="n">
        <f aca="false">'Balance Sheet'!AV6</f>
        <v>0</v>
      </c>
      <c r="CU7" s="2166" t="n">
        <f aca="false">'Balance Sheet'!AW6</f>
        <v>0</v>
      </c>
      <c r="CV7" s="2135"/>
      <c r="CW7" s="1948" t="str">
        <f aca="false">CI7</f>
        <v>Other Current Assets</v>
      </c>
      <c r="CX7" s="2167" t="n">
        <f aca="false">'Balance Sheet'!AX6</f>
        <v>0</v>
      </c>
      <c r="CY7" s="2167" t="n">
        <f aca="false">'Balance Sheet'!AY6</f>
        <v>0</v>
      </c>
      <c r="CZ7" s="2167" t="n">
        <f aca="false">'Balance Sheet'!AZ6</f>
        <v>0</v>
      </c>
      <c r="DA7" s="2167" t="n">
        <f aca="false">'Balance Sheet'!BA6</f>
        <v>0</v>
      </c>
      <c r="DB7" s="2167" t="n">
        <f aca="false">'Balance Sheet'!BB6</f>
        <v>0</v>
      </c>
      <c r="DC7" s="2167" t="n">
        <f aca="false">'Balance Sheet'!BC6</f>
        <v>0</v>
      </c>
      <c r="DD7" s="2167" t="n">
        <f aca="false">'Balance Sheet'!BD6</f>
        <v>0</v>
      </c>
      <c r="DE7" s="2167" t="n">
        <f aca="false">'Balance Sheet'!BE6</f>
        <v>0</v>
      </c>
      <c r="DF7" s="2167" t="n">
        <f aca="false">'Balance Sheet'!BF6</f>
        <v>0</v>
      </c>
      <c r="DG7" s="2167" t="n">
        <f aca="false">'Balance Sheet'!BG6</f>
        <v>0</v>
      </c>
      <c r="DH7" s="2167" t="n">
        <f aca="false">'Balance Sheet'!BH6</f>
        <v>0</v>
      </c>
      <c r="DI7" s="2168" t="n">
        <f aca="false">'Balance Sheet'!BI6</f>
        <v>0</v>
      </c>
    </row>
    <row r="8" customFormat="false" ht="12.75" hidden="false" customHeight="true" outlineLevel="0" collapsed="false">
      <c r="A8" s="1157"/>
      <c r="B8" s="1936" t="str">
        <f aca="false">'Tables 5Y'!DH8</f>
        <v>Accounts Payable</v>
      </c>
      <c r="C8" s="1972" t="n">
        <f aca="false">'Cash Flow'!N30</f>
        <v>568934.144597012</v>
      </c>
      <c r="D8" s="1972" t="n">
        <f aca="false">'Cash Flow'!O30</f>
        <v>266335.77047032</v>
      </c>
      <c r="E8" s="1972" t="n">
        <f aca="false">'Cash Flow'!P30</f>
        <v>310476.983379997</v>
      </c>
      <c r="F8" s="1972" t="n">
        <f aca="false">'Cash Flow'!Q30</f>
        <v>308161.266847371</v>
      </c>
      <c r="G8" s="1972" t="n">
        <f aca="false">'Cash Flow'!R30</f>
        <v>308157.64313881</v>
      </c>
      <c r="H8" s="1972" t="n">
        <f aca="false">'Cash Flow'!S30</f>
        <v>308154.001311706</v>
      </c>
      <c r="I8" s="1972" t="n">
        <f aca="false">'Cash Flow'!T30</f>
        <v>413223.604706595</v>
      </c>
      <c r="J8" s="1972" t="n">
        <f aca="false">'Cash Flow'!U30</f>
        <v>278358.939154978</v>
      </c>
      <c r="K8" s="1972" t="n">
        <f aca="false">'Cash Flow'!V30</f>
        <v>237693.007894994</v>
      </c>
      <c r="L8" s="1972" t="n">
        <f aca="false">'Cash Flow'!W30</f>
        <v>237689.849965012</v>
      </c>
      <c r="M8" s="1972" t="n">
        <f aca="false">'Cash Flow'!X30</f>
        <v>237686.676245384</v>
      </c>
      <c r="N8" s="2156" t="n">
        <f aca="false">'Cash Flow'!Y30</f>
        <v>237683.48665715</v>
      </c>
      <c r="O8" s="2135"/>
      <c r="P8" s="1940" t="str">
        <f aca="false">B8</f>
        <v>Accounts Payable</v>
      </c>
      <c r="Q8" s="1976" t="n">
        <f aca="false">'Cash Flow'!Z30</f>
        <v>4250714.94861072</v>
      </c>
      <c r="R8" s="1976" t="n">
        <f aca="false">'Cash Flow'!AA30</f>
        <v>-647.53433428146</v>
      </c>
      <c r="S8" s="1976" t="n">
        <f aca="false">'Cash Flow'!AB30</f>
        <v>-650.772005952895</v>
      </c>
      <c r="T8" s="1976" t="n">
        <f aca="false">'Cash Flow'!AC30</f>
        <v>-654.025865981355</v>
      </c>
      <c r="U8" s="1976" t="n">
        <f aca="false">'Cash Flow'!AD30</f>
        <v>-657.295995311812</v>
      </c>
      <c r="V8" s="1976" t="n">
        <f aca="false">'Cash Flow'!AE30</f>
        <v>-660.582475285977</v>
      </c>
      <c r="W8" s="1976" t="n">
        <f aca="false">'Cash Flow'!AF30</f>
        <v>-663.885387668386</v>
      </c>
      <c r="X8" s="1976" t="n">
        <f aca="false">'Cash Flow'!AG30</f>
        <v>-667.204814603552</v>
      </c>
      <c r="Y8" s="1976" t="n">
        <f aca="false">'Cash Flow'!AH30</f>
        <v>-670.540838673711</v>
      </c>
      <c r="Z8" s="1976" t="n">
        <f aca="false">'Cash Flow'!AI30</f>
        <v>-673.893542870879</v>
      </c>
      <c r="AA8" s="1976" t="n">
        <f aca="false">'Cash Flow'!AJ30</f>
        <v>-677.263010583818</v>
      </c>
      <c r="AB8" s="2157" t="n">
        <f aca="false">'Cash Flow'!AK30</f>
        <v>-680.649325637147</v>
      </c>
      <c r="AC8" s="2135"/>
      <c r="AD8" s="1944" t="str">
        <f aca="false">P8</f>
        <v>Accounts Payable</v>
      </c>
      <c r="AE8" s="1980" t="n">
        <f aca="false">'Cash Flow'!AL30</f>
        <v>626746.272506809</v>
      </c>
      <c r="AF8" s="1980" t="n">
        <f aca="false">'Cash Flow'!AM30</f>
        <v>-687.472835125402</v>
      </c>
      <c r="AG8" s="1980" t="n">
        <f aca="false">'Cash Flow'!AN30</f>
        <v>-690.91019930318</v>
      </c>
      <c r="AH8" s="1980" t="n">
        <f aca="false">'Cash Flow'!AO30</f>
        <v>-694.364750299603</v>
      </c>
      <c r="AI8" s="1980" t="n">
        <f aca="false">'Cash Flow'!AP30</f>
        <v>-697.836574047804</v>
      </c>
      <c r="AJ8" s="1980" t="n">
        <f aca="false">'Cash Flow'!AQ30</f>
        <v>-701.325756922364</v>
      </c>
      <c r="AK8" s="1980" t="n">
        <f aca="false">'Cash Flow'!AR30</f>
        <v>-704.832385703921</v>
      </c>
      <c r="AL8" s="1980" t="n">
        <f aca="false">'Cash Flow'!AS30</f>
        <v>-708.356547635049</v>
      </c>
      <c r="AM8" s="1980" t="n">
        <f aca="false">'Cash Flow'!AT30</f>
        <v>-711.898330369964</v>
      </c>
      <c r="AN8" s="1980" t="n">
        <f aca="false">'Cash Flow'!AU30</f>
        <v>-715.457822024822</v>
      </c>
      <c r="AO8" s="1980" t="n">
        <f aca="false">'Cash Flow'!AV30</f>
        <v>-719.035111133009</v>
      </c>
      <c r="AP8" s="2158" t="n">
        <f aca="false">'Cash Flow'!AW30</f>
        <v>-722.630286689848</v>
      </c>
      <c r="AQ8" s="2135"/>
      <c r="AR8" s="2173" t="str">
        <f aca="false">AD8</f>
        <v>Accounts Payable</v>
      </c>
      <c r="AS8" s="1984" t="n">
        <f aca="false">'Cash Flow'!AX30</f>
        <v>629492.926933479</v>
      </c>
      <c r="AT8" s="1984" t="n">
        <f aca="false">'Cash Flow'!AY30</f>
        <v>-729.87465531379</v>
      </c>
      <c r="AU8" s="1984" t="n">
        <f aca="false">'Cash Flow'!AZ30</f>
        <v>-733.524028588086</v>
      </c>
      <c r="AV8" s="1984" t="n">
        <f aca="false">'Cash Flow'!BA30</f>
        <v>-737.191648732871</v>
      </c>
      <c r="AW8" s="1984" t="n">
        <f aca="false">'Cash Flow'!BB30</f>
        <v>-740.87760697864</v>
      </c>
      <c r="AX8" s="1984" t="n">
        <f aca="false">'Cash Flow'!BC30</f>
        <v>-744.581995010376</v>
      </c>
      <c r="AY8" s="1984" t="n">
        <f aca="false">'Cash Flow'!BD30</f>
        <v>-748.30490498431</v>
      </c>
      <c r="AZ8" s="1984" t="n">
        <f aca="false">'Cash Flow'!BE30</f>
        <v>-752.046429514885</v>
      </c>
      <c r="BA8" s="1984" t="n">
        <f aca="false">'Cash Flow'!BF30</f>
        <v>-755.806661657989</v>
      </c>
      <c r="BB8" s="1984" t="n">
        <f aca="false">'Cash Flow'!BG30</f>
        <v>-759.585694966838</v>
      </c>
      <c r="BC8" s="1984" t="n">
        <f aca="false">'Cash Flow'!BH30</f>
        <v>-763.383623441681</v>
      </c>
      <c r="BD8" s="2160" t="n">
        <f aca="false">'Cash Flow'!BI30</f>
        <v>-767.200541557744</v>
      </c>
      <c r="BE8" s="1466"/>
      <c r="BF8" s="1157"/>
      <c r="BG8" s="2027" t="str">
        <f aca="false">'Tables 5Y'!EE8</f>
        <v>Total Current Assets</v>
      </c>
      <c r="BH8" s="2174" t="n">
        <f aca="false">'Balance Sheet'!N7</f>
        <v>9442753.25301738</v>
      </c>
      <c r="BI8" s="2174" t="n">
        <f aca="false">'Balance Sheet'!O7</f>
        <v>10211995.5449655</v>
      </c>
      <c r="BJ8" s="2174" t="n">
        <f aca="false">'Balance Sheet'!P7</f>
        <v>11071820.7635723</v>
      </c>
      <c r="BK8" s="2174" t="n">
        <f aca="false">'Balance Sheet'!Q7</f>
        <v>11980945.7035368</v>
      </c>
      <c r="BL8" s="2174" t="n">
        <f aca="false">'Balance Sheet'!R7</f>
        <v>12941682.4576834</v>
      </c>
      <c r="BM8" s="2174" t="n">
        <f aca="false">'Balance Sheet'!S7</f>
        <v>13954031.0078933</v>
      </c>
      <c r="BN8" s="2174" t="n">
        <f aca="false">'Balance Sheet'!T7</f>
        <v>15016531.9850765</v>
      </c>
      <c r="BO8" s="2174" t="n">
        <f aca="false">'Balance Sheet'!U7</f>
        <v>16025985.1767685</v>
      </c>
      <c r="BP8" s="2174" t="n">
        <f aca="false">'Balance Sheet'!V7</f>
        <v>17117816.3050503</v>
      </c>
      <c r="BQ8" s="2174" t="n">
        <f aca="false">'Balance Sheet'!W7</f>
        <v>18332687.57823</v>
      </c>
      <c r="BR8" s="2174" t="n">
        <f aca="false">'Balance Sheet'!X7</f>
        <v>19670598.4126711</v>
      </c>
      <c r="BS8" s="2175" t="n">
        <f aca="false">'Balance Sheet'!Y7</f>
        <v>21131548.2218189</v>
      </c>
      <c r="BT8" s="2135"/>
      <c r="BU8" s="2031" t="str">
        <f aca="false">BG8</f>
        <v>Total Current Assets</v>
      </c>
      <c r="BV8" s="2176" t="n">
        <f aca="false">'Balance Sheet'!Z7</f>
        <v>28927581.5646319</v>
      </c>
      <c r="BW8" s="2176" t="n">
        <f aca="false">'Balance Sheet'!AA7</f>
        <v>32472136.5666411</v>
      </c>
      <c r="BX8" s="2176" t="n">
        <f aca="false">'Balance Sheet'!AB7</f>
        <v>36016571.8938304</v>
      </c>
      <c r="BY8" s="2176" t="n">
        <f aca="false">'Balance Sheet'!AC7</f>
        <v>39560886.9478259</v>
      </c>
      <c r="BZ8" s="2176" t="n">
        <f aca="false">'Balance Sheet'!AD7</f>
        <v>43105081.1272614</v>
      </c>
      <c r="CA8" s="2176" t="n">
        <f aca="false">'Balance Sheet'!AE7</f>
        <v>46649153.8277644</v>
      </c>
      <c r="CB8" s="2176" t="n">
        <f aca="false">'Balance Sheet'!AF7</f>
        <v>50193104.44194</v>
      </c>
      <c r="CC8" s="2176" t="n">
        <f aca="false">'Balance Sheet'!AG7</f>
        <v>53736932.3593566</v>
      </c>
      <c r="CD8" s="2176" t="n">
        <f aca="false">'Balance Sheet'!AH7</f>
        <v>57280636.9665305</v>
      </c>
      <c r="CE8" s="2176" t="n">
        <f aca="false">'Balance Sheet'!AI7</f>
        <v>60824217.6469104</v>
      </c>
      <c r="CF8" s="2176" t="n">
        <f aca="false">'Balance Sheet'!AJ7</f>
        <v>64367673.7808624</v>
      </c>
      <c r="CG8" s="2177" t="n">
        <f aca="false">'Balance Sheet'!AK7</f>
        <v>67911004.7456542</v>
      </c>
      <c r="CH8" s="2135"/>
      <c r="CI8" s="2035" t="str">
        <f aca="false">BU8</f>
        <v>Total Current Assets</v>
      </c>
      <c r="CJ8" s="2178" t="n">
        <v>0</v>
      </c>
      <c r="CK8" s="2178" t="n">
        <v>0</v>
      </c>
      <c r="CL8" s="2178" t="n">
        <v>0</v>
      </c>
      <c r="CM8" s="2178" t="n">
        <v>0</v>
      </c>
      <c r="CN8" s="2178" t="n">
        <v>0</v>
      </c>
      <c r="CO8" s="2178" t="n">
        <v>0</v>
      </c>
      <c r="CP8" s="2178" t="n">
        <v>0</v>
      </c>
      <c r="CQ8" s="2178" t="n">
        <v>0</v>
      </c>
      <c r="CR8" s="2178" t="n">
        <v>0</v>
      </c>
      <c r="CS8" s="2178" t="n">
        <v>0</v>
      </c>
      <c r="CT8" s="2178" t="n">
        <v>0</v>
      </c>
      <c r="CU8" s="2179" t="n">
        <v>0</v>
      </c>
      <c r="CV8" s="2135"/>
      <c r="CW8" s="2036" t="str">
        <f aca="false">CI8</f>
        <v>Total Current Assets</v>
      </c>
      <c r="CX8" s="2180" t="n">
        <v>0</v>
      </c>
      <c r="CY8" s="2180" t="n">
        <v>0</v>
      </c>
      <c r="CZ8" s="2180" t="n">
        <v>0</v>
      </c>
      <c r="DA8" s="2180" t="n">
        <v>0</v>
      </c>
      <c r="DB8" s="2180" t="n">
        <v>0</v>
      </c>
      <c r="DC8" s="2180" t="n">
        <v>0</v>
      </c>
      <c r="DD8" s="2180" t="n">
        <v>0</v>
      </c>
      <c r="DE8" s="2180" t="n">
        <v>0</v>
      </c>
      <c r="DF8" s="2180" t="n">
        <v>0</v>
      </c>
      <c r="DG8" s="2180" t="n">
        <v>0</v>
      </c>
      <c r="DH8" s="2180" t="n">
        <v>0</v>
      </c>
      <c r="DI8" s="2181" t="n">
        <v>0</v>
      </c>
    </row>
    <row r="9" customFormat="false" ht="12.75" hidden="false" customHeight="true" outlineLevel="0" collapsed="false">
      <c r="A9" s="1157"/>
      <c r="B9" s="1986" t="str">
        <f aca="false">'Tables 5Y'!DH9</f>
        <v>Net Cash From Operating Activities</v>
      </c>
      <c r="C9" s="2065" t="n">
        <f aca="false">'Cash Flow'!N31</f>
        <v>75.3245520319324</v>
      </c>
      <c r="D9" s="2065" t="n">
        <f aca="false">'Cash Flow'!O31</f>
        <v>552848.767723636</v>
      </c>
      <c r="E9" s="2065" t="n">
        <f aca="false">'Cash Flow'!P31</f>
        <v>646992.346830975</v>
      </c>
      <c r="F9" s="2065" t="n">
        <f aca="false">'Cash Flow'!Q31</f>
        <v>697026.875758259</v>
      </c>
      <c r="G9" s="2065" t="n">
        <f aca="false">'Cash Flow'!R31</f>
        <v>749377.171547452</v>
      </c>
      <c r="H9" s="2065" t="n">
        <f aca="false">'Cash Flow'!S31</f>
        <v>801731.141626139</v>
      </c>
      <c r="I9" s="2065" t="n">
        <f aca="false">'Cash Flow'!T31</f>
        <v>852629.453484775</v>
      </c>
      <c r="J9" s="2065" t="n">
        <f aca="false">'Cash Flow'!U31</f>
        <v>800331.282303412</v>
      </c>
      <c r="K9" s="2065" t="n">
        <f aca="false">'Cash Flow'!V31</f>
        <v>883462.581274493</v>
      </c>
      <c r="L9" s="2065" t="n">
        <f aca="false">'Cash Flow'!W31</f>
        <v>1007259.8553657</v>
      </c>
      <c r="M9" s="2065" t="n">
        <f aca="false">'Cash Flow'!X31</f>
        <v>1131060.33146632</v>
      </c>
      <c r="N9" s="2182" t="n">
        <f aca="false">'Cash Flow'!Y31</f>
        <v>1254864.02558642</v>
      </c>
      <c r="O9" s="2135"/>
      <c r="P9" s="1990" t="str">
        <f aca="false">B9</f>
        <v>Net Cash From Operating Activities</v>
      </c>
      <c r="Q9" s="2068" t="n">
        <f aca="false">'Cash Flow'!Z31</f>
        <v>1408794.38506206</v>
      </c>
      <c r="R9" s="2068" t="n">
        <f aca="false">'Cash Flow'!AA31</f>
        <v>3699804.53284089</v>
      </c>
      <c r="S9" s="2068" t="n">
        <f aca="false">'Cash Flow'!AB31</f>
        <v>3700461.10567526</v>
      </c>
      <c r="T9" s="2068" t="n">
        <f aca="false">'Cash Flow'!AC31</f>
        <v>3701120.96137379</v>
      </c>
      <c r="U9" s="2068" t="n">
        <f aca="false">'Cash Flow'!AD31</f>
        <v>3701784.11635082</v>
      </c>
      <c r="V9" s="2068" t="n">
        <f aca="false">'Cash Flow'!AE31</f>
        <v>3702450.58710274</v>
      </c>
      <c r="W9" s="2068" t="n">
        <f aca="false">'Cash Flow'!AF31</f>
        <v>3703120.3902084</v>
      </c>
      <c r="X9" s="2068" t="n">
        <f aca="false">'Cash Flow'!AG31</f>
        <v>3703793.54232961</v>
      </c>
      <c r="Y9" s="2068" t="n">
        <f aca="false">'Cash Flow'!AH31</f>
        <v>3704470.06021142</v>
      </c>
      <c r="Z9" s="2068" t="n">
        <f aca="false">'Cash Flow'!AI31</f>
        <v>3705149.96068263</v>
      </c>
      <c r="AA9" s="2068" t="n">
        <f aca="false">'Cash Flow'!AJ31</f>
        <v>3705833.2606562</v>
      </c>
      <c r="AB9" s="2183" t="n">
        <f aca="false">'Cash Flow'!AK31</f>
        <v>3706519.97712964</v>
      </c>
      <c r="AC9" s="2135"/>
      <c r="AD9" s="1994" t="str">
        <f aca="false">P9</f>
        <v>Net Cash From Operating Activities</v>
      </c>
      <c r="AE9" s="2071" t="n">
        <f aca="false">'Cash Flow'!AL31</f>
        <v>3714395.82153157</v>
      </c>
      <c r="AF9" s="2071" t="n">
        <f aca="false">'Cash Flow'!AM31</f>
        <v>4232459.41525859</v>
      </c>
      <c r="AG9" s="2071" t="n">
        <f aca="false">'Cash Flow'!AN31</f>
        <v>4233156.4840687</v>
      </c>
      <c r="AH9" s="2071" t="n">
        <f aca="false">'Cash Flow'!AO31</f>
        <v>4233857.03822287</v>
      </c>
      <c r="AI9" s="2071" t="n">
        <f aca="false">'Cash Flow'!AP31</f>
        <v>4234561.09514781</v>
      </c>
      <c r="AJ9" s="2071" t="n">
        <f aca="false">'Cash Flow'!AQ31</f>
        <v>4235268.67235737</v>
      </c>
      <c r="AK9" s="2071" t="n">
        <f aca="false">'Cash Flow'!AR31</f>
        <v>4235979.78745299</v>
      </c>
      <c r="AL9" s="2071" t="n">
        <f aca="false">'Cash Flow'!AS31</f>
        <v>4236694.45812407</v>
      </c>
      <c r="AM9" s="2071" t="n">
        <f aca="false">'Cash Flow'!AT31</f>
        <v>4237412.70214852</v>
      </c>
      <c r="AN9" s="2071" t="n">
        <f aca="false">'Cash Flow'!AU31</f>
        <v>4238134.53739308</v>
      </c>
      <c r="AO9" s="2071" t="n">
        <f aca="false">'Cash Flow'!AV31</f>
        <v>4238859.98181387</v>
      </c>
      <c r="AP9" s="2184" t="n">
        <f aca="false">'Cash Flow'!AW31</f>
        <v>4239589.05345677</v>
      </c>
      <c r="AQ9" s="2135"/>
      <c r="AR9" s="2185" t="str">
        <f aca="false">AD9</f>
        <v>Net Cash From Operating Activities</v>
      </c>
      <c r="AS9" s="2074" t="n">
        <f aca="false">'Cash Flow'!AX31</f>
        <v>4247468.7308416</v>
      </c>
      <c r="AT9" s="2074" t="n">
        <f aca="false">'Cash Flow'!AY31</f>
        <v>4762786.25905611</v>
      </c>
      <c r="AU9" s="2074" t="n">
        <f aca="false">'Cash Flow'!AZ31</f>
        <v>4763526.32154516</v>
      </c>
      <c r="AV9" s="2074" t="n">
        <f aca="false">'Cash Flow'!BA31</f>
        <v>4764270.08434664</v>
      </c>
      <c r="AW9" s="2074" t="n">
        <f aca="false">'Cash Flow'!BB31</f>
        <v>4765017.56596214</v>
      </c>
      <c r="AX9" s="2074" t="n">
        <f aca="false">'Cash Flow'!BC31</f>
        <v>4765768.78498571</v>
      </c>
      <c r="AY9" s="2074" t="n">
        <f aca="false">'Cash Flow'!BD31</f>
        <v>4766523.76010441</v>
      </c>
      <c r="AZ9" s="2074" t="n">
        <f aca="false">'Cash Flow'!BE31</f>
        <v>4767282.51009869</v>
      </c>
      <c r="BA9" s="2074" t="n">
        <f aca="false">'Cash Flow'!BF31</f>
        <v>4768045.05384295</v>
      </c>
      <c r="BB9" s="2074" t="n">
        <f aca="false">'Cash Flow'!BG31</f>
        <v>4768811.41030593</v>
      </c>
      <c r="BC9" s="2074" t="n">
        <f aca="false">'Cash Flow'!BH31</f>
        <v>4769581.59855122</v>
      </c>
      <c r="BD9" s="2186" t="n">
        <f aca="false">'Cash Flow'!BI31</f>
        <v>4770355.63773774</v>
      </c>
      <c r="BE9" s="1466"/>
      <c r="BF9" s="1157"/>
      <c r="BG9" s="2187"/>
      <c r="BH9" s="2188"/>
      <c r="BI9" s="2188"/>
      <c r="BJ9" s="2188"/>
      <c r="BK9" s="2188"/>
      <c r="BL9" s="2188"/>
      <c r="BM9" s="2188"/>
      <c r="BN9" s="2188"/>
      <c r="BO9" s="2188"/>
      <c r="BP9" s="2188"/>
      <c r="BQ9" s="2188"/>
      <c r="BR9" s="2188"/>
      <c r="BS9" s="2189"/>
      <c r="BT9" s="2135"/>
      <c r="BU9" s="2187"/>
      <c r="BV9" s="2188"/>
      <c r="BW9" s="2188"/>
      <c r="BX9" s="2188"/>
      <c r="BY9" s="2188"/>
      <c r="BZ9" s="2188"/>
      <c r="CA9" s="2188"/>
      <c r="CB9" s="2188"/>
      <c r="CC9" s="2188"/>
      <c r="CD9" s="2188"/>
      <c r="CE9" s="2188"/>
      <c r="CF9" s="2188"/>
      <c r="CG9" s="2189"/>
      <c r="CH9" s="2135"/>
      <c r="CI9" s="2187"/>
      <c r="CJ9" s="2188"/>
      <c r="CK9" s="2188"/>
      <c r="CL9" s="2188"/>
      <c r="CM9" s="2188"/>
      <c r="CN9" s="2188"/>
      <c r="CO9" s="2188"/>
      <c r="CP9" s="2188"/>
      <c r="CQ9" s="2188"/>
      <c r="CR9" s="2188"/>
      <c r="CS9" s="2188"/>
      <c r="CT9" s="2188"/>
      <c r="CU9" s="2189"/>
      <c r="CV9" s="2135"/>
      <c r="CW9" s="2187"/>
      <c r="CX9" s="2188"/>
      <c r="CY9" s="2188"/>
      <c r="CZ9" s="2188"/>
      <c r="DA9" s="2188"/>
      <c r="DB9" s="2188"/>
      <c r="DC9" s="2188"/>
      <c r="DD9" s="2188"/>
      <c r="DE9" s="2188"/>
      <c r="DF9" s="2188"/>
      <c r="DG9" s="2188"/>
      <c r="DH9" s="2188"/>
      <c r="DI9" s="2189"/>
    </row>
    <row r="10" customFormat="false" ht="12.75" hidden="false" customHeight="true" outlineLevel="0" collapsed="false">
      <c r="A10" s="1157"/>
      <c r="B10" s="2099"/>
      <c r="C10" s="2003"/>
      <c r="D10" s="2003"/>
      <c r="E10" s="2003"/>
      <c r="F10" s="2003"/>
      <c r="G10" s="2003"/>
      <c r="H10" s="2003"/>
      <c r="I10" s="2003"/>
      <c r="J10" s="2003"/>
      <c r="K10" s="2003"/>
      <c r="L10" s="2003"/>
      <c r="M10" s="2003"/>
      <c r="N10" s="2190"/>
      <c r="O10" s="2135"/>
      <c r="P10" s="2099"/>
      <c r="Q10" s="2003"/>
      <c r="R10" s="2003"/>
      <c r="S10" s="2003"/>
      <c r="T10" s="2003"/>
      <c r="U10" s="2003"/>
      <c r="V10" s="2003"/>
      <c r="W10" s="2003"/>
      <c r="X10" s="2003"/>
      <c r="Y10" s="2003"/>
      <c r="Z10" s="2003"/>
      <c r="AA10" s="2003"/>
      <c r="AB10" s="2190"/>
      <c r="AC10" s="2135"/>
      <c r="AD10" s="2099"/>
      <c r="AE10" s="2003"/>
      <c r="AF10" s="2003"/>
      <c r="AG10" s="2003"/>
      <c r="AH10" s="2003"/>
      <c r="AI10" s="2003"/>
      <c r="AJ10" s="2003"/>
      <c r="AK10" s="2003"/>
      <c r="AL10" s="2003"/>
      <c r="AM10" s="2003"/>
      <c r="AN10" s="2003"/>
      <c r="AO10" s="2003"/>
      <c r="AP10" s="2190"/>
      <c r="AQ10" s="2135"/>
      <c r="AR10" s="2099"/>
      <c r="AS10" s="2003"/>
      <c r="AT10" s="2003"/>
      <c r="AU10" s="2003"/>
      <c r="AV10" s="2003"/>
      <c r="AW10" s="2003"/>
      <c r="AX10" s="2003"/>
      <c r="AY10" s="2003"/>
      <c r="AZ10" s="2003"/>
      <c r="BA10" s="2003"/>
      <c r="BB10" s="2003"/>
      <c r="BC10" s="2003"/>
      <c r="BD10" s="2190"/>
      <c r="BE10" s="1466"/>
      <c r="BF10" s="1157"/>
      <c r="BG10" s="1899" t="str">
        <f aca="false">BU10</f>
        <v>Fixed Assets</v>
      </c>
      <c r="BH10" s="2148"/>
      <c r="BI10" s="2148"/>
      <c r="BJ10" s="2148"/>
      <c r="BK10" s="2148"/>
      <c r="BL10" s="2148"/>
      <c r="BM10" s="2148"/>
      <c r="BN10" s="2148"/>
      <c r="BO10" s="2148"/>
      <c r="BP10" s="2148"/>
      <c r="BQ10" s="2148"/>
      <c r="BR10" s="2148"/>
      <c r="BS10" s="2149"/>
      <c r="BT10" s="2135"/>
      <c r="BU10" s="1903" t="str">
        <f aca="false">CI10</f>
        <v>Fixed Assets</v>
      </c>
      <c r="BV10" s="2150"/>
      <c r="BW10" s="2150"/>
      <c r="BX10" s="2150"/>
      <c r="BY10" s="2150"/>
      <c r="BZ10" s="2150"/>
      <c r="CA10" s="2150"/>
      <c r="CB10" s="2150"/>
      <c r="CC10" s="2150"/>
      <c r="CD10" s="2150"/>
      <c r="CE10" s="2150"/>
      <c r="CF10" s="2150"/>
      <c r="CG10" s="2151"/>
      <c r="CH10" s="2135"/>
      <c r="CI10" s="1907" t="str">
        <f aca="false">CW10</f>
        <v>Fixed Assets</v>
      </c>
      <c r="CJ10" s="2152"/>
      <c r="CK10" s="2152"/>
      <c r="CL10" s="2152"/>
      <c r="CM10" s="2152"/>
      <c r="CN10" s="2152"/>
      <c r="CO10" s="2152"/>
      <c r="CP10" s="2152"/>
      <c r="CQ10" s="2152"/>
      <c r="CR10" s="2152"/>
      <c r="CS10" s="2152"/>
      <c r="CT10" s="2152"/>
      <c r="CU10" s="2153"/>
      <c r="CV10" s="2135"/>
      <c r="CW10" s="1911" t="str">
        <f aca="false">'Tables 5Y'!EE10</f>
        <v>Fixed Assets</v>
      </c>
      <c r="CX10" s="2154"/>
      <c r="CY10" s="2154"/>
      <c r="CZ10" s="2154"/>
      <c r="DA10" s="2154"/>
      <c r="DB10" s="2154"/>
      <c r="DC10" s="2154"/>
      <c r="DD10" s="2154"/>
      <c r="DE10" s="2154"/>
      <c r="DF10" s="2154"/>
      <c r="DG10" s="2154"/>
      <c r="DH10" s="2154"/>
      <c r="DI10" s="2155"/>
    </row>
    <row r="11" customFormat="false" ht="12.75" hidden="false" customHeight="true" outlineLevel="0" collapsed="false">
      <c r="A11" s="1157"/>
      <c r="B11" s="2140" t="str">
        <f aca="false">'Tables 5Y'!DH11</f>
        <v>INVESTING</v>
      </c>
      <c r="C11" s="1901"/>
      <c r="D11" s="1901"/>
      <c r="E11" s="1901"/>
      <c r="F11" s="1901"/>
      <c r="G11" s="1901"/>
      <c r="H11" s="1901"/>
      <c r="I11" s="1901"/>
      <c r="J11" s="1901"/>
      <c r="K11" s="1901"/>
      <c r="L11" s="1901"/>
      <c r="M11" s="1901"/>
      <c r="N11" s="2141"/>
      <c r="O11" s="2135"/>
      <c r="P11" s="2142" t="str">
        <f aca="false">B11</f>
        <v>INVESTING</v>
      </c>
      <c r="Q11" s="1905"/>
      <c r="R11" s="1905"/>
      <c r="S11" s="1905"/>
      <c r="T11" s="1905"/>
      <c r="U11" s="1905"/>
      <c r="V11" s="1905"/>
      <c r="W11" s="1905"/>
      <c r="X11" s="1905"/>
      <c r="Y11" s="1905"/>
      <c r="Z11" s="1905"/>
      <c r="AA11" s="1905"/>
      <c r="AB11" s="2143"/>
      <c r="AC11" s="2135"/>
      <c r="AD11" s="2144" t="str">
        <f aca="false">P11</f>
        <v>INVESTING</v>
      </c>
      <c r="AE11" s="1909"/>
      <c r="AF11" s="1909"/>
      <c r="AG11" s="1909"/>
      <c r="AH11" s="1909"/>
      <c r="AI11" s="1909"/>
      <c r="AJ11" s="1909"/>
      <c r="AK11" s="1909"/>
      <c r="AL11" s="1909"/>
      <c r="AM11" s="1909"/>
      <c r="AN11" s="1909"/>
      <c r="AO11" s="1909"/>
      <c r="AP11" s="2145"/>
      <c r="AQ11" s="2135"/>
      <c r="AR11" s="2146" t="str">
        <f aca="false">AD11</f>
        <v>INVESTING</v>
      </c>
      <c r="AS11" s="1913"/>
      <c r="AT11" s="1913"/>
      <c r="AU11" s="1913"/>
      <c r="AV11" s="1913"/>
      <c r="AW11" s="1913"/>
      <c r="AX11" s="1913"/>
      <c r="AY11" s="1913"/>
      <c r="AZ11" s="1913"/>
      <c r="BA11" s="1913"/>
      <c r="BB11" s="1913"/>
      <c r="BC11" s="1913"/>
      <c r="BD11" s="2147"/>
      <c r="BE11" s="1466"/>
      <c r="BF11" s="1157"/>
      <c r="BG11" s="1936" t="str">
        <f aca="false">'Tables 5Y'!EE11</f>
        <v>Long-term Assets</v>
      </c>
      <c r="BH11" s="2161" t="n">
        <f aca="false">'Balance Sheet'!N10</f>
        <v>22529820</v>
      </c>
      <c r="BI11" s="2161" t="n">
        <f aca="false">'Balance Sheet'!O10</f>
        <v>22995835.2</v>
      </c>
      <c r="BJ11" s="2161" t="n">
        <f aca="false">'Balance Sheet'!P10</f>
        <v>23461850.4</v>
      </c>
      <c r="BK11" s="2161" t="n">
        <f aca="false">'Balance Sheet'!Q10</f>
        <v>23461850.4</v>
      </c>
      <c r="BL11" s="2161" t="n">
        <f aca="false">'Balance Sheet'!R10</f>
        <v>23461850.4</v>
      </c>
      <c r="BM11" s="2161" t="n">
        <f aca="false">'Balance Sheet'!S10</f>
        <v>23461850.4</v>
      </c>
      <c r="BN11" s="2161" t="n">
        <f aca="false">'Balance Sheet'!T10</f>
        <v>23461850.4</v>
      </c>
      <c r="BO11" s="2161" t="n">
        <f aca="false">'Balance Sheet'!U10</f>
        <v>23461850.4</v>
      </c>
      <c r="BP11" s="2161" t="n">
        <f aca="false">'Balance Sheet'!V10</f>
        <v>23461850.4</v>
      </c>
      <c r="BQ11" s="2161" t="n">
        <f aca="false">'Balance Sheet'!W10</f>
        <v>23461850.4</v>
      </c>
      <c r="BR11" s="2161" t="n">
        <f aca="false">'Balance Sheet'!X10</f>
        <v>23461850.4</v>
      </c>
      <c r="BS11" s="2162" t="n">
        <f aca="false">'Balance Sheet'!Y10</f>
        <v>23461850.4</v>
      </c>
      <c r="BT11" s="2135"/>
      <c r="BU11" s="1940" t="str">
        <f aca="false">BG11</f>
        <v>Long-term Assets</v>
      </c>
      <c r="BV11" s="2163" t="n">
        <f aca="false">'Balance Sheet'!Z10</f>
        <v>23461850.4</v>
      </c>
      <c r="BW11" s="2163" t="n">
        <f aca="false">'Balance Sheet'!AA10</f>
        <v>23461850.4</v>
      </c>
      <c r="BX11" s="2163" t="n">
        <f aca="false">'Balance Sheet'!AB10</f>
        <v>23461850.4</v>
      </c>
      <c r="BY11" s="2163" t="n">
        <f aca="false">'Balance Sheet'!AC10</f>
        <v>23461850.4</v>
      </c>
      <c r="BZ11" s="2163" t="n">
        <f aca="false">'Balance Sheet'!AD10</f>
        <v>23461850.4</v>
      </c>
      <c r="CA11" s="2163" t="n">
        <f aca="false">'Balance Sheet'!AE10</f>
        <v>23461850.4</v>
      </c>
      <c r="CB11" s="2163" t="n">
        <f aca="false">'Balance Sheet'!AF10</f>
        <v>23461850.4</v>
      </c>
      <c r="CC11" s="2163" t="n">
        <f aca="false">'Balance Sheet'!AG10</f>
        <v>23461850.4</v>
      </c>
      <c r="CD11" s="2163" t="n">
        <f aca="false">'Balance Sheet'!AH10</f>
        <v>23461850.4</v>
      </c>
      <c r="CE11" s="2163" t="n">
        <f aca="false">'Balance Sheet'!AI10</f>
        <v>23461850.4</v>
      </c>
      <c r="CF11" s="2163" t="n">
        <f aca="false">'Balance Sheet'!AJ10</f>
        <v>23461850.4</v>
      </c>
      <c r="CG11" s="2164" t="n">
        <f aca="false">'Balance Sheet'!AK10</f>
        <v>23461850.4</v>
      </c>
      <c r="CH11" s="2135"/>
      <c r="CI11" s="1944" t="str">
        <f aca="false">BU11</f>
        <v>Long-term Assets</v>
      </c>
      <c r="CJ11" s="2165" t="n">
        <f aca="false">'Balance Sheet'!AL10</f>
        <v>23461850.4</v>
      </c>
      <c r="CK11" s="2165" t="n">
        <f aca="false">'Balance Sheet'!AM10</f>
        <v>23461850.4</v>
      </c>
      <c r="CL11" s="2165" t="n">
        <f aca="false">'Balance Sheet'!AN10</f>
        <v>23461850.4</v>
      </c>
      <c r="CM11" s="2165" t="n">
        <f aca="false">'Balance Sheet'!AO10</f>
        <v>23461850.4</v>
      </c>
      <c r="CN11" s="2165" t="n">
        <f aca="false">'Balance Sheet'!AP10</f>
        <v>23461850.4</v>
      </c>
      <c r="CO11" s="2165" t="n">
        <f aca="false">'Balance Sheet'!AQ10</f>
        <v>23461850.4</v>
      </c>
      <c r="CP11" s="2165" t="n">
        <f aca="false">'Balance Sheet'!AR10</f>
        <v>23461850.4</v>
      </c>
      <c r="CQ11" s="2165" t="n">
        <f aca="false">'Balance Sheet'!AS10</f>
        <v>23461850.4</v>
      </c>
      <c r="CR11" s="2165" t="n">
        <f aca="false">'Balance Sheet'!AT10</f>
        <v>23461850.4</v>
      </c>
      <c r="CS11" s="2165" t="n">
        <f aca="false">'Balance Sheet'!AU10</f>
        <v>23461850.4</v>
      </c>
      <c r="CT11" s="2165" t="n">
        <f aca="false">'Balance Sheet'!AV10</f>
        <v>23461850.4</v>
      </c>
      <c r="CU11" s="2166" t="n">
        <f aca="false">'Balance Sheet'!AW10</f>
        <v>23461850.4</v>
      </c>
      <c r="CV11" s="2135"/>
      <c r="CW11" s="1948" t="str">
        <f aca="false">CI11</f>
        <v>Long-term Assets</v>
      </c>
      <c r="CX11" s="2167" t="n">
        <f aca="false">'Balance Sheet'!AX10</f>
        <v>23461850.4</v>
      </c>
      <c r="CY11" s="2167" t="n">
        <f aca="false">'Balance Sheet'!AY10</f>
        <v>23461850.4</v>
      </c>
      <c r="CZ11" s="2167" t="n">
        <f aca="false">'Balance Sheet'!AZ10</f>
        <v>23461850.4</v>
      </c>
      <c r="DA11" s="2167" t="n">
        <f aca="false">'Balance Sheet'!BA10</f>
        <v>23461850.4</v>
      </c>
      <c r="DB11" s="2167" t="n">
        <f aca="false">'Balance Sheet'!BB10</f>
        <v>23461850.4</v>
      </c>
      <c r="DC11" s="2167" t="n">
        <f aca="false">'Balance Sheet'!BC10</f>
        <v>23461850.4</v>
      </c>
      <c r="DD11" s="2167" t="n">
        <f aca="false">'Balance Sheet'!BD10</f>
        <v>23461850.4</v>
      </c>
      <c r="DE11" s="2167" t="n">
        <f aca="false">'Balance Sheet'!BE10</f>
        <v>23461850.4</v>
      </c>
      <c r="DF11" s="2167" t="n">
        <f aca="false">'Balance Sheet'!BF10</f>
        <v>23461850.4</v>
      </c>
      <c r="DG11" s="2167" t="n">
        <f aca="false">'Balance Sheet'!BG10</f>
        <v>23461850.4</v>
      </c>
      <c r="DH11" s="2167" t="n">
        <f aca="false">'Balance Sheet'!BH10</f>
        <v>23461850.4</v>
      </c>
      <c r="DI11" s="2168" t="n">
        <f aca="false">'Balance Sheet'!BI10</f>
        <v>23461850.4</v>
      </c>
    </row>
    <row r="12" customFormat="false" ht="12.75" hidden="false" customHeight="true" outlineLevel="0" collapsed="false">
      <c r="A12" s="1157"/>
      <c r="B12" s="1958" t="str">
        <f aca="false">'Tables 5Y'!DH12</f>
        <v>Purchase of Other Current Assets</v>
      </c>
      <c r="C12" s="1972" t="n">
        <f aca="false">'Cash Flow'!N34</f>
        <v>-0</v>
      </c>
      <c r="D12" s="1972" t="n">
        <f aca="false">'Cash Flow'!O34</f>
        <v>-0</v>
      </c>
      <c r="E12" s="1972" t="n">
        <f aca="false">'Cash Flow'!P34</f>
        <v>-0</v>
      </c>
      <c r="F12" s="1972" t="n">
        <f aca="false">'Cash Flow'!Q34</f>
        <v>-0</v>
      </c>
      <c r="G12" s="1972" t="n">
        <f aca="false">'Cash Flow'!R34</f>
        <v>-0</v>
      </c>
      <c r="H12" s="1972" t="n">
        <f aca="false">'Cash Flow'!S34</f>
        <v>-0</v>
      </c>
      <c r="I12" s="1972" t="n">
        <f aca="false">'Cash Flow'!T34</f>
        <v>-0</v>
      </c>
      <c r="J12" s="1972" t="n">
        <f aca="false">'Cash Flow'!U34</f>
        <v>-0</v>
      </c>
      <c r="K12" s="1972" t="n">
        <f aca="false">'Cash Flow'!V34</f>
        <v>-0</v>
      </c>
      <c r="L12" s="1972" t="n">
        <f aca="false">'Cash Flow'!W34</f>
        <v>-0</v>
      </c>
      <c r="M12" s="1972" t="n">
        <f aca="false">'Cash Flow'!X34</f>
        <v>-0</v>
      </c>
      <c r="N12" s="2156" t="n">
        <f aca="false">'Cash Flow'!Y34</f>
        <v>-0</v>
      </c>
      <c r="O12" s="2135"/>
      <c r="P12" s="1974" t="str">
        <f aca="false">B12</f>
        <v>Purchase of Other Current Assets</v>
      </c>
      <c r="Q12" s="1976" t="n">
        <f aca="false">'Cash Flow'!Z34</f>
        <v>-0</v>
      </c>
      <c r="R12" s="1976" t="n">
        <f aca="false">'Cash Flow'!AA34</f>
        <v>-0</v>
      </c>
      <c r="S12" s="1976" t="n">
        <f aca="false">'Cash Flow'!AB34</f>
        <v>-0</v>
      </c>
      <c r="T12" s="1976" t="n">
        <f aca="false">'Cash Flow'!AC34</f>
        <v>-0</v>
      </c>
      <c r="U12" s="1976" t="n">
        <f aca="false">'Cash Flow'!AD34</f>
        <v>-0</v>
      </c>
      <c r="V12" s="1976" t="n">
        <f aca="false">'Cash Flow'!AE34</f>
        <v>-0</v>
      </c>
      <c r="W12" s="1976" t="n">
        <f aca="false">'Cash Flow'!AF34</f>
        <v>-0</v>
      </c>
      <c r="X12" s="1976" t="n">
        <f aca="false">'Cash Flow'!AG34</f>
        <v>-0</v>
      </c>
      <c r="Y12" s="1976" t="n">
        <f aca="false">'Cash Flow'!AH34</f>
        <v>-0</v>
      </c>
      <c r="Z12" s="1976" t="n">
        <f aca="false">'Cash Flow'!AI34</f>
        <v>-0</v>
      </c>
      <c r="AA12" s="1976" t="n">
        <f aca="false">'Cash Flow'!AJ34</f>
        <v>-0</v>
      </c>
      <c r="AB12" s="2157" t="n">
        <f aca="false">'Cash Flow'!AK34</f>
        <v>-0</v>
      </c>
      <c r="AC12" s="2135"/>
      <c r="AD12" s="1978" t="str">
        <f aca="false">P12</f>
        <v>Purchase of Other Current Assets</v>
      </c>
      <c r="AE12" s="1980" t="n">
        <f aca="false">'Cash Flow'!AL34</f>
        <v>-0</v>
      </c>
      <c r="AF12" s="1980" t="n">
        <f aca="false">'Cash Flow'!AM34</f>
        <v>-0</v>
      </c>
      <c r="AG12" s="1980" t="n">
        <f aca="false">'Cash Flow'!AN34</f>
        <v>-0</v>
      </c>
      <c r="AH12" s="1980" t="n">
        <f aca="false">'Cash Flow'!AO34</f>
        <v>-0</v>
      </c>
      <c r="AI12" s="1980" t="n">
        <f aca="false">'Cash Flow'!AP34</f>
        <v>-0</v>
      </c>
      <c r="AJ12" s="1980" t="n">
        <f aca="false">'Cash Flow'!AQ34</f>
        <v>-0</v>
      </c>
      <c r="AK12" s="1980" t="n">
        <f aca="false">'Cash Flow'!AR34</f>
        <v>-0</v>
      </c>
      <c r="AL12" s="1980" t="n">
        <f aca="false">'Cash Flow'!AS34</f>
        <v>-0</v>
      </c>
      <c r="AM12" s="1980" t="n">
        <f aca="false">'Cash Flow'!AT34</f>
        <v>-0</v>
      </c>
      <c r="AN12" s="1980" t="n">
        <f aca="false">'Cash Flow'!AU34</f>
        <v>-0</v>
      </c>
      <c r="AO12" s="1980" t="n">
        <f aca="false">'Cash Flow'!AV34</f>
        <v>-0</v>
      </c>
      <c r="AP12" s="2158" t="n">
        <f aca="false">'Cash Flow'!AW34</f>
        <v>-0</v>
      </c>
      <c r="AQ12" s="2135"/>
      <c r="AR12" s="2159" t="str">
        <f aca="false">AD12</f>
        <v>Purchase of Other Current Assets</v>
      </c>
      <c r="AS12" s="1984" t="n">
        <f aca="false">'Cash Flow'!AX34</f>
        <v>-0</v>
      </c>
      <c r="AT12" s="1984" t="n">
        <f aca="false">'Cash Flow'!AY34</f>
        <v>-0</v>
      </c>
      <c r="AU12" s="1984" t="n">
        <f aca="false">'Cash Flow'!AZ34</f>
        <v>-0</v>
      </c>
      <c r="AV12" s="1984" t="n">
        <f aca="false">'Cash Flow'!BA34</f>
        <v>-0</v>
      </c>
      <c r="AW12" s="1984" t="n">
        <f aca="false">'Cash Flow'!BB34</f>
        <v>-0</v>
      </c>
      <c r="AX12" s="1984" t="n">
        <f aca="false">'Cash Flow'!BC34</f>
        <v>-0</v>
      </c>
      <c r="AY12" s="1984" t="n">
        <f aca="false">'Cash Flow'!BD34</f>
        <v>-0</v>
      </c>
      <c r="AZ12" s="1984" t="n">
        <f aca="false">'Cash Flow'!BE34</f>
        <v>-0</v>
      </c>
      <c r="BA12" s="1984" t="n">
        <f aca="false">'Cash Flow'!BF34</f>
        <v>-0</v>
      </c>
      <c r="BB12" s="1984" t="n">
        <f aca="false">'Cash Flow'!BG34</f>
        <v>-0</v>
      </c>
      <c r="BC12" s="1984" t="n">
        <f aca="false">'Cash Flow'!BH34</f>
        <v>-0</v>
      </c>
      <c r="BD12" s="2160" t="n">
        <f aca="false">'Cash Flow'!BI34</f>
        <v>-0</v>
      </c>
      <c r="BE12" s="1466"/>
      <c r="BF12" s="1157"/>
      <c r="BG12" s="1936" t="str">
        <f aca="false">'Tables 5Y'!EE12</f>
        <v>Accum. Depreciation</v>
      </c>
      <c r="BH12" s="2161" t="n">
        <f aca="false">'Balance Sheet'!N11</f>
        <v>831828.325</v>
      </c>
      <c r="BI12" s="2161" t="n">
        <f aca="false">'Balance Sheet'!O11</f>
        <v>1023460.285</v>
      </c>
      <c r="BJ12" s="2161" t="n">
        <f aca="false">'Balance Sheet'!P11</f>
        <v>1218975.705</v>
      </c>
      <c r="BK12" s="2161" t="n">
        <f aca="false">'Balance Sheet'!Q11</f>
        <v>1414491.125</v>
      </c>
      <c r="BL12" s="2161" t="n">
        <f aca="false">'Balance Sheet'!R11</f>
        <v>1610006.545</v>
      </c>
      <c r="BM12" s="2161" t="n">
        <f aca="false">'Balance Sheet'!S11</f>
        <v>1805521.965</v>
      </c>
      <c r="BN12" s="2161" t="n">
        <f aca="false">'Balance Sheet'!T11</f>
        <v>2001037.385</v>
      </c>
      <c r="BO12" s="2161" t="n">
        <f aca="false">'Balance Sheet'!U11</f>
        <v>2196552.805</v>
      </c>
      <c r="BP12" s="2161" t="n">
        <f aca="false">'Balance Sheet'!V11</f>
        <v>2392068.225</v>
      </c>
      <c r="BQ12" s="2161" t="n">
        <f aca="false">'Balance Sheet'!W11</f>
        <v>2587583.645</v>
      </c>
      <c r="BR12" s="2161" t="n">
        <f aca="false">'Balance Sheet'!X11</f>
        <v>2783099.065</v>
      </c>
      <c r="BS12" s="2162" t="n">
        <f aca="false">'Balance Sheet'!Y11</f>
        <v>2978614.485</v>
      </c>
      <c r="BT12" s="2135"/>
      <c r="BU12" s="1940" t="str">
        <f aca="false">BG12</f>
        <v>Accum. Depreciation</v>
      </c>
      <c r="BV12" s="2163" t="n">
        <f aca="false">'Balance Sheet'!Z11</f>
        <v>3174129.905</v>
      </c>
      <c r="BW12" s="2163" t="n">
        <f aca="false">'Balance Sheet'!AA11</f>
        <v>3369645.325</v>
      </c>
      <c r="BX12" s="2163" t="n">
        <f aca="false">'Balance Sheet'!AB11</f>
        <v>3565160.745</v>
      </c>
      <c r="BY12" s="2163" t="n">
        <f aca="false">'Balance Sheet'!AC11</f>
        <v>3760676.165</v>
      </c>
      <c r="BZ12" s="2163" t="n">
        <f aca="false">'Balance Sheet'!AD11</f>
        <v>3956191.585</v>
      </c>
      <c r="CA12" s="2163" t="n">
        <f aca="false">'Balance Sheet'!AE11</f>
        <v>4151707.005</v>
      </c>
      <c r="CB12" s="2163" t="n">
        <f aca="false">'Balance Sheet'!AF11</f>
        <v>4347222.425</v>
      </c>
      <c r="CC12" s="2163" t="n">
        <f aca="false">'Balance Sheet'!AG11</f>
        <v>4542737.845</v>
      </c>
      <c r="CD12" s="2163" t="n">
        <f aca="false">'Balance Sheet'!AH11</f>
        <v>4738253.265</v>
      </c>
      <c r="CE12" s="2163" t="n">
        <f aca="false">'Balance Sheet'!AI11</f>
        <v>4933768.685</v>
      </c>
      <c r="CF12" s="2163" t="n">
        <f aca="false">'Balance Sheet'!AJ11</f>
        <v>5129284.105</v>
      </c>
      <c r="CG12" s="2164" t="n">
        <f aca="false">'Balance Sheet'!AK11</f>
        <v>5324799.525</v>
      </c>
      <c r="CH12" s="2135"/>
      <c r="CI12" s="1944" t="str">
        <f aca="false">BU12</f>
        <v>Accum. Depreciation</v>
      </c>
      <c r="CJ12" s="2165" t="n">
        <f aca="false">'Balance Sheet'!AL11</f>
        <v>5520314.945</v>
      </c>
      <c r="CK12" s="2165" t="n">
        <f aca="false">'Balance Sheet'!AM11</f>
        <v>5715830.365</v>
      </c>
      <c r="CL12" s="2165" t="n">
        <f aca="false">'Balance Sheet'!AN11</f>
        <v>5911345.785</v>
      </c>
      <c r="CM12" s="2165" t="n">
        <f aca="false">'Balance Sheet'!AO11</f>
        <v>6106861.205</v>
      </c>
      <c r="CN12" s="2165" t="n">
        <f aca="false">'Balance Sheet'!AP11</f>
        <v>6302376.625</v>
      </c>
      <c r="CO12" s="2165" t="n">
        <f aca="false">'Balance Sheet'!AQ11</f>
        <v>6497892.045</v>
      </c>
      <c r="CP12" s="2165" t="n">
        <f aca="false">'Balance Sheet'!AR11</f>
        <v>6693407.465</v>
      </c>
      <c r="CQ12" s="2165" t="n">
        <f aca="false">'Balance Sheet'!AS11</f>
        <v>6888922.885</v>
      </c>
      <c r="CR12" s="2165" t="n">
        <f aca="false">'Balance Sheet'!AT11</f>
        <v>7084438.305</v>
      </c>
      <c r="CS12" s="2165" t="n">
        <f aca="false">'Balance Sheet'!AU11</f>
        <v>7279953.725</v>
      </c>
      <c r="CT12" s="2165" t="n">
        <f aca="false">'Balance Sheet'!AV11</f>
        <v>7475469.145</v>
      </c>
      <c r="CU12" s="2166" t="n">
        <f aca="false">'Balance Sheet'!AW11</f>
        <v>7670984.565</v>
      </c>
      <c r="CV12" s="2135"/>
      <c r="CW12" s="1948" t="str">
        <f aca="false">CI12</f>
        <v>Accum. Depreciation</v>
      </c>
      <c r="CX12" s="2167" t="n">
        <f aca="false">'Balance Sheet'!AX11</f>
        <v>7866499.985</v>
      </c>
      <c r="CY12" s="2167" t="n">
        <f aca="false">'Balance Sheet'!AY11</f>
        <v>8062015.405</v>
      </c>
      <c r="CZ12" s="2167" t="n">
        <f aca="false">'Balance Sheet'!AZ11</f>
        <v>8257530.825</v>
      </c>
      <c r="DA12" s="2167" t="n">
        <f aca="false">'Balance Sheet'!BA11</f>
        <v>8453046.245</v>
      </c>
      <c r="DB12" s="2167" t="n">
        <f aca="false">'Balance Sheet'!BB11</f>
        <v>8648561.665</v>
      </c>
      <c r="DC12" s="2167" t="n">
        <f aca="false">'Balance Sheet'!BC11</f>
        <v>8844077.085</v>
      </c>
      <c r="DD12" s="2167" t="n">
        <f aca="false">'Balance Sheet'!BD11</f>
        <v>9039592.505</v>
      </c>
      <c r="DE12" s="2167" t="n">
        <f aca="false">'Balance Sheet'!BE11</f>
        <v>9235107.925</v>
      </c>
      <c r="DF12" s="2167" t="n">
        <f aca="false">'Balance Sheet'!BF11</f>
        <v>9430623.345</v>
      </c>
      <c r="DG12" s="2167" t="n">
        <f aca="false">'Balance Sheet'!BG11</f>
        <v>9626138.765</v>
      </c>
      <c r="DH12" s="2167" t="n">
        <f aca="false">'Balance Sheet'!BH11</f>
        <v>9821654.185</v>
      </c>
      <c r="DI12" s="2168" t="n">
        <f aca="false">'Balance Sheet'!BI11</f>
        <v>10017169.605</v>
      </c>
    </row>
    <row r="13" customFormat="false" ht="12.75" hidden="false" customHeight="true" outlineLevel="0" collapsed="false">
      <c r="A13" s="1157"/>
      <c r="B13" s="1958" t="str">
        <f aca="false">'Tables 5Y'!DH13</f>
        <v>Sale of Other Current Assets</v>
      </c>
      <c r="C13" s="1972" t="n">
        <f aca="false">'Cash Flow'!N35</f>
        <v>0</v>
      </c>
      <c r="D13" s="1972" t="n">
        <f aca="false">'Cash Flow'!O35</f>
        <v>0</v>
      </c>
      <c r="E13" s="1972" t="n">
        <f aca="false">'Cash Flow'!P35</f>
        <v>0</v>
      </c>
      <c r="F13" s="1972" t="n">
        <f aca="false">'Cash Flow'!Q35</f>
        <v>0</v>
      </c>
      <c r="G13" s="1972" t="n">
        <f aca="false">'Cash Flow'!R35</f>
        <v>0</v>
      </c>
      <c r="H13" s="1972" t="n">
        <f aca="false">'Cash Flow'!S35</f>
        <v>0</v>
      </c>
      <c r="I13" s="1972" t="n">
        <f aca="false">'Cash Flow'!T35</f>
        <v>0</v>
      </c>
      <c r="J13" s="1972" t="n">
        <f aca="false">'Cash Flow'!U35</f>
        <v>0</v>
      </c>
      <c r="K13" s="1972" t="n">
        <f aca="false">'Cash Flow'!V35</f>
        <v>0</v>
      </c>
      <c r="L13" s="1972" t="n">
        <f aca="false">'Cash Flow'!W35</f>
        <v>0</v>
      </c>
      <c r="M13" s="1972" t="n">
        <f aca="false">'Cash Flow'!X35</f>
        <v>0</v>
      </c>
      <c r="N13" s="2156" t="n">
        <f aca="false">'Cash Flow'!Y35</f>
        <v>0</v>
      </c>
      <c r="O13" s="2135"/>
      <c r="P13" s="1974" t="str">
        <f aca="false">B13</f>
        <v>Sale of Other Current Assets</v>
      </c>
      <c r="Q13" s="1976" t="n">
        <f aca="false">'Cash Flow'!Z35</f>
        <v>0</v>
      </c>
      <c r="R13" s="1976" t="n">
        <f aca="false">'Cash Flow'!AA35</f>
        <v>0</v>
      </c>
      <c r="S13" s="1976" t="n">
        <f aca="false">'Cash Flow'!AB35</f>
        <v>0</v>
      </c>
      <c r="T13" s="1976" t="n">
        <f aca="false">'Cash Flow'!AC35</f>
        <v>0</v>
      </c>
      <c r="U13" s="1976" t="n">
        <f aca="false">'Cash Flow'!AD35</f>
        <v>0</v>
      </c>
      <c r="V13" s="1976" t="n">
        <f aca="false">'Cash Flow'!AE35</f>
        <v>0</v>
      </c>
      <c r="W13" s="1976" t="n">
        <f aca="false">'Cash Flow'!AF35</f>
        <v>0</v>
      </c>
      <c r="X13" s="1976" t="n">
        <f aca="false">'Cash Flow'!AG35</f>
        <v>0</v>
      </c>
      <c r="Y13" s="1976" t="n">
        <f aca="false">'Cash Flow'!AH35</f>
        <v>0</v>
      </c>
      <c r="Z13" s="1976" t="n">
        <f aca="false">'Cash Flow'!AI35</f>
        <v>0</v>
      </c>
      <c r="AA13" s="1976" t="n">
        <f aca="false">'Cash Flow'!AJ35</f>
        <v>0</v>
      </c>
      <c r="AB13" s="2157" t="n">
        <f aca="false">'Cash Flow'!AK35</f>
        <v>0</v>
      </c>
      <c r="AC13" s="2135"/>
      <c r="AD13" s="1978" t="str">
        <f aca="false">P13</f>
        <v>Sale of Other Current Assets</v>
      </c>
      <c r="AE13" s="1980" t="n">
        <f aca="false">'Cash Flow'!AL35</f>
        <v>0</v>
      </c>
      <c r="AF13" s="1980" t="n">
        <f aca="false">'Cash Flow'!AM35</f>
        <v>0</v>
      </c>
      <c r="AG13" s="1980" t="n">
        <f aca="false">'Cash Flow'!AN35</f>
        <v>0</v>
      </c>
      <c r="AH13" s="1980" t="n">
        <f aca="false">'Cash Flow'!AO35</f>
        <v>0</v>
      </c>
      <c r="AI13" s="1980" t="n">
        <f aca="false">'Cash Flow'!AP35</f>
        <v>0</v>
      </c>
      <c r="AJ13" s="1980" t="n">
        <f aca="false">'Cash Flow'!AQ35</f>
        <v>0</v>
      </c>
      <c r="AK13" s="1980" t="n">
        <f aca="false">'Cash Flow'!AR35</f>
        <v>0</v>
      </c>
      <c r="AL13" s="1980" t="n">
        <f aca="false">'Cash Flow'!AS35</f>
        <v>0</v>
      </c>
      <c r="AM13" s="1980" t="n">
        <f aca="false">'Cash Flow'!AT35</f>
        <v>0</v>
      </c>
      <c r="AN13" s="1980" t="n">
        <f aca="false">'Cash Flow'!AU35</f>
        <v>0</v>
      </c>
      <c r="AO13" s="1980" t="n">
        <f aca="false">'Cash Flow'!AV35</f>
        <v>0</v>
      </c>
      <c r="AP13" s="2158" t="n">
        <f aca="false">'Cash Flow'!AW35</f>
        <v>0</v>
      </c>
      <c r="AQ13" s="2135"/>
      <c r="AR13" s="2159" t="str">
        <f aca="false">AD13</f>
        <v>Sale of Other Current Assets</v>
      </c>
      <c r="AS13" s="1984" t="n">
        <f aca="false">'Cash Flow'!AX35</f>
        <v>0</v>
      </c>
      <c r="AT13" s="1984" t="n">
        <f aca="false">'Cash Flow'!AY35</f>
        <v>0</v>
      </c>
      <c r="AU13" s="1984" t="n">
        <f aca="false">'Cash Flow'!AZ35</f>
        <v>0</v>
      </c>
      <c r="AV13" s="1984" t="n">
        <f aca="false">'Cash Flow'!BA35</f>
        <v>0</v>
      </c>
      <c r="AW13" s="1984" t="n">
        <f aca="false">'Cash Flow'!BB35</f>
        <v>0</v>
      </c>
      <c r="AX13" s="1984" t="n">
        <f aca="false">'Cash Flow'!BC35</f>
        <v>0</v>
      </c>
      <c r="AY13" s="1984" t="n">
        <f aca="false">'Cash Flow'!BD35</f>
        <v>0</v>
      </c>
      <c r="AZ13" s="1984" t="n">
        <f aca="false">'Cash Flow'!BE35</f>
        <v>0</v>
      </c>
      <c r="BA13" s="1984" t="n">
        <f aca="false">'Cash Flow'!BF35</f>
        <v>0</v>
      </c>
      <c r="BB13" s="1984" t="n">
        <f aca="false">'Cash Flow'!BG35</f>
        <v>0</v>
      </c>
      <c r="BC13" s="1984" t="n">
        <f aca="false">'Cash Flow'!BH35</f>
        <v>0</v>
      </c>
      <c r="BD13" s="2160" t="n">
        <f aca="false">'Cash Flow'!BI35</f>
        <v>0</v>
      </c>
      <c r="BE13" s="1466"/>
      <c r="BF13" s="1157"/>
      <c r="BG13" s="2191" t="str">
        <f aca="false">'Tables 5Y'!EE14</f>
        <v>Total Fixed Assets</v>
      </c>
      <c r="BH13" s="2161" t="n">
        <f aca="false">'Balance Sheet'!N13</f>
        <v>21697991.675</v>
      </c>
      <c r="BI13" s="2161" t="n">
        <f aca="false">'Balance Sheet'!O13</f>
        <v>21972374.915</v>
      </c>
      <c r="BJ13" s="2161" t="n">
        <f aca="false">'Balance Sheet'!P13</f>
        <v>22242874.695</v>
      </c>
      <c r="BK13" s="2161" t="n">
        <f aca="false">'Balance Sheet'!Q13</f>
        <v>22047359.275</v>
      </c>
      <c r="BL13" s="2161" t="n">
        <f aca="false">'Balance Sheet'!R13</f>
        <v>21851843.855</v>
      </c>
      <c r="BM13" s="2161" t="n">
        <f aca="false">'Balance Sheet'!S13</f>
        <v>21656328.435</v>
      </c>
      <c r="BN13" s="2161" t="n">
        <f aca="false">'Balance Sheet'!T13</f>
        <v>21460813.015</v>
      </c>
      <c r="BO13" s="2161" t="n">
        <f aca="false">'Balance Sheet'!U13</f>
        <v>21265297.595</v>
      </c>
      <c r="BP13" s="2161" t="n">
        <f aca="false">'Balance Sheet'!V13</f>
        <v>21069782.175</v>
      </c>
      <c r="BQ13" s="2161" t="n">
        <f aca="false">'Balance Sheet'!W13</f>
        <v>20874266.755</v>
      </c>
      <c r="BR13" s="2161" t="n">
        <f aca="false">'Balance Sheet'!X13</f>
        <v>20678751.335</v>
      </c>
      <c r="BS13" s="2162" t="n">
        <f aca="false">'Balance Sheet'!Y13</f>
        <v>20483235.915</v>
      </c>
      <c r="BT13" s="2135"/>
      <c r="BU13" s="2192" t="str">
        <f aca="false">BG13</f>
        <v>Total Fixed Assets</v>
      </c>
      <c r="BV13" s="2163" t="n">
        <f aca="false">'Balance Sheet'!Z13</f>
        <v>20287720.495</v>
      </c>
      <c r="BW13" s="2163" t="n">
        <f aca="false">'Balance Sheet'!AA13</f>
        <v>20092205.075</v>
      </c>
      <c r="BX13" s="2163" t="n">
        <f aca="false">'Balance Sheet'!AB13</f>
        <v>19896689.655</v>
      </c>
      <c r="BY13" s="2163" t="n">
        <f aca="false">'Balance Sheet'!AC13</f>
        <v>19701174.235</v>
      </c>
      <c r="BZ13" s="2163" t="n">
        <f aca="false">'Balance Sheet'!AD13</f>
        <v>19505658.815</v>
      </c>
      <c r="CA13" s="2163" t="n">
        <f aca="false">'Balance Sheet'!AE13</f>
        <v>19310143.395</v>
      </c>
      <c r="CB13" s="2163" t="n">
        <f aca="false">'Balance Sheet'!AF13</f>
        <v>19114627.975</v>
      </c>
      <c r="CC13" s="2163" t="n">
        <f aca="false">'Balance Sheet'!AG13</f>
        <v>18919112.555</v>
      </c>
      <c r="CD13" s="2163" t="n">
        <f aca="false">'Balance Sheet'!AH13</f>
        <v>18723597.135</v>
      </c>
      <c r="CE13" s="2163" t="n">
        <f aca="false">'Balance Sheet'!AI13</f>
        <v>18528081.715</v>
      </c>
      <c r="CF13" s="2163" t="n">
        <f aca="false">'Balance Sheet'!AJ13</f>
        <v>18332566.295</v>
      </c>
      <c r="CG13" s="2164" t="n">
        <f aca="false">'Balance Sheet'!AK13</f>
        <v>18137050.875</v>
      </c>
      <c r="CH13" s="2135"/>
      <c r="CI13" s="2193" t="str">
        <f aca="false">BU13</f>
        <v>Total Fixed Assets</v>
      </c>
      <c r="CJ13" s="2165" t="n">
        <f aca="false">'Balance Sheet'!AL13</f>
        <v>17941535.455</v>
      </c>
      <c r="CK13" s="2165" t="n">
        <f aca="false">'Balance Sheet'!AM13</f>
        <v>17746020.035</v>
      </c>
      <c r="CL13" s="2165" t="n">
        <f aca="false">'Balance Sheet'!AN13</f>
        <v>17550504.615</v>
      </c>
      <c r="CM13" s="2165" t="n">
        <f aca="false">'Balance Sheet'!AO13</f>
        <v>17354989.195</v>
      </c>
      <c r="CN13" s="2165" t="n">
        <f aca="false">'Balance Sheet'!AP13</f>
        <v>17159473.775</v>
      </c>
      <c r="CO13" s="2165" t="n">
        <f aca="false">'Balance Sheet'!AQ13</f>
        <v>16963958.355</v>
      </c>
      <c r="CP13" s="2165" t="n">
        <f aca="false">'Balance Sheet'!AR13</f>
        <v>16768442.935</v>
      </c>
      <c r="CQ13" s="2165" t="n">
        <f aca="false">'Balance Sheet'!AS13</f>
        <v>16572927.515</v>
      </c>
      <c r="CR13" s="2165" t="n">
        <f aca="false">'Balance Sheet'!AT13</f>
        <v>16377412.095</v>
      </c>
      <c r="CS13" s="2165" t="n">
        <f aca="false">'Balance Sheet'!AU13</f>
        <v>16181896.675</v>
      </c>
      <c r="CT13" s="2165" t="n">
        <f aca="false">'Balance Sheet'!AV13</f>
        <v>15986381.255</v>
      </c>
      <c r="CU13" s="2166" t="n">
        <f aca="false">'Balance Sheet'!AW13</f>
        <v>15790865.835</v>
      </c>
      <c r="CV13" s="2135"/>
      <c r="CW13" s="2194" t="str">
        <f aca="false">CI13</f>
        <v>Total Fixed Assets</v>
      </c>
      <c r="CX13" s="2167" t="n">
        <f aca="false">'Balance Sheet'!AX13</f>
        <v>15595350.415</v>
      </c>
      <c r="CY13" s="2167" t="n">
        <f aca="false">'Balance Sheet'!AY13</f>
        <v>15399834.995</v>
      </c>
      <c r="CZ13" s="2167" t="n">
        <f aca="false">'Balance Sheet'!AZ13</f>
        <v>15204319.575</v>
      </c>
      <c r="DA13" s="2167" t="n">
        <f aca="false">'Balance Sheet'!BA13</f>
        <v>15008804.155</v>
      </c>
      <c r="DB13" s="2167" t="n">
        <f aca="false">'Balance Sheet'!BB13</f>
        <v>14813288.735</v>
      </c>
      <c r="DC13" s="2167" t="n">
        <f aca="false">'Balance Sheet'!BC13</f>
        <v>14617773.315</v>
      </c>
      <c r="DD13" s="2167" t="n">
        <f aca="false">'Balance Sheet'!BD13</f>
        <v>14422257.895</v>
      </c>
      <c r="DE13" s="2167" t="n">
        <f aca="false">'Balance Sheet'!BE13</f>
        <v>14226742.475</v>
      </c>
      <c r="DF13" s="2167" t="n">
        <f aca="false">'Balance Sheet'!BF13</f>
        <v>14031227.055</v>
      </c>
      <c r="DG13" s="2167" t="n">
        <f aca="false">'Balance Sheet'!BG13</f>
        <v>13835711.635</v>
      </c>
      <c r="DH13" s="2167" t="n">
        <f aca="false">'Balance Sheet'!BH13</f>
        <v>13640196.215</v>
      </c>
      <c r="DI13" s="2168" t="n">
        <f aca="false">'Balance Sheet'!BI13</f>
        <v>13444680.795</v>
      </c>
    </row>
    <row r="14" customFormat="false" ht="12.75" hidden="false" customHeight="true" outlineLevel="0" collapsed="false">
      <c r="A14" s="1157"/>
      <c r="B14" s="1958" t="str">
        <f aca="false">'Tables 5Y'!DH14</f>
        <v>Purchase of Land</v>
      </c>
      <c r="C14" s="1972" t="n">
        <f aca="false">'Cash Flow'!N36</f>
        <v>-0</v>
      </c>
      <c r="D14" s="1972" t="n">
        <f aca="false">'Cash Flow'!O36</f>
        <v>-0</v>
      </c>
      <c r="E14" s="1972" t="n">
        <f aca="false">'Cash Flow'!P36</f>
        <v>-0</v>
      </c>
      <c r="F14" s="1972" t="n">
        <f aca="false">'Cash Flow'!Q36</f>
        <v>-0</v>
      </c>
      <c r="G14" s="1972" t="n">
        <f aca="false">'Cash Flow'!R36</f>
        <v>-0</v>
      </c>
      <c r="H14" s="1972" t="n">
        <f aca="false">'Cash Flow'!S36</f>
        <v>-0</v>
      </c>
      <c r="I14" s="1972" t="n">
        <f aca="false">'Cash Flow'!T36</f>
        <v>-0</v>
      </c>
      <c r="J14" s="1972" t="n">
        <f aca="false">'Cash Flow'!U36</f>
        <v>-0</v>
      </c>
      <c r="K14" s="1972" t="n">
        <f aca="false">'Cash Flow'!V36</f>
        <v>-0</v>
      </c>
      <c r="L14" s="1972" t="n">
        <f aca="false">'Cash Flow'!W36</f>
        <v>-0</v>
      </c>
      <c r="M14" s="1972" t="n">
        <f aca="false">'Cash Flow'!X36</f>
        <v>-0</v>
      </c>
      <c r="N14" s="2156" t="n">
        <f aca="false">'Cash Flow'!Y36</f>
        <v>-0</v>
      </c>
      <c r="O14" s="2135"/>
      <c r="P14" s="1974" t="str">
        <f aca="false">B14</f>
        <v>Purchase of Land</v>
      </c>
      <c r="Q14" s="1976" t="n">
        <f aca="false">'Cash Flow'!Z36</f>
        <v>-0</v>
      </c>
      <c r="R14" s="1976" t="n">
        <f aca="false">'Cash Flow'!AA36</f>
        <v>-0</v>
      </c>
      <c r="S14" s="1976" t="n">
        <f aca="false">'Cash Flow'!AB36</f>
        <v>-0</v>
      </c>
      <c r="T14" s="1976" t="n">
        <f aca="false">'Cash Flow'!AC36</f>
        <v>-0</v>
      </c>
      <c r="U14" s="1976" t="n">
        <f aca="false">'Cash Flow'!AD36</f>
        <v>-0</v>
      </c>
      <c r="V14" s="1976" t="n">
        <f aca="false">'Cash Flow'!AE36</f>
        <v>-0</v>
      </c>
      <c r="W14" s="1976" t="n">
        <f aca="false">'Cash Flow'!AF36</f>
        <v>-0</v>
      </c>
      <c r="X14" s="1976" t="n">
        <f aca="false">'Cash Flow'!AG36</f>
        <v>-0</v>
      </c>
      <c r="Y14" s="1976" t="n">
        <f aca="false">'Cash Flow'!AH36</f>
        <v>-0</v>
      </c>
      <c r="Z14" s="1976" t="n">
        <f aca="false">'Cash Flow'!AI36</f>
        <v>-0</v>
      </c>
      <c r="AA14" s="1976" t="n">
        <f aca="false">'Cash Flow'!AJ36</f>
        <v>-0</v>
      </c>
      <c r="AB14" s="2157" t="n">
        <f aca="false">'Cash Flow'!AK36</f>
        <v>-0</v>
      </c>
      <c r="AC14" s="2135"/>
      <c r="AD14" s="1978" t="str">
        <f aca="false">P14</f>
        <v>Purchase of Land</v>
      </c>
      <c r="AE14" s="1980" t="n">
        <f aca="false">'Cash Flow'!AL36</f>
        <v>-0</v>
      </c>
      <c r="AF14" s="1980" t="n">
        <f aca="false">'Cash Flow'!AM36</f>
        <v>-0</v>
      </c>
      <c r="AG14" s="1980" t="n">
        <f aca="false">'Cash Flow'!AN36</f>
        <v>-0</v>
      </c>
      <c r="AH14" s="1980" t="n">
        <f aca="false">'Cash Flow'!AO36</f>
        <v>-0</v>
      </c>
      <c r="AI14" s="1980" t="n">
        <f aca="false">'Cash Flow'!AP36</f>
        <v>-0</v>
      </c>
      <c r="AJ14" s="1980" t="n">
        <f aca="false">'Cash Flow'!AQ36</f>
        <v>-0</v>
      </c>
      <c r="AK14" s="1980" t="n">
        <f aca="false">'Cash Flow'!AR36</f>
        <v>-0</v>
      </c>
      <c r="AL14" s="1980" t="n">
        <f aca="false">'Cash Flow'!AS36</f>
        <v>-0</v>
      </c>
      <c r="AM14" s="1980" t="n">
        <f aca="false">'Cash Flow'!AT36</f>
        <v>-0</v>
      </c>
      <c r="AN14" s="1980" t="n">
        <f aca="false">'Cash Flow'!AU36</f>
        <v>-0</v>
      </c>
      <c r="AO14" s="1980" t="n">
        <f aca="false">'Cash Flow'!AV36</f>
        <v>-0</v>
      </c>
      <c r="AP14" s="2158" t="n">
        <f aca="false">'Cash Flow'!AW36</f>
        <v>-0</v>
      </c>
      <c r="AQ14" s="2135"/>
      <c r="AR14" s="2159" t="str">
        <f aca="false">AD14</f>
        <v>Purchase of Land</v>
      </c>
      <c r="AS14" s="1984" t="n">
        <f aca="false">'Cash Flow'!AX36</f>
        <v>-0</v>
      </c>
      <c r="AT14" s="1984" t="n">
        <f aca="false">'Cash Flow'!AY36</f>
        <v>-0</v>
      </c>
      <c r="AU14" s="1984" t="n">
        <f aca="false">'Cash Flow'!AZ36</f>
        <v>-0</v>
      </c>
      <c r="AV14" s="1984" t="n">
        <f aca="false">'Cash Flow'!BA36</f>
        <v>-0</v>
      </c>
      <c r="AW14" s="1984" t="n">
        <f aca="false">'Cash Flow'!BB36</f>
        <v>-0</v>
      </c>
      <c r="AX14" s="1984" t="n">
        <f aca="false">'Cash Flow'!BC36</f>
        <v>-0</v>
      </c>
      <c r="AY14" s="1984" t="n">
        <f aca="false">'Cash Flow'!BD36</f>
        <v>-0</v>
      </c>
      <c r="AZ14" s="1984" t="n">
        <f aca="false">'Cash Flow'!BE36</f>
        <v>-0</v>
      </c>
      <c r="BA14" s="1984" t="n">
        <f aca="false">'Cash Flow'!BF36</f>
        <v>-0</v>
      </c>
      <c r="BB14" s="1984" t="n">
        <f aca="false">'Cash Flow'!BG36</f>
        <v>-0</v>
      </c>
      <c r="BC14" s="1984" t="n">
        <f aca="false">'Cash Flow'!BH36</f>
        <v>-0</v>
      </c>
      <c r="BD14" s="2160" t="n">
        <f aca="false">'Cash Flow'!BI36</f>
        <v>-0</v>
      </c>
      <c r="BE14" s="1466"/>
      <c r="BF14" s="1157"/>
      <c r="BG14" s="2027" t="str">
        <f aca="false">'Tables 5Y'!EE15</f>
        <v>Total Assets</v>
      </c>
      <c r="BH14" s="2174" t="n">
        <f aca="false">'Balance Sheet'!N14</f>
        <v>31140744.9280174</v>
      </c>
      <c r="BI14" s="2174" t="n">
        <f aca="false">'Balance Sheet'!O14</f>
        <v>32184370.4599655</v>
      </c>
      <c r="BJ14" s="2174" t="n">
        <f aca="false">'Balance Sheet'!P14</f>
        <v>33314695.4585723</v>
      </c>
      <c r="BK14" s="2174" t="n">
        <f aca="false">'Balance Sheet'!Q14</f>
        <v>34028304.9785368</v>
      </c>
      <c r="BL14" s="2174" t="n">
        <f aca="false">'Balance Sheet'!R14</f>
        <v>34793526.3126834</v>
      </c>
      <c r="BM14" s="2174" t="n">
        <f aca="false">'Balance Sheet'!S14</f>
        <v>35610359.4428933</v>
      </c>
      <c r="BN14" s="2174" t="n">
        <f aca="false">'Balance Sheet'!T14</f>
        <v>36477345.0000765</v>
      </c>
      <c r="BO14" s="2174" t="n">
        <f aca="false">'Balance Sheet'!U14</f>
        <v>37291282.7717685</v>
      </c>
      <c r="BP14" s="2174" t="n">
        <f aca="false">'Balance Sheet'!V14</f>
        <v>38187598.4800503</v>
      </c>
      <c r="BQ14" s="2174" t="n">
        <f aca="false">'Balance Sheet'!W14</f>
        <v>39206954.33323</v>
      </c>
      <c r="BR14" s="2174" t="n">
        <f aca="false">'Balance Sheet'!X14</f>
        <v>40349349.7476711</v>
      </c>
      <c r="BS14" s="2175" t="n">
        <f aca="false">'Balance Sheet'!Y14</f>
        <v>41614784.1368189</v>
      </c>
      <c r="BT14" s="2135"/>
      <c r="BU14" s="2031" t="str">
        <f aca="false">BG14</f>
        <v>Total Assets</v>
      </c>
      <c r="BV14" s="2176" t="n">
        <f aca="false">'Balance Sheet'!Z14</f>
        <v>49215302.0596319</v>
      </c>
      <c r="BW14" s="2176" t="n">
        <f aca="false">'Balance Sheet'!AA14</f>
        <v>52564341.6416411</v>
      </c>
      <c r="BX14" s="2176" t="n">
        <f aca="false">'Balance Sheet'!AB14</f>
        <v>55913261.5488304</v>
      </c>
      <c r="BY14" s="2176" t="n">
        <f aca="false">'Balance Sheet'!AC14</f>
        <v>59262061.1828259</v>
      </c>
      <c r="BZ14" s="2176" t="n">
        <f aca="false">'Balance Sheet'!AD14</f>
        <v>62610739.9422614</v>
      </c>
      <c r="CA14" s="2176" t="n">
        <f aca="false">'Balance Sheet'!AE14</f>
        <v>65959297.2227644</v>
      </c>
      <c r="CB14" s="2176" t="n">
        <f aca="false">'Balance Sheet'!AF14</f>
        <v>69307732.41694</v>
      </c>
      <c r="CC14" s="2176" t="n">
        <f aca="false">'Balance Sheet'!AG14</f>
        <v>72656044.9143566</v>
      </c>
      <c r="CD14" s="2176" t="n">
        <f aca="false">'Balance Sheet'!AH14</f>
        <v>76004234.1015305</v>
      </c>
      <c r="CE14" s="2176" t="n">
        <f aca="false">'Balance Sheet'!AI14</f>
        <v>79352299.3619104</v>
      </c>
      <c r="CF14" s="2176" t="n">
        <f aca="false">'Balance Sheet'!AJ14</f>
        <v>82700240.0758624</v>
      </c>
      <c r="CG14" s="2177" t="n">
        <f aca="false">'Balance Sheet'!AK14</f>
        <v>86048055.6206542</v>
      </c>
      <c r="CH14" s="2135"/>
      <c r="CI14" s="2035" t="str">
        <f aca="false">BU14</f>
        <v>Total Assets</v>
      </c>
      <c r="CJ14" s="2178" t="n">
        <v>0</v>
      </c>
      <c r="CK14" s="2178" t="n">
        <v>0</v>
      </c>
      <c r="CL14" s="2178" t="n">
        <v>0</v>
      </c>
      <c r="CM14" s="2178" t="n">
        <v>0</v>
      </c>
      <c r="CN14" s="2178" t="n">
        <v>0</v>
      </c>
      <c r="CO14" s="2178" t="n">
        <v>0</v>
      </c>
      <c r="CP14" s="2178" t="n">
        <v>0</v>
      </c>
      <c r="CQ14" s="2178" t="n">
        <v>0</v>
      </c>
      <c r="CR14" s="2178" t="n">
        <v>0</v>
      </c>
      <c r="CS14" s="2178" t="n">
        <v>0</v>
      </c>
      <c r="CT14" s="2178" t="n">
        <v>0</v>
      </c>
      <c r="CU14" s="2179" t="n">
        <v>0</v>
      </c>
      <c r="CV14" s="2135"/>
      <c r="CW14" s="2036" t="str">
        <f aca="false">CI14</f>
        <v>Total Assets</v>
      </c>
      <c r="CX14" s="2180" t="n">
        <v>0</v>
      </c>
      <c r="CY14" s="2180" t="n">
        <v>0</v>
      </c>
      <c r="CZ14" s="2180" t="n">
        <v>0</v>
      </c>
      <c r="DA14" s="2180" t="n">
        <v>0</v>
      </c>
      <c r="DB14" s="2180" t="n">
        <v>0</v>
      </c>
      <c r="DC14" s="2180" t="n">
        <v>0</v>
      </c>
      <c r="DD14" s="2180" t="n">
        <v>0</v>
      </c>
      <c r="DE14" s="2180" t="n">
        <v>0</v>
      </c>
      <c r="DF14" s="2180" t="n">
        <v>0</v>
      </c>
      <c r="DG14" s="2180" t="n">
        <v>0</v>
      </c>
      <c r="DH14" s="2180" t="n">
        <v>0</v>
      </c>
      <c r="DI14" s="2181" t="n">
        <v>0</v>
      </c>
    </row>
    <row r="15" customFormat="false" ht="12.75" hidden="false" customHeight="true" outlineLevel="0" collapsed="false">
      <c r="A15" s="1157"/>
      <c r="B15" s="1958" t="str">
        <f aca="false">'Tables 5Y'!DH15</f>
        <v>Sale of Land</v>
      </c>
      <c r="C15" s="1972" t="n">
        <f aca="false">'Cash Flow'!N37</f>
        <v>0</v>
      </c>
      <c r="D15" s="1972" t="n">
        <f aca="false">'Cash Flow'!O37</f>
        <v>0</v>
      </c>
      <c r="E15" s="1972" t="n">
        <f aca="false">'Cash Flow'!P37</f>
        <v>0</v>
      </c>
      <c r="F15" s="1972" t="n">
        <f aca="false">'Cash Flow'!Q37</f>
        <v>0</v>
      </c>
      <c r="G15" s="1972" t="n">
        <f aca="false">'Cash Flow'!R37</f>
        <v>0</v>
      </c>
      <c r="H15" s="1972" t="n">
        <f aca="false">'Cash Flow'!S37</f>
        <v>0</v>
      </c>
      <c r="I15" s="1972" t="n">
        <f aca="false">'Cash Flow'!T37</f>
        <v>0</v>
      </c>
      <c r="J15" s="1972" t="n">
        <f aca="false">'Cash Flow'!U37</f>
        <v>0</v>
      </c>
      <c r="K15" s="1972" t="n">
        <f aca="false">'Cash Flow'!V37</f>
        <v>0</v>
      </c>
      <c r="L15" s="1972" t="n">
        <f aca="false">'Cash Flow'!W37</f>
        <v>0</v>
      </c>
      <c r="M15" s="1972" t="n">
        <f aca="false">'Cash Flow'!X37</f>
        <v>0</v>
      </c>
      <c r="N15" s="2156" t="n">
        <f aca="false">'Cash Flow'!Y37</f>
        <v>0</v>
      </c>
      <c r="O15" s="2135"/>
      <c r="P15" s="1974" t="str">
        <f aca="false">B15</f>
        <v>Sale of Land</v>
      </c>
      <c r="Q15" s="1976" t="n">
        <f aca="false">'Cash Flow'!Z37</f>
        <v>0</v>
      </c>
      <c r="R15" s="1976" t="n">
        <f aca="false">'Cash Flow'!AA37</f>
        <v>0</v>
      </c>
      <c r="S15" s="1976" t="n">
        <f aca="false">'Cash Flow'!AB37</f>
        <v>0</v>
      </c>
      <c r="T15" s="1976" t="n">
        <f aca="false">'Cash Flow'!AC37</f>
        <v>0</v>
      </c>
      <c r="U15" s="1976" t="n">
        <f aca="false">'Cash Flow'!AD37</f>
        <v>0</v>
      </c>
      <c r="V15" s="1976" t="n">
        <f aca="false">'Cash Flow'!AE37</f>
        <v>0</v>
      </c>
      <c r="W15" s="1976" t="n">
        <f aca="false">'Cash Flow'!AF37</f>
        <v>0</v>
      </c>
      <c r="X15" s="1976" t="n">
        <f aca="false">'Cash Flow'!AG37</f>
        <v>0</v>
      </c>
      <c r="Y15" s="1976" t="n">
        <f aca="false">'Cash Flow'!AH37</f>
        <v>0</v>
      </c>
      <c r="Z15" s="1976" t="n">
        <f aca="false">'Cash Flow'!AI37</f>
        <v>0</v>
      </c>
      <c r="AA15" s="1976" t="n">
        <f aca="false">'Cash Flow'!AJ37</f>
        <v>0</v>
      </c>
      <c r="AB15" s="2157" t="n">
        <f aca="false">'Cash Flow'!AK37</f>
        <v>0</v>
      </c>
      <c r="AC15" s="2135"/>
      <c r="AD15" s="1978" t="str">
        <f aca="false">P15</f>
        <v>Sale of Land</v>
      </c>
      <c r="AE15" s="1980" t="n">
        <f aca="false">'Cash Flow'!AL37</f>
        <v>0</v>
      </c>
      <c r="AF15" s="1980" t="n">
        <f aca="false">'Cash Flow'!AM37</f>
        <v>0</v>
      </c>
      <c r="AG15" s="1980" t="n">
        <f aca="false">'Cash Flow'!AN37</f>
        <v>0</v>
      </c>
      <c r="AH15" s="1980" t="n">
        <f aca="false">'Cash Flow'!AO37</f>
        <v>0</v>
      </c>
      <c r="AI15" s="1980" t="n">
        <f aca="false">'Cash Flow'!AP37</f>
        <v>0</v>
      </c>
      <c r="AJ15" s="1980" t="n">
        <f aca="false">'Cash Flow'!AQ37</f>
        <v>0</v>
      </c>
      <c r="AK15" s="1980" t="n">
        <f aca="false">'Cash Flow'!AR37</f>
        <v>0</v>
      </c>
      <c r="AL15" s="1980" t="n">
        <f aca="false">'Cash Flow'!AS37</f>
        <v>0</v>
      </c>
      <c r="AM15" s="1980" t="n">
        <f aca="false">'Cash Flow'!AT37</f>
        <v>0</v>
      </c>
      <c r="AN15" s="1980" t="n">
        <f aca="false">'Cash Flow'!AU37</f>
        <v>0</v>
      </c>
      <c r="AO15" s="1980" t="n">
        <f aca="false">'Cash Flow'!AV37</f>
        <v>0</v>
      </c>
      <c r="AP15" s="2158" t="n">
        <f aca="false">'Cash Flow'!AW37</f>
        <v>0</v>
      </c>
      <c r="AQ15" s="2135"/>
      <c r="AR15" s="2159" t="str">
        <f aca="false">AD15</f>
        <v>Sale of Land</v>
      </c>
      <c r="AS15" s="1984" t="n">
        <f aca="false">'Cash Flow'!AX37</f>
        <v>0</v>
      </c>
      <c r="AT15" s="1984" t="n">
        <f aca="false">'Cash Flow'!AY37</f>
        <v>0</v>
      </c>
      <c r="AU15" s="1984" t="n">
        <f aca="false">'Cash Flow'!AZ37</f>
        <v>0</v>
      </c>
      <c r="AV15" s="1984" t="n">
        <f aca="false">'Cash Flow'!BA37</f>
        <v>0</v>
      </c>
      <c r="AW15" s="1984" t="n">
        <f aca="false">'Cash Flow'!BB37</f>
        <v>0</v>
      </c>
      <c r="AX15" s="1984" t="n">
        <f aca="false">'Cash Flow'!BC37</f>
        <v>0</v>
      </c>
      <c r="AY15" s="1984" t="n">
        <f aca="false">'Cash Flow'!BD37</f>
        <v>0</v>
      </c>
      <c r="AZ15" s="1984" t="n">
        <f aca="false">'Cash Flow'!BE37</f>
        <v>0</v>
      </c>
      <c r="BA15" s="1984" t="n">
        <f aca="false">'Cash Flow'!BF37</f>
        <v>0</v>
      </c>
      <c r="BB15" s="1984" t="n">
        <f aca="false">'Cash Flow'!BG37</f>
        <v>0</v>
      </c>
      <c r="BC15" s="1984" t="n">
        <f aca="false">'Cash Flow'!BH37</f>
        <v>0</v>
      </c>
      <c r="BD15" s="2160" t="n">
        <f aca="false">'Cash Flow'!BI37</f>
        <v>0</v>
      </c>
      <c r="BE15" s="1466"/>
      <c r="BF15" s="1157"/>
      <c r="BG15" s="2187"/>
      <c r="BH15" s="2188"/>
      <c r="BI15" s="2188"/>
      <c r="BJ15" s="2188"/>
      <c r="BK15" s="2188"/>
      <c r="BL15" s="2188"/>
      <c r="BM15" s="2188"/>
      <c r="BN15" s="2188"/>
      <c r="BO15" s="2188"/>
      <c r="BP15" s="2188"/>
      <c r="BQ15" s="2188"/>
      <c r="BR15" s="2188"/>
      <c r="BS15" s="2189"/>
      <c r="BT15" s="2135"/>
      <c r="BU15" s="2187"/>
      <c r="BV15" s="2188"/>
      <c r="BW15" s="2188"/>
      <c r="BX15" s="2188"/>
      <c r="BY15" s="2188"/>
      <c r="BZ15" s="2188"/>
      <c r="CA15" s="2188"/>
      <c r="CB15" s="2188"/>
      <c r="CC15" s="2188"/>
      <c r="CD15" s="2188"/>
      <c r="CE15" s="2188"/>
      <c r="CF15" s="2188"/>
      <c r="CG15" s="2189"/>
      <c r="CH15" s="2135"/>
      <c r="CI15" s="2187"/>
      <c r="CJ15" s="2188"/>
      <c r="CK15" s="2188"/>
      <c r="CL15" s="2188"/>
      <c r="CM15" s="2188"/>
      <c r="CN15" s="2188"/>
      <c r="CO15" s="2188"/>
      <c r="CP15" s="2188"/>
      <c r="CQ15" s="2188"/>
      <c r="CR15" s="2188"/>
      <c r="CS15" s="2188"/>
      <c r="CT15" s="2188"/>
      <c r="CU15" s="2189"/>
      <c r="CV15" s="2135"/>
      <c r="CW15" s="2187"/>
      <c r="CX15" s="2188"/>
      <c r="CY15" s="2188"/>
      <c r="CZ15" s="2188"/>
      <c r="DA15" s="2188"/>
      <c r="DB15" s="2188"/>
      <c r="DC15" s="2188"/>
      <c r="DD15" s="2188"/>
      <c r="DE15" s="2188"/>
      <c r="DF15" s="2188"/>
      <c r="DG15" s="2188"/>
      <c r="DH15" s="2188"/>
      <c r="DI15" s="2189"/>
    </row>
    <row r="16" customFormat="false" ht="12.75" hidden="false" customHeight="true" outlineLevel="0" collapsed="false">
      <c r="A16" s="1157"/>
      <c r="B16" s="1958" t="str">
        <f aca="false">'Tables 5Y'!DH16</f>
        <v>Purchase of Equipment</v>
      </c>
      <c r="C16" s="1972" t="n">
        <f aca="false">'Cash Flow'!N38</f>
        <v>-2364185.4</v>
      </c>
      <c r="D16" s="1972" t="n">
        <f aca="false">'Cash Flow'!O38</f>
        <v>-466015.2</v>
      </c>
      <c r="E16" s="1972" t="n">
        <f aca="false">'Cash Flow'!P38</f>
        <v>-466015.2</v>
      </c>
      <c r="F16" s="1972" t="n">
        <f aca="false">'Cash Flow'!Q38</f>
        <v>-0</v>
      </c>
      <c r="G16" s="1972" t="n">
        <f aca="false">'Cash Flow'!R38</f>
        <v>-0</v>
      </c>
      <c r="H16" s="1972" t="n">
        <f aca="false">'Cash Flow'!S38</f>
        <v>-0</v>
      </c>
      <c r="I16" s="1972" t="n">
        <f aca="false">'Cash Flow'!T38</f>
        <v>-0</v>
      </c>
      <c r="J16" s="1972" t="n">
        <f aca="false">'Cash Flow'!U38</f>
        <v>-0</v>
      </c>
      <c r="K16" s="1972" t="n">
        <f aca="false">'Cash Flow'!V38</f>
        <v>-0</v>
      </c>
      <c r="L16" s="1972" t="n">
        <f aca="false">'Cash Flow'!W38</f>
        <v>-0</v>
      </c>
      <c r="M16" s="1972" t="n">
        <f aca="false">'Cash Flow'!X38</f>
        <v>-0</v>
      </c>
      <c r="N16" s="2156" t="n">
        <f aca="false">'Cash Flow'!Y38</f>
        <v>-0</v>
      </c>
      <c r="O16" s="2135"/>
      <c r="P16" s="1974" t="str">
        <f aca="false">B16</f>
        <v>Purchase of Equipment</v>
      </c>
      <c r="Q16" s="1976" t="n">
        <f aca="false">'Cash Flow'!Z38</f>
        <v>-0</v>
      </c>
      <c r="R16" s="1976" t="n">
        <f aca="false">'Cash Flow'!AA38</f>
        <v>-0</v>
      </c>
      <c r="S16" s="1976" t="n">
        <f aca="false">'Cash Flow'!AB38</f>
        <v>-0</v>
      </c>
      <c r="T16" s="1976" t="n">
        <f aca="false">'Cash Flow'!AC38</f>
        <v>-0</v>
      </c>
      <c r="U16" s="1976" t="n">
        <f aca="false">'Cash Flow'!AD38</f>
        <v>-0</v>
      </c>
      <c r="V16" s="1976" t="n">
        <f aca="false">'Cash Flow'!AE38</f>
        <v>-0</v>
      </c>
      <c r="W16" s="1976" t="n">
        <f aca="false">'Cash Flow'!AF38</f>
        <v>-0</v>
      </c>
      <c r="X16" s="1976" t="n">
        <f aca="false">'Cash Flow'!AG38</f>
        <v>-0</v>
      </c>
      <c r="Y16" s="1976" t="n">
        <f aca="false">'Cash Flow'!AH38</f>
        <v>-0</v>
      </c>
      <c r="Z16" s="1976" t="n">
        <f aca="false">'Cash Flow'!AI38</f>
        <v>-0</v>
      </c>
      <c r="AA16" s="1976" t="n">
        <f aca="false">'Cash Flow'!AJ38</f>
        <v>-0</v>
      </c>
      <c r="AB16" s="2157" t="n">
        <f aca="false">'Cash Flow'!AK38</f>
        <v>-0</v>
      </c>
      <c r="AC16" s="2135"/>
      <c r="AD16" s="1978" t="str">
        <f aca="false">P16</f>
        <v>Purchase of Equipment</v>
      </c>
      <c r="AE16" s="1980" t="n">
        <f aca="false">'Cash Flow'!AL38</f>
        <v>-0</v>
      </c>
      <c r="AF16" s="1980" t="n">
        <f aca="false">'Cash Flow'!AM38</f>
        <v>-0</v>
      </c>
      <c r="AG16" s="1980" t="n">
        <f aca="false">'Cash Flow'!AN38</f>
        <v>-0</v>
      </c>
      <c r="AH16" s="1980" t="n">
        <f aca="false">'Cash Flow'!AO38</f>
        <v>-0</v>
      </c>
      <c r="AI16" s="1980" t="n">
        <f aca="false">'Cash Flow'!AP38</f>
        <v>-0</v>
      </c>
      <c r="AJ16" s="1980" t="n">
        <f aca="false">'Cash Flow'!AQ38</f>
        <v>-0</v>
      </c>
      <c r="AK16" s="1980" t="n">
        <f aca="false">'Cash Flow'!AR38</f>
        <v>-0</v>
      </c>
      <c r="AL16" s="1980" t="n">
        <f aca="false">'Cash Flow'!AS38</f>
        <v>-0</v>
      </c>
      <c r="AM16" s="1980" t="n">
        <f aca="false">'Cash Flow'!AT38</f>
        <v>-0</v>
      </c>
      <c r="AN16" s="1980" t="n">
        <f aca="false">'Cash Flow'!AU38</f>
        <v>-0</v>
      </c>
      <c r="AO16" s="1980" t="n">
        <f aca="false">'Cash Flow'!AV38</f>
        <v>-0</v>
      </c>
      <c r="AP16" s="2158" t="n">
        <f aca="false">'Cash Flow'!AW38</f>
        <v>-0</v>
      </c>
      <c r="AQ16" s="2135"/>
      <c r="AR16" s="2159" t="str">
        <f aca="false">AD16</f>
        <v>Purchase of Equipment</v>
      </c>
      <c r="AS16" s="1984" t="n">
        <f aca="false">'Cash Flow'!AX38</f>
        <v>-0</v>
      </c>
      <c r="AT16" s="1984" t="n">
        <f aca="false">'Cash Flow'!AY38</f>
        <v>-0</v>
      </c>
      <c r="AU16" s="1984" t="n">
        <f aca="false">'Cash Flow'!AZ38</f>
        <v>-0</v>
      </c>
      <c r="AV16" s="1984" t="n">
        <f aca="false">'Cash Flow'!BA38</f>
        <v>-0</v>
      </c>
      <c r="AW16" s="1984" t="n">
        <f aca="false">'Cash Flow'!BB38</f>
        <v>-0</v>
      </c>
      <c r="AX16" s="1984" t="n">
        <f aca="false">'Cash Flow'!BC38</f>
        <v>-0</v>
      </c>
      <c r="AY16" s="1984" t="n">
        <f aca="false">'Cash Flow'!BD38</f>
        <v>-0</v>
      </c>
      <c r="AZ16" s="1984" t="n">
        <f aca="false">'Cash Flow'!BE38</f>
        <v>-0</v>
      </c>
      <c r="BA16" s="1984" t="n">
        <f aca="false">'Cash Flow'!BF38</f>
        <v>-0</v>
      </c>
      <c r="BB16" s="1984" t="n">
        <f aca="false">'Cash Flow'!BG38</f>
        <v>-0</v>
      </c>
      <c r="BC16" s="1984" t="n">
        <f aca="false">'Cash Flow'!BH38</f>
        <v>-0</v>
      </c>
      <c r="BD16" s="2160" t="n">
        <f aca="false">'Cash Flow'!BI38</f>
        <v>-0</v>
      </c>
      <c r="BE16" s="1466"/>
      <c r="BF16" s="1157"/>
      <c r="BG16" s="1899" t="str">
        <f aca="false">BU16</f>
        <v>Liabilities and Capital</v>
      </c>
      <c r="BH16" s="2148"/>
      <c r="BI16" s="2148"/>
      <c r="BJ16" s="2148"/>
      <c r="BK16" s="2148"/>
      <c r="BL16" s="2148"/>
      <c r="BM16" s="2148"/>
      <c r="BN16" s="2148"/>
      <c r="BO16" s="2148"/>
      <c r="BP16" s="2148"/>
      <c r="BQ16" s="2148"/>
      <c r="BR16" s="2148"/>
      <c r="BS16" s="2149"/>
      <c r="BT16" s="2135"/>
      <c r="BU16" s="1903" t="str">
        <f aca="false">CI16</f>
        <v>Liabilities and Capital</v>
      </c>
      <c r="BV16" s="2150"/>
      <c r="BW16" s="2150"/>
      <c r="BX16" s="2150"/>
      <c r="BY16" s="2150"/>
      <c r="BZ16" s="2150"/>
      <c r="CA16" s="2150"/>
      <c r="CB16" s="2150"/>
      <c r="CC16" s="2150"/>
      <c r="CD16" s="2150"/>
      <c r="CE16" s="2150"/>
      <c r="CF16" s="2150"/>
      <c r="CG16" s="2151"/>
      <c r="CH16" s="2135"/>
      <c r="CI16" s="1907" t="str">
        <f aca="false">CW16</f>
        <v>Liabilities and Capital</v>
      </c>
      <c r="CJ16" s="2152"/>
      <c r="CK16" s="2152"/>
      <c r="CL16" s="2152"/>
      <c r="CM16" s="2152"/>
      <c r="CN16" s="2152"/>
      <c r="CO16" s="2152"/>
      <c r="CP16" s="2152"/>
      <c r="CQ16" s="2152"/>
      <c r="CR16" s="2152"/>
      <c r="CS16" s="2152"/>
      <c r="CT16" s="2152"/>
      <c r="CU16" s="2153"/>
      <c r="CV16" s="2135"/>
      <c r="CW16" s="1911" t="str">
        <f aca="false">'Tables 5Y'!EE17</f>
        <v>Liabilities and Capital</v>
      </c>
      <c r="CX16" s="2154"/>
      <c r="CY16" s="2154"/>
      <c r="CZ16" s="2154"/>
      <c r="DA16" s="2154"/>
      <c r="DB16" s="2154"/>
      <c r="DC16" s="2154"/>
      <c r="DD16" s="2154"/>
      <c r="DE16" s="2154"/>
      <c r="DF16" s="2154"/>
      <c r="DG16" s="2154"/>
      <c r="DH16" s="2154"/>
      <c r="DI16" s="2155"/>
    </row>
    <row r="17" customFormat="false" ht="12.75" hidden="false" customHeight="true" outlineLevel="0" collapsed="false">
      <c r="A17" s="1157"/>
      <c r="B17" s="1958" t="str">
        <f aca="false">'Tables 5Y'!DH17</f>
        <v>Sale of Long-term Assets</v>
      </c>
      <c r="C17" s="1972" t="n">
        <f aca="false">'Cash Flow'!N39</f>
        <v>0</v>
      </c>
      <c r="D17" s="1972" t="n">
        <f aca="false">'Cash Flow'!O39</f>
        <v>0</v>
      </c>
      <c r="E17" s="1972" t="n">
        <f aca="false">'Cash Flow'!P39</f>
        <v>0</v>
      </c>
      <c r="F17" s="1972" t="n">
        <f aca="false">'Cash Flow'!Q39</f>
        <v>0</v>
      </c>
      <c r="G17" s="1972" t="n">
        <f aca="false">'Cash Flow'!R39</f>
        <v>0</v>
      </c>
      <c r="H17" s="1972" t="n">
        <f aca="false">'Cash Flow'!S39</f>
        <v>0</v>
      </c>
      <c r="I17" s="1972" t="n">
        <f aca="false">'Cash Flow'!T39</f>
        <v>0</v>
      </c>
      <c r="J17" s="1972" t="n">
        <f aca="false">'Cash Flow'!U39</f>
        <v>0</v>
      </c>
      <c r="K17" s="1972" t="n">
        <f aca="false">'Cash Flow'!V39</f>
        <v>0</v>
      </c>
      <c r="L17" s="1972" t="n">
        <f aca="false">'Cash Flow'!W39</f>
        <v>0</v>
      </c>
      <c r="M17" s="1972" t="n">
        <f aca="false">'Cash Flow'!X39</f>
        <v>0</v>
      </c>
      <c r="N17" s="2156" t="n">
        <f aca="false">'Cash Flow'!Y39</f>
        <v>0</v>
      </c>
      <c r="O17" s="2135"/>
      <c r="P17" s="1974" t="str">
        <f aca="false">B17</f>
        <v>Sale of Long-term Assets</v>
      </c>
      <c r="Q17" s="1976" t="n">
        <f aca="false">'Cash Flow'!Z39</f>
        <v>0</v>
      </c>
      <c r="R17" s="1976" t="n">
        <f aca="false">'Cash Flow'!AA39</f>
        <v>0</v>
      </c>
      <c r="S17" s="1976" t="n">
        <f aca="false">'Cash Flow'!AB39</f>
        <v>0</v>
      </c>
      <c r="T17" s="1976" t="n">
        <f aca="false">'Cash Flow'!AC39</f>
        <v>0</v>
      </c>
      <c r="U17" s="1976" t="n">
        <f aca="false">'Cash Flow'!AD39</f>
        <v>0</v>
      </c>
      <c r="V17" s="1976" t="n">
        <f aca="false">'Cash Flow'!AE39</f>
        <v>0</v>
      </c>
      <c r="W17" s="1976" t="n">
        <f aca="false">'Cash Flow'!AF39</f>
        <v>0</v>
      </c>
      <c r="X17" s="1976" t="n">
        <f aca="false">'Cash Flow'!AG39</f>
        <v>0</v>
      </c>
      <c r="Y17" s="1976" t="n">
        <f aca="false">'Cash Flow'!AH39</f>
        <v>0</v>
      </c>
      <c r="Z17" s="1976" t="n">
        <f aca="false">'Cash Flow'!AI39</f>
        <v>0</v>
      </c>
      <c r="AA17" s="1976" t="n">
        <f aca="false">'Cash Flow'!AJ39</f>
        <v>0</v>
      </c>
      <c r="AB17" s="2157" t="n">
        <f aca="false">'Cash Flow'!AK39</f>
        <v>0</v>
      </c>
      <c r="AC17" s="2135"/>
      <c r="AD17" s="1978" t="str">
        <f aca="false">P17</f>
        <v>Sale of Long-term Assets</v>
      </c>
      <c r="AE17" s="1980" t="n">
        <f aca="false">'Cash Flow'!AL39</f>
        <v>0</v>
      </c>
      <c r="AF17" s="1980" t="n">
        <f aca="false">'Cash Flow'!AM39</f>
        <v>0</v>
      </c>
      <c r="AG17" s="1980" t="n">
        <f aca="false">'Cash Flow'!AN39</f>
        <v>0</v>
      </c>
      <c r="AH17" s="1980" t="n">
        <f aca="false">'Cash Flow'!AO39</f>
        <v>0</v>
      </c>
      <c r="AI17" s="1980" t="n">
        <f aca="false">'Cash Flow'!AP39</f>
        <v>0</v>
      </c>
      <c r="AJ17" s="1980" t="n">
        <f aca="false">'Cash Flow'!AQ39</f>
        <v>0</v>
      </c>
      <c r="AK17" s="1980" t="n">
        <f aca="false">'Cash Flow'!AR39</f>
        <v>0</v>
      </c>
      <c r="AL17" s="1980" t="n">
        <f aca="false">'Cash Flow'!AS39</f>
        <v>0</v>
      </c>
      <c r="AM17" s="1980" t="n">
        <f aca="false">'Cash Flow'!AT39</f>
        <v>0</v>
      </c>
      <c r="AN17" s="1980" t="n">
        <f aca="false">'Cash Flow'!AU39</f>
        <v>0</v>
      </c>
      <c r="AO17" s="1980" t="n">
        <f aca="false">'Cash Flow'!AV39</f>
        <v>0</v>
      </c>
      <c r="AP17" s="2158" t="n">
        <f aca="false">'Cash Flow'!AW39</f>
        <v>0</v>
      </c>
      <c r="AQ17" s="2135"/>
      <c r="AR17" s="2159" t="str">
        <f aca="false">AD17</f>
        <v>Sale of Long-term Assets</v>
      </c>
      <c r="AS17" s="1984" t="n">
        <f aca="false">'Cash Flow'!AX39</f>
        <v>0</v>
      </c>
      <c r="AT17" s="1984" t="n">
        <f aca="false">'Cash Flow'!AY39</f>
        <v>0</v>
      </c>
      <c r="AU17" s="1984" t="n">
        <f aca="false">'Cash Flow'!AZ39</f>
        <v>0</v>
      </c>
      <c r="AV17" s="1984" t="n">
        <f aca="false">'Cash Flow'!BA39</f>
        <v>0</v>
      </c>
      <c r="AW17" s="1984" t="n">
        <f aca="false">'Cash Flow'!BB39</f>
        <v>0</v>
      </c>
      <c r="AX17" s="1984" t="n">
        <f aca="false">'Cash Flow'!BC39</f>
        <v>0</v>
      </c>
      <c r="AY17" s="1984" t="n">
        <f aca="false">'Cash Flow'!BD39</f>
        <v>0</v>
      </c>
      <c r="AZ17" s="1984" t="n">
        <f aca="false">'Cash Flow'!BE39</f>
        <v>0</v>
      </c>
      <c r="BA17" s="1984" t="n">
        <f aca="false">'Cash Flow'!BF39</f>
        <v>0</v>
      </c>
      <c r="BB17" s="1984" t="n">
        <f aca="false">'Cash Flow'!BG39</f>
        <v>0</v>
      </c>
      <c r="BC17" s="1984" t="n">
        <f aca="false">'Cash Flow'!BH39</f>
        <v>0</v>
      </c>
      <c r="BD17" s="2160" t="n">
        <f aca="false">'Cash Flow'!BI39</f>
        <v>0</v>
      </c>
      <c r="BE17" s="1466"/>
      <c r="BF17" s="1157"/>
      <c r="BG17" s="1936" t="str">
        <f aca="false">'Tables 5Y'!EE18</f>
        <v>Current Liabilities</v>
      </c>
      <c r="BH17" s="2161"/>
      <c r="BI17" s="2161"/>
      <c r="BJ17" s="2161"/>
      <c r="BK17" s="2161"/>
      <c r="BL17" s="2161"/>
      <c r="BM17" s="2161"/>
      <c r="BN17" s="2161"/>
      <c r="BO17" s="2161"/>
      <c r="BP17" s="2161"/>
      <c r="BQ17" s="2161"/>
      <c r="BR17" s="2161"/>
      <c r="BS17" s="2162"/>
      <c r="BT17" s="2135"/>
      <c r="BU17" s="1940" t="str">
        <f aca="false">BG17</f>
        <v>Current Liabilities</v>
      </c>
      <c r="BV17" s="2163"/>
      <c r="BW17" s="2163"/>
      <c r="BX17" s="2163"/>
      <c r="BY17" s="2163"/>
      <c r="BZ17" s="2163"/>
      <c r="CA17" s="2163"/>
      <c r="CB17" s="2163"/>
      <c r="CC17" s="2163"/>
      <c r="CD17" s="2163"/>
      <c r="CE17" s="2163"/>
      <c r="CF17" s="2163"/>
      <c r="CG17" s="2164"/>
      <c r="CH17" s="2135"/>
      <c r="CI17" s="1944" t="str">
        <f aca="false">BU17</f>
        <v>Current Liabilities</v>
      </c>
      <c r="CJ17" s="2165"/>
      <c r="CK17" s="2165"/>
      <c r="CL17" s="2165"/>
      <c r="CM17" s="2165"/>
      <c r="CN17" s="2165"/>
      <c r="CO17" s="2165"/>
      <c r="CP17" s="2165"/>
      <c r="CQ17" s="2165"/>
      <c r="CR17" s="2165"/>
      <c r="CS17" s="2165"/>
      <c r="CT17" s="2165"/>
      <c r="CU17" s="2166"/>
      <c r="CV17" s="2135"/>
      <c r="CW17" s="1948" t="str">
        <f aca="false">CI17</f>
        <v>Current Liabilities</v>
      </c>
      <c r="CX17" s="2167"/>
      <c r="CY17" s="2167"/>
      <c r="CZ17" s="2167"/>
      <c r="DA17" s="2167"/>
      <c r="DB17" s="2167"/>
      <c r="DC17" s="2167"/>
      <c r="DD17" s="2167"/>
      <c r="DE17" s="2167"/>
      <c r="DF17" s="2167"/>
      <c r="DG17" s="2167"/>
      <c r="DH17" s="2167"/>
      <c r="DI17" s="2168"/>
    </row>
    <row r="18" customFormat="false" ht="12.75" hidden="false" customHeight="true" outlineLevel="0" collapsed="false">
      <c r="A18" s="1157"/>
      <c r="B18" s="1986" t="str">
        <f aca="false">'Tables 5Y'!DH18</f>
        <v>Net Cash From Investing Activities</v>
      </c>
      <c r="C18" s="2065" t="n">
        <f aca="false">'Cash Flow'!N40</f>
        <v>-2364185.4</v>
      </c>
      <c r="D18" s="2065" t="n">
        <f aca="false">'Cash Flow'!O40</f>
        <v>-466015.2</v>
      </c>
      <c r="E18" s="2065" t="n">
        <f aca="false">'Cash Flow'!P40</f>
        <v>-466015.2</v>
      </c>
      <c r="F18" s="2065" t="n">
        <f aca="false">'Cash Flow'!Q40</f>
        <v>0</v>
      </c>
      <c r="G18" s="2065" t="n">
        <f aca="false">'Cash Flow'!R40</f>
        <v>0</v>
      </c>
      <c r="H18" s="2065" t="n">
        <f aca="false">'Cash Flow'!S40</f>
        <v>0</v>
      </c>
      <c r="I18" s="2065" t="n">
        <f aca="false">'Cash Flow'!T40</f>
        <v>0</v>
      </c>
      <c r="J18" s="2065" t="n">
        <f aca="false">'Cash Flow'!U40</f>
        <v>0</v>
      </c>
      <c r="K18" s="2065" t="n">
        <f aca="false">'Cash Flow'!V40</f>
        <v>0</v>
      </c>
      <c r="L18" s="2065" t="n">
        <f aca="false">'Cash Flow'!W40</f>
        <v>0</v>
      </c>
      <c r="M18" s="2065" t="n">
        <f aca="false">'Cash Flow'!X40</f>
        <v>0</v>
      </c>
      <c r="N18" s="2182" t="n">
        <f aca="false">'Cash Flow'!Y40</f>
        <v>0</v>
      </c>
      <c r="O18" s="2135"/>
      <c r="P18" s="1990" t="str">
        <f aca="false">B18</f>
        <v>Net Cash From Investing Activities</v>
      </c>
      <c r="Q18" s="2068" t="n">
        <f aca="false">'Cash Flow'!Z40</f>
        <v>0</v>
      </c>
      <c r="R18" s="2068" t="n">
        <f aca="false">'Cash Flow'!AA40</f>
        <v>0</v>
      </c>
      <c r="S18" s="2068" t="n">
        <f aca="false">'Cash Flow'!AB40</f>
        <v>0</v>
      </c>
      <c r="T18" s="2068" t="n">
        <f aca="false">'Cash Flow'!AC40</f>
        <v>0</v>
      </c>
      <c r="U18" s="2068" t="n">
        <f aca="false">'Cash Flow'!AD40</f>
        <v>0</v>
      </c>
      <c r="V18" s="2068" t="n">
        <f aca="false">'Cash Flow'!AE40</f>
        <v>0</v>
      </c>
      <c r="W18" s="2068" t="n">
        <f aca="false">'Cash Flow'!AF40</f>
        <v>0</v>
      </c>
      <c r="X18" s="2068" t="n">
        <f aca="false">'Cash Flow'!AG40</f>
        <v>0</v>
      </c>
      <c r="Y18" s="2068" t="n">
        <f aca="false">'Cash Flow'!AH40</f>
        <v>0</v>
      </c>
      <c r="Z18" s="2068" t="n">
        <f aca="false">'Cash Flow'!AI40</f>
        <v>0</v>
      </c>
      <c r="AA18" s="2068" t="n">
        <f aca="false">'Cash Flow'!AJ40</f>
        <v>0</v>
      </c>
      <c r="AB18" s="2183" t="n">
        <f aca="false">'Cash Flow'!AK40</f>
        <v>0</v>
      </c>
      <c r="AC18" s="2135"/>
      <c r="AD18" s="1994" t="str">
        <f aca="false">P18</f>
        <v>Net Cash From Investing Activities</v>
      </c>
      <c r="AE18" s="2071" t="n">
        <f aca="false">'Cash Flow'!AL40</f>
        <v>0</v>
      </c>
      <c r="AF18" s="2071" t="n">
        <f aca="false">'Cash Flow'!AM40</f>
        <v>0</v>
      </c>
      <c r="AG18" s="2071" t="n">
        <f aca="false">'Cash Flow'!AN40</f>
        <v>0</v>
      </c>
      <c r="AH18" s="2071" t="n">
        <f aca="false">'Cash Flow'!AO40</f>
        <v>0</v>
      </c>
      <c r="AI18" s="2071" t="n">
        <f aca="false">'Cash Flow'!AP40</f>
        <v>0</v>
      </c>
      <c r="AJ18" s="2071" t="n">
        <f aca="false">'Cash Flow'!AQ40</f>
        <v>0</v>
      </c>
      <c r="AK18" s="2071" t="n">
        <f aca="false">'Cash Flow'!AR40</f>
        <v>0</v>
      </c>
      <c r="AL18" s="2071" t="n">
        <f aca="false">'Cash Flow'!AS40</f>
        <v>0</v>
      </c>
      <c r="AM18" s="2071" t="n">
        <f aca="false">'Cash Flow'!AT40</f>
        <v>0</v>
      </c>
      <c r="AN18" s="2071" t="n">
        <f aca="false">'Cash Flow'!AU40</f>
        <v>0</v>
      </c>
      <c r="AO18" s="2071" t="n">
        <f aca="false">'Cash Flow'!AV40</f>
        <v>0</v>
      </c>
      <c r="AP18" s="2184" t="n">
        <f aca="false">'Cash Flow'!AW40</f>
        <v>0</v>
      </c>
      <c r="AQ18" s="2135"/>
      <c r="AR18" s="2185" t="str">
        <f aca="false">AD18</f>
        <v>Net Cash From Investing Activities</v>
      </c>
      <c r="AS18" s="2074" t="n">
        <f aca="false">'Cash Flow'!AX40</f>
        <v>0</v>
      </c>
      <c r="AT18" s="2074" t="n">
        <f aca="false">'Cash Flow'!AY40</f>
        <v>0</v>
      </c>
      <c r="AU18" s="2074" t="n">
        <f aca="false">'Cash Flow'!AZ40</f>
        <v>0</v>
      </c>
      <c r="AV18" s="2074" t="n">
        <f aca="false">'Cash Flow'!BA40</f>
        <v>0</v>
      </c>
      <c r="AW18" s="2074" t="n">
        <f aca="false">'Cash Flow'!BB40</f>
        <v>0</v>
      </c>
      <c r="AX18" s="2074" t="n">
        <f aca="false">'Cash Flow'!BC40</f>
        <v>0</v>
      </c>
      <c r="AY18" s="2074" t="n">
        <f aca="false">'Cash Flow'!BD40</f>
        <v>0</v>
      </c>
      <c r="AZ18" s="2074" t="n">
        <f aca="false">'Cash Flow'!BE40</f>
        <v>0</v>
      </c>
      <c r="BA18" s="2074" t="n">
        <f aca="false">'Cash Flow'!BF40</f>
        <v>0</v>
      </c>
      <c r="BB18" s="2074" t="n">
        <f aca="false">'Cash Flow'!BG40</f>
        <v>0</v>
      </c>
      <c r="BC18" s="2074" t="n">
        <f aca="false">'Cash Flow'!BH40</f>
        <v>0</v>
      </c>
      <c r="BD18" s="2186" t="n">
        <f aca="false">'Cash Flow'!BI40</f>
        <v>0</v>
      </c>
      <c r="BE18" s="1466"/>
      <c r="BF18" s="1157"/>
      <c r="BG18" s="2195" t="str">
        <f aca="false">'Tables 5Y'!EE19</f>
        <v>Accounts Payable</v>
      </c>
      <c r="BH18" s="2161" t="n">
        <f aca="false">'Balance Sheet'!N19</f>
        <v>2694154.22898394</v>
      </c>
      <c r="BI18" s="2161" t="n">
        <f aca="false">'Balance Sheet'!O19</f>
        <v>2960489.99945426</v>
      </c>
      <c r="BJ18" s="2161" t="n">
        <f aca="false">'Balance Sheet'!P19</f>
        <v>3270966.98283426</v>
      </c>
      <c r="BK18" s="2161" t="n">
        <f aca="false">'Balance Sheet'!Q19</f>
        <v>3579128.24968163</v>
      </c>
      <c r="BL18" s="2161" t="n">
        <f aca="false">'Balance Sheet'!R19</f>
        <v>3887285.89282044</v>
      </c>
      <c r="BM18" s="2161" t="n">
        <f aca="false">'Balance Sheet'!S19</f>
        <v>4195439.89413215</v>
      </c>
      <c r="BN18" s="2161" t="n">
        <f aca="false">'Balance Sheet'!T19</f>
        <v>4608663.49883874</v>
      </c>
      <c r="BO18" s="2161" t="n">
        <f aca="false">'Balance Sheet'!U19</f>
        <v>4887022.43799372</v>
      </c>
      <c r="BP18" s="2161" t="n">
        <f aca="false">'Balance Sheet'!V19</f>
        <v>5124715.44588872</v>
      </c>
      <c r="BQ18" s="2161" t="n">
        <f aca="false">'Balance Sheet'!W19</f>
        <v>5362405.29585373</v>
      </c>
      <c r="BR18" s="2161" t="n">
        <f aca="false">'Balance Sheet'!X19</f>
        <v>5600091.97209911</v>
      </c>
      <c r="BS18" s="2162" t="n">
        <f aca="false">'Balance Sheet'!Y19</f>
        <v>5837775.45875626</v>
      </c>
      <c r="BT18" s="2135"/>
      <c r="BU18" s="2196" t="str">
        <f aca="false">BG18</f>
        <v>Accounts Payable</v>
      </c>
      <c r="BV18" s="2163" t="n">
        <f aca="false">'Balance Sheet'!Z19</f>
        <v>10088490.407367</v>
      </c>
      <c r="BW18" s="2163" t="n">
        <f aca="false">'Balance Sheet'!AA19</f>
        <v>10087842.8730327</v>
      </c>
      <c r="BX18" s="2163" t="n">
        <f aca="false">'Balance Sheet'!AB19</f>
        <v>10087192.1010267</v>
      </c>
      <c r="BY18" s="2163" t="n">
        <f aca="false">'Balance Sheet'!AC19</f>
        <v>10086538.0751608</v>
      </c>
      <c r="BZ18" s="2163" t="n">
        <f aca="false">'Balance Sheet'!AD19</f>
        <v>10085880.7791655</v>
      </c>
      <c r="CA18" s="2163" t="n">
        <f aca="false">'Balance Sheet'!AE19</f>
        <v>10085220.1966902</v>
      </c>
      <c r="CB18" s="2163" t="n">
        <f aca="false">'Balance Sheet'!AF19</f>
        <v>10084556.3113025</v>
      </c>
      <c r="CC18" s="2163" t="n">
        <f aca="false">'Balance Sheet'!AG19</f>
        <v>10083889.1064879</v>
      </c>
      <c r="CD18" s="2163" t="n">
        <f aca="false">'Balance Sheet'!AH19</f>
        <v>10083218.5656492</v>
      </c>
      <c r="CE18" s="2163" t="n">
        <f aca="false">'Balance Sheet'!AI19</f>
        <v>10082544.6721064</v>
      </c>
      <c r="CF18" s="2163" t="n">
        <f aca="false">'Balance Sheet'!AJ19</f>
        <v>10081867.4090958</v>
      </c>
      <c r="CG18" s="2164" t="n">
        <f aca="false">'Balance Sheet'!AK19</f>
        <v>10081186.7597701</v>
      </c>
      <c r="CH18" s="2135"/>
      <c r="CI18" s="2197" t="str">
        <f aca="false">BU18</f>
        <v>Accounts Payable</v>
      </c>
      <c r="CJ18" s="2165" t="n">
        <f aca="false">'Balance Sheet'!AL19</f>
        <v>10707933.0322769</v>
      </c>
      <c r="CK18" s="2165" t="n">
        <f aca="false">'Balance Sheet'!AM19</f>
        <v>10707245.5594418</v>
      </c>
      <c r="CL18" s="2165" t="n">
        <f aca="false">'Balance Sheet'!AN19</f>
        <v>10706554.6492425</v>
      </c>
      <c r="CM18" s="2165" t="n">
        <f aca="false">'Balance Sheet'!AO19</f>
        <v>10705860.2844922</v>
      </c>
      <c r="CN18" s="2165" t="n">
        <f aca="false">'Balance Sheet'!AP19</f>
        <v>10705162.4479182</v>
      </c>
      <c r="CO18" s="2165" t="n">
        <f aca="false">'Balance Sheet'!AQ19</f>
        <v>10704461.1221612</v>
      </c>
      <c r="CP18" s="2165" t="n">
        <f aca="false">'Balance Sheet'!AR19</f>
        <v>10703756.2897755</v>
      </c>
      <c r="CQ18" s="2165" t="n">
        <f aca="false">'Balance Sheet'!AS19</f>
        <v>10703047.9332279</v>
      </c>
      <c r="CR18" s="2165" t="n">
        <f aca="false">'Balance Sheet'!AT19</f>
        <v>10702336.0348975</v>
      </c>
      <c r="CS18" s="2165" t="n">
        <f aca="false">'Balance Sheet'!AU19</f>
        <v>10701620.5770755</v>
      </c>
      <c r="CT18" s="2165" t="n">
        <f aca="false">'Balance Sheet'!AV19</f>
        <v>10700901.5419644</v>
      </c>
      <c r="CU18" s="2166" t="n">
        <f aca="false">'Balance Sheet'!AW19</f>
        <v>10700178.9116777</v>
      </c>
      <c r="CV18" s="2135"/>
      <c r="CW18" s="2198" t="str">
        <f aca="false">CI18</f>
        <v>Accounts Payable</v>
      </c>
      <c r="CX18" s="2167" t="n">
        <f aca="false">'Balance Sheet'!AX19</f>
        <v>11329671.8386112</v>
      </c>
      <c r="CY18" s="2167" t="n">
        <f aca="false">'Balance Sheet'!AY19</f>
        <v>11328941.9639559</v>
      </c>
      <c r="CZ18" s="2167" t="n">
        <f aca="false">'Balance Sheet'!AZ19</f>
        <v>11328208.4399273</v>
      </c>
      <c r="DA18" s="2167" t="n">
        <f aca="false">'Balance Sheet'!BA19</f>
        <v>11327471.2482785</v>
      </c>
      <c r="DB18" s="2167" t="n">
        <f aca="false">'Balance Sheet'!BB19</f>
        <v>11326730.3706716</v>
      </c>
      <c r="DC18" s="2167" t="n">
        <f aca="false">'Balance Sheet'!BC19</f>
        <v>11325985.7886765</v>
      </c>
      <c r="DD18" s="2167" t="n">
        <f aca="false">'Balance Sheet'!BD19</f>
        <v>11325237.4837716</v>
      </c>
      <c r="DE18" s="2167" t="n">
        <f aca="false">'Balance Sheet'!BE19</f>
        <v>11324485.437342</v>
      </c>
      <c r="DF18" s="2167" t="n">
        <f aca="false">'Balance Sheet'!BF19</f>
        <v>11323729.6306804</v>
      </c>
      <c r="DG18" s="2167" t="n">
        <f aca="false">'Balance Sheet'!BG19</f>
        <v>11322970.0449854</v>
      </c>
      <c r="DH18" s="2167" t="n">
        <f aca="false">'Balance Sheet'!BH19</f>
        <v>11322206.661362</v>
      </c>
      <c r="DI18" s="2168" t="n">
        <f aca="false">'Balance Sheet'!BI19</f>
        <v>11321439.4608204</v>
      </c>
    </row>
    <row r="19" customFormat="false" ht="12.75" hidden="false" customHeight="true" outlineLevel="0" collapsed="false">
      <c r="A19" s="1157"/>
      <c r="B19" s="2099"/>
      <c r="C19" s="2003"/>
      <c r="D19" s="2003"/>
      <c r="E19" s="2003"/>
      <c r="F19" s="2003"/>
      <c r="G19" s="2003"/>
      <c r="H19" s="2003"/>
      <c r="I19" s="2003"/>
      <c r="J19" s="2003"/>
      <c r="K19" s="2003"/>
      <c r="L19" s="2003"/>
      <c r="M19" s="2003"/>
      <c r="N19" s="2190"/>
      <c r="O19" s="2135"/>
      <c r="P19" s="2099"/>
      <c r="Q19" s="2003"/>
      <c r="R19" s="2003"/>
      <c r="S19" s="2003"/>
      <c r="T19" s="2003"/>
      <c r="U19" s="2003"/>
      <c r="V19" s="2003"/>
      <c r="W19" s="2003"/>
      <c r="X19" s="2003"/>
      <c r="Y19" s="2003"/>
      <c r="Z19" s="2003"/>
      <c r="AA19" s="2003"/>
      <c r="AB19" s="2190"/>
      <c r="AC19" s="2135"/>
      <c r="AD19" s="2099"/>
      <c r="AE19" s="2003"/>
      <c r="AF19" s="2003"/>
      <c r="AG19" s="2003"/>
      <c r="AH19" s="2003"/>
      <c r="AI19" s="2003"/>
      <c r="AJ19" s="2003"/>
      <c r="AK19" s="2003"/>
      <c r="AL19" s="2003"/>
      <c r="AM19" s="2003"/>
      <c r="AN19" s="2003"/>
      <c r="AO19" s="2003"/>
      <c r="AP19" s="2190"/>
      <c r="AQ19" s="2135"/>
      <c r="AR19" s="2099"/>
      <c r="AS19" s="2003"/>
      <c r="AT19" s="2003"/>
      <c r="AU19" s="2003"/>
      <c r="AV19" s="2003"/>
      <c r="AW19" s="2003"/>
      <c r="AX19" s="2003"/>
      <c r="AY19" s="2003"/>
      <c r="AZ19" s="2003"/>
      <c r="BA19" s="2003"/>
      <c r="BB19" s="2003"/>
      <c r="BC19" s="2003"/>
      <c r="BD19" s="2190"/>
      <c r="BE19" s="1466"/>
      <c r="BF19" s="1157"/>
      <c r="BG19" s="2195" t="str">
        <f aca="false">'Tables 5Y'!EE20</f>
        <v>Current Borrowing</v>
      </c>
      <c r="BH19" s="2161" t="n">
        <f aca="false">'Balance Sheet'!N20</f>
        <v>0</v>
      </c>
      <c r="BI19" s="2161" t="n">
        <f aca="false">'Balance Sheet'!O20</f>
        <v>0</v>
      </c>
      <c r="BJ19" s="2161" t="n">
        <f aca="false">'Balance Sheet'!P20</f>
        <v>0</v>
      </c>
      <c r="BK19" s="2161" t="n">
        <f aca="false">'Balance Sheet'!Q20</f>
        <v>0</v>
      </c>
      <c r="BL19" s="2161" t="n">
        <f aca="false">'Balance Sheet'!R20</f>
        <v>0</v>
      </c>
      <c r="BM19" s="2161" t="n">
        <f aca="false">'Balance Sheet'!S20</f>
        <v>0</v>
      </c>
      <c r="BN19" s="2161" t="n">
        <f aca="false">'Balance Sheet'!T20</f>
        <v>0</v>
      </c>
      <c r="BO19" s="2161" t="n">
        <f aca="false">'Balance Sheet'!U20</f>
        <v>0</v>
      </c>
      <c r="BP19" s="2161" t="n">
        <f aca="false">'Balance Sheet'!V20</f>
        <v>0</v>
      </c>
      <c r="BQ19" s="2161" t="n">
        <f aca="false">'Balance Sheet'!W20</f>
        <v>0</v>
      </c>
      <c r="BR19" s="2161" t="n">
        <f aca="false">'Balance Sheet'!X20</f>
        <v>0</v>
      </c>
      <c r="BS19" s="2162" t="n">
        <f aca="false">'Balance Sheet'!Y20</f>
        <v>0</v>
      </c>
      <c r="BT19" s="2135"/>
      <c r="BU19" s="2196" t="str">
        <f aca="false">BG19</f>
        <v>Current Borrowing</v>
      </c>
      <c r="BV19" s="2163" t="n">
        <f aca="false">'Balance Sheet'!Z20</f>
        <v>0</v>
      </c>
      <c r="BW19" s="2163" t="n">
        <f aca="false">'Balance Sheet'!AA20</f>
        <v>0</v>
      </c>
      <c r="BX19" s="2163" t="n">
        <f aca="false">'Balance Sheet'!AB20</f>
        <v>0</v>
      </c>
      <c r="BY19" s="2163" t="n">
        <f aca="false">'Balance Sheet'!AC20</f>
        <v>0</v>
      </c>
      <c r="BZ19" s="2163" t="n">
        <f aca="false">'Balance Sheet'!AD20</f>
        <v>0</v>
      </c>
      <c r="CA19" s="2163" t="n">
        <f aca="false">'Balance Sheet'!AE20</f>
        <v>0</v>
      </c>
      <c r="CB19" s="2163" t="n">
        <f aca="false">'Balance Sheet'!AF20</f>
        <v>0</v>
      </c>
      <c r="CC19" s="2163" t="n">
        <f aca="false">'Balance Sheet'!AG20</f>
        <v>0</v>
      </c>
      <c r="CD19" s="2163" t="n">
        <f aca="false">'Balance Sheet'!AH20</f>
        <v>0</v>
      </c>
      <c r="CE19" s="2163" t="n">
        <f aca="false">'Balance Sheet'!AI20</f>
        <v>0</v>
      </c>
      <c r="CF19" s="2163" t="n">
        <f aca="false">'Balance Sheet'!AJ20</f>
        <v>0</v>
      </c>
      <c r="CG19" s="2164" t="n">
        <f aca="false">'Balance Sheet'!AK20</f>
        <v>0</v>
      </c>
      <c r="CH19" s="2135"/>
      <c r="CI19" s="2197" t="str">
        <f aca="false">BU19</f>
        <v>Current Borrowing</v>
      </c>
      <c r="CJ19" s="2165" t="n">
        <f aca="false">'Balance Sheet'!AL20</f>
        <v>0</v>
      </c>
      <c r="CK19" s="2165" t="n">
        <f aca="false">'Balance Sheet'!AM20</f>
        <v>0</v>
      </c>
      <c r="CL19" s="2165" t="n">
        <f aca="false">'Balance Sheet'!AN20</f>
        <v>0</v>
      </c>
      <c r="CM19" s="2165" t="n">
        <f aca="false">'Balance Sheet'!AO20</f>
        <v>0</v>
      </c>
      <c r="CN19" s="2165" t="n">
        <f aca="false">'Balance Sheet'!AP20</f>
        <v>0</v>
      </c>
      <c r="CO19" s="2165" t="n">
        <f aca="false">'Balance Sheet'!AQ20</f>
        <v>0</v>
      </c>
      <c r="CP19" s="2165" t="n">
        <f aca="false">'Balance Sheet'!AR20</f>
        <v>0</v>
      </c>
      <c r="CQ19" s="2165" t="n">
        <f aca="false">'Balance Sheet'!AS20</f>
        <v>0</v>
      </c>
      <c r="CR19" s="2165" t="n">
        <f aca="false">'Balance Sheet'!AT20</f>
        <v>0</v>
      </c>
      <c r="CS19" s="2165" t="n">
        <f aca="false">'Balance Sheet'!AU20</f>
        <v>0</v>
      </c>
      <c r="CT19" s="2165" t="n">
        <f aca="false">'Balance Sheet'!AV20</f>
        <v>0</v>
      </c>
      <c r="CU19" s="2166" t="n">
        <f aca="false">'Balance Sheet'!AW20</f>
        <v>0</v>
      </c>
      <c r="CV19" s="2135"/>
      <c r="CW19" s="2198" t="str">
        <f aca="false">CI19</f>
        <v>Current Borrowing</v>
      </c>
      <c r="CX19" s="2167" t="n">
        <f aca="false">'Balance Sheet'!AX20</f>
        <v>0</v>
      </c>
      <c r="CY19" s="2167" t="n">
        <f aca="false">'Balance Sheet'!AY20</f>
        <v>0</v>
      </c>
      <c r="CZ19" s="2167" t="n">
        <f aca="false">'Balance Sheet'!AZ20</f>
        <v>0</v>
      </c>
      <c r="DA19" s="2167" t="n">
        <f aca="false">'Balance Sheet'!BA20</f>
        <v>0</v>
      </c>
      <c r="DB19" s="2167" t="n">
        <f aca="false">'Balance Sheet'!BB20</f>
        <v>0</v>
      </c>
      <c r="DC19" s="2167" t="n">
        <f aca="false">'Balance Sheet'!BC20</f>
        <v>0</v>
      </c>
      <c r="DD19" s="2167" t="n">
        <f aca="false">'Balance Sheet'!BD20</f>
        <v>0</v>
      </c>
      <c r="DE19" s="2167" t="n">
        <f aca="false">'Balance Sheet'!BE20</f>
        <v>0</v>
      </c>
      <c r="DF19" s="2167" t="n">
        <f aca="false">'Balance Sheet'!BF20</f>
        <v>0</v>
      </c>
      <c r="DG19" s="2167" t="n">
        <f aca="false">'Balance Sheet'!BG20</f>
        <v>0</v>
      </c>
      <c r="DH19" s="2167" t="n">
        <f aca="false">'Balance Sheet'!BH20</f>
        <v>0</v>
      </c>
      <c r="DI19" s="2168" t="n">
        <f aca="false">'Balance Sheet'!BI20</f>
        <v>0</v>
      </c>
    </row>
    <row r="20" customFormat="false" ht="12.75" hidden="false" customHeight="true" outlineLevel="0" collapsed="false">
      <c r="A20" s="1157"/>
      <c r="B20" s="2140" t="str">
        <f aca="false">'Tables 5Y'!DH20</f>
        <v>FINANCING</v>
      </c>
      <c r="C20" s="1901"/>
      <c r="D20" s="1901"/>
      <c r="E20" s="1901"/>
      <c r="F20" s="1901"/>
      <c r="G20" s="1901"/>
      <c r="H20" s="1901"/>
      <c r="I20" s="1901"/>
      <c r="J20" s="1901"/>
      <c r="K20" s="1901"/>
      <c r="L20" s="1901"/>
      <c r="M20" s="1901"/>
      <c r="N20" s="2141"/>
      <c r="O20" s="2135"/>
      <c r="P20" s="2142" t="str">
        <f aca="false">B20</f>
        <v>FINANCING</v>
      </c>
      <c r="Q20" s="1905"/>
      <c r="R20" s="1905"/>
      <c r="S20" s="1905"/>
      <c r="T20" s="1905"/>
      <c r="U20" s="1905"/>
      <c r="V20" s="1905"/>
      <c r="W20" s="1905"/>
      <c r="X20" s="1905"/>
      <c r="Y20" s="1905"/>
      <c r="Z20" s="1905"/>
      <c r="AA20" s="1905"/>
      <c r="AB20" s="2143"/>
      <c r="AC20" s="2135"/>
      <c r="AD20" s="2144" t="str">
        <f aca="false">P20</f>
        <v>FINANCING</v>
      </c>
      <c r="AE20" s="1909"/>
      <c r="AF20" s="1909"/>
      <c r="AG20" s="1909"/>
      <c r="AH20" s="1909"/>
      <c r="AI20" s="1909"/>
      <c r="AJ20" s="1909"/>
      <c r="AK20" s="1909"/>
      <c r="AL20" s="1909"/>
      <c r="AM20" s="1909"/>
      <c r="AN20" s="1909"/>
      <c r="AO20" s="1909"/>
      <c r="AP20" s="2145"/>
      <c r="AQ20" s="2135"/>
      <c r="AR20" s="2146" t="str">
        <f aca="false">AD20</f>
        <v>FINANCING</v>
      </c>
      <c r="AS20" s="1913"/>
      <c r="AT20" s="1913"/>
      <c r="AU20" s="1913"/>
      <c r="AV20" s="1913"/>
      <c r="AW20" s="1913"/>
      <c r="AX20" s="1913"/>
      <c r="AY20" s="1913"/>
      <c r="AZ20" s="1913"/>
      <c r="BA20" s="1913"/>
      <c r="BB20" s="1913"/>
      <c r="BC20" s="1913"/>
      <c r="BD20" s="2147"/>
      <c r="BE20" s="1466"/>
      <c r="BF20" s="1157"/>
      <c r="BG20" s="2195" t="str">
        <f aca="false">'Tables 5Y'!EE21</f>
        <v>Other Current Liabilities</v>
      </c>
      <c r="BH20" s="2161" t="n">
        <f aca="false">'Balance Sheet'!N21</f>
        <v>0</v>
      </c>
      <c r="BI20" s="2161" t="n">
        <f aca="false">'Balance Sheet'!O21</f>
        <v>0</v>
      </c>
      <c r="BJ20" s="2161" t="n">
        <f aca="false">'Balance Sheet'!P21</f>
        <v>0</v>
      </c>
      <c r="BK20" s="2161" t="n">
        <f aca="false">'Balance Sheet'!Q21</f>
        <v>0</v>
      </c>
      <c r="BL20" s="2161" t="n">
        <f aca="false">'Balance Sheet'!R21</f>
        <v>0</v>
      </c>
      <c r="BM20" s="2161" t="n">
        <f aca="false">'Balance Sheet'!S21</f>
        <v>0</v>
      </c>
      <c r="BN20" s="2161" t="n">
        <f aca="false">'Balance Sheet'!T21</f>
        <v>0</v>
      </c>
      <c r="BO20" s="2161" t="n">
        <f aca="false">'Balance Sheet'!U21</f>
        <v>0</v>
      </c>
      <c r="BP20" s="2161" t="n">
        <f aca="false">'Balance Sheet'!V21</f>
        <v>0</v>
      </c>
      <c r="BQ20" s="2161" t="n">
        <f aca="false">'Balance Sheet'!W21</f>
        <v>0</v>
      </c>
      <c r="BR20" s="2161" t="n">
        <f aca="false">'Balance Sheet'!X21</f>
        <v>0</v>
      </c>
      <c r="BS20" s="2162" t="n">
        <f aca="false">'Balance Sheet'!Y21</f>
        <v>0</v>
      </c>
      <c r="BT20" s="2135"/>
      <c r="BU20" s="2196" t="str">
        <f aca="false">BG20</f>
        <v>Other Current Liabilities</v>
      </c>
      <c r="BV20" s="2163" t="n">
        <f aca="false">'Balance Sheet'!Z21</f>
        <v>0</v>
      </c>
      <c r="BW20" s="2163" t="n">
        <f aca="false">'Balance Sheet'!AA21</f>
        <v>0</v>
      </c>
      <c r="BX20" s="2163" t="n">
        <f aca="false">'Balance Sheet'!AB21</f>
        <v>0</v>
      </c>
      <c r="BY20" s="2163" t="n">
        <f aca="false">'Balance Sheet'!AC21</f>
        <v>0</v>
      </c>
      <c r="BZ20" s="2163" t="n">
        <f aca="false">'Balance Sheet'!AD21</f>
        <v>0</v>
      </c>
      <c r="CA20" s="2163" t="n">
        <f aca="false">'Balance Sheet'!AE21</f>
        <v>0</v>
      </c>
      <c r="CB20" s="2163" t="n">
        <f aca="false">'Balance Sheet'!AF21</f>
        <v>0</v>
      </c>
      <c r="CC20" s="2163" t="n">
        <f aca="false">'Balance Sheet'!AG21</f>
        <v>0</v>
      </c>
      <c r="CD20" s="2163" t="n">
        <f aca="false">'Balance Sheet'!AH21</f>
        <v>0</v>
      </c>
      <c r="CE20" s="2163" t="n">
        <f aca="false">'Balance Sheet'!AI21</f>
        <v>0</v>
      </c>
      <c r="CF20" s="2163" t="n">
        <f aca="false">'Balance Sheet'!AJ21</f>
        <v>0</v>
      </c>
      <c r="CG20" s="2164" t="n">
        <f aca="false">'Balance Sheet'!AK21</f>
        <v>0</v>
      </c>
      <c r="CH20" s="2135"/>
      <c r="CI20" s="2197" t="str">
        <f aca="false">BU20</f>
        <v>Other Current Liabilities</v>
      </c>
      <c r="CJ20" s="2165" t="n">
        <f aca="false">'Balance Sheet'!AL21</f>
        <v>0</v>
      </c>
      <c r="CK20" s="2165" t="n">
        <f aca="false">'Balance Sheet'!AM21</f>
        <v>0</v>
      </c>
      <c r="CL20" s="2165" t="n">
        <f aca="false">'Balance Sheet'!AN21</f>
        <v>0</v>
      </c>
      <c r="CM20" s="2165" t="n">
        <f aca="false">'Balance Sheet'!AO21</f>
        <v>0</v>
      </c>
      <c r="CN20" s="2165" t="n">
        <f aca="false">'Balance Sheet'!AP21</f>
        <v>0</v>
      </c>
      <c r="CO20" s="2165" t="n">
        <f aca="false">'Balance Sheet'!AQ21</f>
        <v>0</v>
      </c>
      <c r="CP20" s="2165" t="n">
        <f aca="false">'Balance Sheet'!AR21</f>
        <v>0</v>
      </c>
      <c r="CQ20" s="2165" t="n">
        <f aca="false">'Balance Sheet'!AS21</f>
        <v>0</v>
      </c>
      <c r="CR20" s="2165" t="n">
        <f aca="false">'Balance Sheet'!AT21</f>
        <v>0</v>
      </c>
      <c r="CS20" s="2165" t="n">
        <f aca="false">'Balance Sheet'!AU21</f>
        <v>0</v>
      </c>
      <c r="CT20" s="2165" t="n">
        <f aca="false">'Balance Sheet'!AV21</f>
        <v>0</v>
      </c>
      <c r="CU20" s="2166" t="n">
        <f aca="false">'Balance Sheet'!AW21</f>
        <v>0</v>
      </c>
      <c r="CV20" s="2135"/>
      <c r="CW20" s="2198" t="str">
        <f aca="false">CI20</f>
        <v>Other Current Liabilities</v>
      </c>
      <c r="CX20" s="2167" t="n">
        <f aca="false">'Balance Sheet'!AX21</f>
        <v>0</v>
      </c>
      <c r="CY20" s="2167" t="n">
        <f aca="false">'Balance Sheet'!AY21</f>
        <v>0</v>
      </c>
      <c r="CZ20" s="2167" t="n">
        <f aca="false">'Balance Sheet'!AZ21</f>
        <v>0</v>
      </c>
      <c r="DA20" s="2167" t="n">
        <f aca="false">'Balance Sheet'!BA21</f>
        <v>0</v>
      </c>
      <c r="DB20" s="2167" t="n">
        <f aca="false">'Balance Sheet'!BB21</f>
        <v>0</v>
      </c>
      <c r="DC20" s="2167" t="n">
        <f aca="false">'Balance Sheet'!BC21</f>
        <v>0</v>
      </c>
      <c r="DD20" s="2167" t="n">
        <f aca="false">'Balance Sheet'!BD21</f>
        <v>0</v>
      </c>
      <c r="DE20" s="2167" t="n">
        <f aca="false">'Balance Sheet'!BE21</f>
        <v>0</v>
      </c>
      <c r="DF20" s="2167" t="n">
        <f aca="false">'Balance Sheet'!BF21</f>
        <v>0</v>
      </c>
      <c r="DG20" s="2167" t="n">
        <f aca="false">'Balance Sheet'!BG21</f>
        <v>0</v>
      </c>
      <c r="DH20" s="2167" t="n">
        <f aca="false">'Balance Sheet'!BH21</f>
        <v>0</v>
      </c>
      <c r="DI20" s="2168" t="n">
        <f aca="false">'Balance Sheet'!BI21</f>
        <v>0</v>
      </c>
    </row>
    <row r="21" customFormat="false" ht="12.75" hidden="false" customHeight="true" outlineLevel="0" collapsed="false">
      <c r="A21" s="1157"/>
      <c r="B21" s="1958" t="str">
        <f aca="false">'Tables 5Y'!DH21</f>
        <v>Investment</v>
      </c>
      <c r="C21" s="1972" t="n">
        <f aca="false">'Cash Flow'!N43</f>
        <v>0</v>
      </c>
      <c r="D21" s="1972" t="n">
        <f aca="false">'Cash Flow'!O43</f>
        <v>0</v>
      </c>
      <c r="E21" s="1972" t="n">
        <f aca="false">'Cash Flow'!P43</f>
        <v>0</v>
      </c>
      <c r="F21" s="1972" t="n">
        <f aca="false">'Cash Flow'!Q43</f>
        <v>0</v>
      </c>
      <c r="G21" s="1972" t="n">
        <f aca="false">'Cash Flow'!R43</f>
        <v>0</v>
      </c>
      <c r="H21" s="1972" t="n">
        <f aca="false">'Cash Flow'!S43</f>
        <v>0</v>
      </c>
      <c r="I21" s="1972" t="n">
        <f aca="false">'Cash Flow'!T43</f>
        <v>0</v>
      </c>
      <c r="J21" s="1972" t="n">
        <f aca="false">'Cash Flow'!U43</f>
        <v>0</v>
      </c>
      <c r="K21" s="1972" t="n">
        <f aca="false">'Cash Flow'!V43</f>
        <v>0</v>
      </c>
      <c r="L21" s="1972" t="n">
        <f aca="false">'Cash Flow'!W43</f>
        <v>0</v>
      </c>
      <c r="M21" s="1972" t="n">
        <f aca="false">'Cash Flow'!X43</f>
        <v>0</v>
      </c>
      <c r="N21" s="2156" t="n">
        <f aca="false">'Cash Flow'!Y43</f>
        <v>0</v>
      </c>
      <c r="O21" s="2135"/>
      <c r="P21" s="1974" t="str">
        <f aca="false">B21</f>
        <v>Investment</v>
      </c>
      <c r="Q21" s="1976" t="n">
        <f aca="false">'Cash Flow'!Z43</f>
        <v>0</v>
      </c>
      <c r="R21" s="1976" t="n">
        <f aca="false">'Cash Flow'!AA43</f>
        <v>0</v>
      </c>
      <c r="S21" s="1976" t="n">
        <f aca="false">'Cash Flow'!AB43</f>
        <v>0</v>
      </c>
      <c r="T21" s="1976" t="n">
        <f aca="false">'Cash Flow'!AC43</f>
        <v>0</v>
      </c>
      <c r="U21" s="1976" t="n">
        <f aca="false">'Cash Flow'!AD43</f>
        <v>0</v>
      </c>
      <c r="V21" s="1976" t="n">
        <f aca="false">'Cash Flow'!AE43</f>
        <v>0</v>
      </c>
      <c r="W21" s="1976" t="n">
        <f aca="false">'Cash Flow'!AF43</f>
        <v>0</v>
      </c>
      <c r="X21" s="1976" t="n">
        <f aca="false">'Cash Flow'!AG43</f>
        <v>0</v>
      </c>
      <c r="Y21" s="1976" t="n">
        <f aca="false">'Cash Flow'!AH43</f>
        <v>0</v>
      </c>
      <c r="Z21" s="1976" t="n">
        <f aca="false">'Cash Flow'!AI43</f>
        <v>0</v>
      </c>
      <c r="AA21" s="1976" t="n">
        <f aca="false">'Cash Flow'!AJ43</f>
        <v>0</v>
      </c>
      <c r="AB21" s="2157" t="n">
        <f aca="false">'Cash Flow'!AK43</f>
        <v>0</v>
      </c>
      <c r="AC21" s="2135"/>
      <c r="AD21" s="1978" t="str">
        <f aca="false">P21</f>
        <v>Investment</v>
      </c>
      <c r="AE21" s="1980" t="n">
        <f aca="false">'Cash Flow'!AL43</f>
        <v>0</v>
      </c>
      <c r="AF21" s="1980" t="n">
        <f aca="false">'Cash Flow'!AM43</f>
        <v>0</v>
      </c>
      <c r="AG21" s="1980" t="n">
        <f aca="false">'Cash Flow'!AN43</f>
        <v>0</v>
      </c>
      <c r="AH21" s="1980" t="n">
        <f aca="false">'Cash Flow'!AO43</f>
        <v>0</v>
      </c>
      <c r="AI21" s="1980" t="n">
        <f aca="false">'Cash Flow'!AP43</f>
        <v>0</v>
      </c>
      <c r="AJ21" s="1980" t="n">
        <f aca="false">'Cash Flow'!AQ43</f>
        <v>0</v>
      </c>
      <c r="AK21" s="1980" t="n">
        <f aca="false">'Cash Flow'!AR43</f>
        <v>0</v>
      </c>
      <c r="AL21" s="1980" t="n">
        <f aca="false">'Cash Flow'!AS43</f>
        <v>0</v>
      </c>
      <c r="AM21" s="1980" t="n">
        <f aca="false">'Cash Flow'!AT43</f>
        <v>0</v>
      </c>
      <c r="AN21" s="1980" t="n">
        <f aca="false">'Cash Flow'!AU43</f>
        <v>0</v>
      </c>
      <c r="AO21" s="1980" t="n">
        <f aca="false">'Cash Flow'!AV43</f>
        <v>0</v>
      </c>
      <c r="AP21" s="2158" t="n">
        <f aca="false">'Cash Flow'!AW43</f>
        <v>0</v>
      </c>
      <c r="AQ21" s="2135"/>
      <c r="AR21" s="2159" t="str">
        <f aca="false">AD21</f>
        <v>Investment</v>
      </c>
      <c r="AS21" s="1984" t="n">
        <f aca="false">'Cash Flow'!AX43</f>
        <v>0</v>
      </c>
      <c r="AT21" s="1984" t="n">
        <f aca="false">'Cash Flow'!AY43</f>
        <v>0</v>
      </c>
      <c r="AU21" s="1984" t="n">
        <f aca="false">'Cash Flow'!AZ43</f>
        <v>0</v>
      </c>
      <c r="AV21" s="1984" t="n">
        <f aca="false">'Cash Flow'!BA43</f>
        <v>0</v>
      </c>
      <c r="AW21" s="1984" t="n">
        <f aca="false">'Cash Flow'!BB43</f>
        <v>0</v>
      </c>
      <c r="AX21" s="1984" t="n">
        <f aca="false">'Cash Flow'!BC43</f>
        <v>0</v>
      </c>
      <c r="AY21" s="1984" t="n">
        <f aca="false">'Cash Flow'!BD43</f>
        <v>0</v>
      </c>
      <c r="AZ21" s="1984" t="n">
        <f aca="false">'Cash Flow'!BE43</f>
        <v>0</v>
      </c>
      <c r="BA21" s="1984" t="n">
        <f aca="false">'Cash Flow'!BF43</f>
        <v>0</v>
      </c>
      <c r="BB21" s="1984" t="n">
        <f aca="false">'Cash Flow'!BG43</f>
        <v>0</v>
      </c>
      <c r="BC21" s="1984" t="n">
        <f aca="false">'Cash Flow'!BH43</f>
        <v>0</v>
      </c>
      <c r="BD21" s="2160" t="n">
        <f aca="false">'Cash Flow'!BI43</f>
        <v>0</v>
      </c>
      <c r="BE21" s="1466"/>
      <c r="BF21" s="1157"/>
      <c r="BG21" s="2199" t="str">
        <f aca="false">'Tables 5Y'!EE22</f>
        <v>Subtotal Current Liabilities</v>
      </c>
      <c r="BH21" s="2174" t="n">
        <f aca="false">'Balance Sheet'!N22</f>
        <v>2694154.22898394</v>
      </c>
      <c r="BI21" s="2174" t="n">
        <f aca="false">'Balance Sheet'!O22</f>
        <v>2960489.99945426</v>
      </c>
      <c r="BJ21" s="2174" t="n">
        <f aca="false">'Balance Sheet'!P22</f>
        <v>3270966.98283426</v>
      </c>
      <c r="BK21" s="2174" t="n">
        <f aca="false">'Balance Sheet'!Q22</f>
        <v>3579128.24968163</v>
      </c>
      <c r="BL21" s="2174" t="n">
        <f aca="false">'Balance Sheet'!R22</f>
        <v>3887285.89282044</v>
      </c>
      <c r="BM21" s="2174" t="n">
        <f aca="false">'Balance Sheet'!S22</f>
        <v>4195439.89413215</v>
      </c>
      <c r="BN21" s="2174" t="n">
        <f aca="false">'Balance Sheet'!T22</f>
        <v>4608663.49883874</v>
      </c>
      <c r="BO21" s="2174" t="n">
        <f aca="false">'Balance Sheet'!U22</f>
        <v>4887022.43799372</v>
      </c>
      <c r="BP21" s="2174" t="n">
        <f aca="false">'Balance Sheet'!V22</f>
        <v>5124715.44588872</v>
      </c>
      <c r="BQ21" s="2174" t="n">
        <f aca="false">'Balance Sheet'!W22</f>
        <v>5362405.29585373</v>
      </c>
      <c r="BR21" s="2174" t="n">
        <f aca="false">'Balance Sheet'!X22</f>
        <v>5600091.97209911</v>
      </c>
      <c r="BS21" s="2175" t="n">
        <f aca="false">'Balance Sheet'!Y22</f>
        <v>5837775.45875626</v>
      </c>
      <c r="BT21" s="2135"/>
      <c r="BU21" s="2200" t="str">
        <f aca="false">BG21</f>
        <v>Subtotal Current Liabilities</v>
      </c>
      <c r="BV21" s="2176" t="n">
        <f aca="false">'Balance Sheet'!Z22</f>
        <v>10088490.407367</v>
      </c>
      <c r="BW21" s="2176" t="n">
        <f aca="false">'Balance Sheet'!AA22</f>
        <v>10087842.8730327</v>
      </c>
      <c r="BX21" s="2176" t="n">
        <f aca="false">'Balance Sheet'!AB22</f>
        <v>10087192.1010267</v>
      </c>
      <c r="BY21" s="2176" t="n">
        <f aca="false">'Balance Sheet'!AC22</f>
        <v>10086538.0751608</v>
      </c>
      <c r="BZ21" s="2176" t="n">
        <f aca="false">'Balance Sheet'!AD22</f>
        <v>10085880.7791655</v>
      </c>
      <c r="CA21" s="2176" t="n">
        <f aca="false">'Balance Sheet'!AE22</f>
        <v>10085220.1966902</v>
      </c>
      <c r="CB21" s="2176" t="n">
        <f aca="false">'Balance Sheet'!AF22</f>
        <v>10084556.3113025</v>
      </c>
      <c r="CC21" s="2176" t="n">
        <f aca="false">'Balance Sheet'!AG22</f>
        <v>10083889.1064879</v>
      </c>
      <c r="CD21" s="2176" t="n">
        <f aca="false">'Balance Sheet'!AH22</f>
        <v>10083218.5656492</v>
      </c>
      <c r="CE21" s="2176" t="n">
        <f aca="false">'Balance Sheet'!AI22</f>
        <v>10082544.6721064</v>
      </c>
      <c r="CF21" s="2176" t="n">
        <f aca="false">'Balance Sheet'!AJ22</f>
        <v>10081867.4090958</v>
      </c>
      <c r="CG21" s="2177" t="n">
        <f aca="false">'Balance Sheet'!AK22</f>
        <v>10081186.7597701</v>
      </c>
      <c r="CH21" s="2135"/>
      <c r="CI21" s="2201" t="str">
        <f aca="false">BU21</f>
        <v>Subtotal Current Liabilities</v>
      </c>
      <c r="CJ21" s="2178" t="n">
        <f aca="false">'Balance Sheet'!AL22</f>
        <v>10707933.0322769</v>
      </c>
      <c r="CK21" s="2178" t="n">
        <f aca="false">'Balance Sheet'!AM22</f>
        <v>10707245.5594418</v>
      </c>
      <c r="CL21" s="2178" t="n">
        <f aca="false">'Balance Sheet'!AN22</f>
        <v>10706554.6492425</v>
      </c>
      <c r="CM21" s="2178" t="n">
        <f aca="false">'Balance Sheet'!AO22</f>
        <v>10705860.2844922</v>
      </c>
      <c r="CN21" s="2178" t="n">
        <f aca="false">'Balance Sheet'!AP22</f>
        <v>10705162.4479182</v>
      </c>
      <c r="CO21" s="2178" t="n">
        <f aca="false">'Balance Sheet'!AQ22</f>
        <v>10704461.1221612</v>
      </c>
      <c r="CP21" s="2178" t="n">
        <f aca="false">'Balance Sheet'!AR22</f>
        <v>10703756.2897755</v>
      </c>
      <c r="CQ21" s="2178" t="n">
        <f aca="false">'Balance Sheet'!AS22</f>
        <v>10703047.9332279</v>
      </c>
      <c r="CR21" s="2178" t="n">
        <f aca="false">'Balance Sheet'!AT22</f>
        <v>10702336.0348975</v>
      </c>
      <c r="CS21" s="2178" t="n">
        <f aca="false">'Balance Sheet'!AU22</f>
        <v>10701620.5770755</v>
      </c>
      <c r="CT21" s="2178" t="n">
        <f aca="false">'Balance Sheet'!AV22</f>
        <v>10700901.5419644</v>
      </c>
      <c r="CU21" s="2179" t="n">
        <f aca="false">'Balance Sheet'!AW22</f>
        <v>10700178.9116777</v>
      </c>
      <c r="CV21" s="2135"/>
      <c r="CW21" s="2202" t="str">
        <f aca="false">CI21</f>
        <v>Subtotal Current Liabilities</v>
      </c>
      <c r="CX21" s="2180" t="n">
        <f aca="false">'Balance Sheet'!AX22</f>
        <v>11329671.8386112</v>
      </c>
      <c r="CY21" s="2180" t="n">
        <f aca="false">'Balance Sheet'!AY22</f>
        <v>11328941.9639559</v>
      </c>
      <c r="CZ21" s="2180" t="n">
        <f aca="false">'Balance Sheet'!AZ22</f>
        <v>11328208.4399273</v>
      </c>
      <c r="DA21" s="2180" t="n">
        <f aca="false">'Balance Sheet'!BA22</f>
        <v>11327471.2482785</v>
      </c>
      <c r="DB21" s="2180" t="n">
        <f aca="false">'Balance Sheet'!BB22</f>
        <v>11326730.3706716</v>
      </c>
      <c r="DC21" s="2180" t="n">
        <f aca="false">'Balance Sheet'!BC22</f>
        <v>11325985.7886765</v>
      </c>
      <c r="DD21" s="2180" t="n">
        <f aca="false">'Balance Sheet'!BD22</f>
        <v>11325237.4837716</v>
      </c>
      <c r="DE21" s="2180" t="n">
        <f aca="false">'Balance Sheet'!BE22</f>
        <v>11324485.437342</v>
      </c>
      <c r="DF21" s="2180" t="n">
        <f aca="false">'Balance Sheet'!BF22</f>
        <v>11323729.6306804</v>
      </c>
      <c r="DG21" s="2180" t="n">
        <f aca="false">'Balance Sheet'!BG22</f>
        <v>11322970.0449854</v>
      </c>
      <c r="DH21" s="2180" t="n">
        <f aca="false">'Balance Sheet'!BH22</f>
        <v>11322206.661362</v>
      </c>
      <c r="DI21" s="2181" t="n">
        <f aca="false">'Balance Sheet'!BI22</f>
        <v>11321439.4608204</v>
      </c>
    </row>
    <row r="22" customFormat="false" ht="12.75" hidden="false" customHeight="true" outlineLevel="0" collapsed="false">
      <c r="A22" s="1157"/>
      <c r="B22" s="1958" t="str">
        <f aca="false">'Tables 5Y'!DH22</f>
        <v>Dividends</v>
      </c>
      <c r="C22" s="1972" t="n">
        <f aca="false">'Cash Flow'!N44</f>
        <v>-0</v>
      </c>
      <c r="D22" s="1972" t="n">
        <f aca="false">'Cash Flow'!O44</f>
        <v>-0</v>
      </c>
      <c r="E22" s="1972" t="n">
        <f aca="false">'Cash Flow'!P44</f>
        <v>-0</v>
      </c>
      <c r="F22" s="1972" t="n">
        <f aca="false">'Cash Flow'!Q44</f>
        <v>-0</v>
      </c>
      <c r="G22" s="1972" t="n">
        <f aca="false">'Cash Flow'!R44</f>
        <v>-0</v>
      </c>
      <c r="H22" s="1972" t="n">
        <f aca="false">'Cash Flow'!S44</f>
        <v>-0</v>
      </c>
      <c r="I22" s="1972" t="n">
        <f aca="false">'Cash Flow'!T44</f>
        <v>-0</v>
      </c>
      <c r="J22" s="1972" t="n">
        <f aca="false">'Cash Flow'!U44</f>
        <v>-0</v>
      </c>
      <c r="K22" s="1972" t="n">
        <f aca="false">'Cash Flow'!V44</f>
        <v>-0</v>
      </c>
      <c r="L22" s="1972" t="n">
        <f aca="false">'Cash Flow'!W44</f>
        <v>-0</v>
      </c>
      <c r="M22" s="1972" t="n">
        <f aca="false">'Cash Flow'!X44</f>
        <v>-0</v>
      </c>
      <c r="N22" s="2156" t="n">
        <f aca="false">'Cash Flow'!Y44</f>
        <v>-0</v>
      </c>
      <c r="O22" s="2135"/>
      <c r="P22" s="1974" t="str">
        <f aca="false">B22</f>
        <v>Dividends</v>
      </c>
      <c r="Q22" s="1976" t="n">
        <f aca="false">'Cash Flow'!Z44</f>
        <v>-0</v>
      </c>
      <c r="R22" s="1976" t="n">
        <f aca="false">'Cash Flow'!AA44</f>
        <v>-0</v>
      </c>
      <c r="S22" s="1976" t="n">
        <f aca="false">'Cash Flow'!AB44</f>
        <v>-0</v>
      </c>
      <c r="T22" s="1976" t="n">
        <f aca="false">'Cash Flow'!AC44</f>
        <v>-0</v>
      </c>
      <c r="U22" s="1976" t="n">
        <f aca="false">'Cash Flow'!AD44</f>
        <v>-0</v>
      </c>
      <c r="V22" s="1976" t="n">
        <f aca="false">'Cash Flow'!AE44</f>
        <v>-0</v>
      </c>
      <c r="W22" s="1976" t="n">
        <f aca="false">'Cash Flow'!AF44</f>
        <v>-0</v>
      </c>
      <c r="X22" s="1976" t="n">
        <f aca="false">'Cash Flow'!AG44</f>
        <v>-0</v>
      </c>
      <c r="Y22" s="1976" t="n">
        <f aca="false">'Cash Flow'!AH44</f>
        <v>-0</v>
      </c>
      <c r="Z22" s="1976" t="n">
        <f aca="false">'Cash Flow'!AI44</f>
        <v>-0</v>
      </c>
      <c r="AA22" s="1976" t="n">
        <f aca="false">'Cash Flow'!AJ44</f>
        <v>-0</v>
      </c>
      <c r="AB22" s="2157" t="n">
        <f aca="false">'Cash Flow'!AK44</f>
        <v>-0</v>
      </c>
      <c r="AC22" s="2135"/>
      <c r="AD22" s="1978" t="str">
        <f aca="false">P22</f>
        <v>Dividends</v>
      </c>
      <c r="AE22" s="1980" t="n">
        <f aca="false">'Cash Flow'!AL44</f>
        <v>-0</v>
      </c>
      <c r="AF22" s="1980" t="n">
        <f aca="false">'Cash Flow'!AM44</f>
        <v>-0</v>
      </c>
      <c r="AG22" s="1980" t="n">
        <f aca="false">'Cash Flow'!AN44</f>
        <v>-0</v>
      </c>
      <c r="AH22" s="1980" t="n">
        <f aca="false">'Cash Flow'!AO44</f>
        <v>-0</v>
      </c>
      <c r="AI22" s="1980" t="n">
        <f aca="false">'Cash Flow'!AP44</f>
        <v>-0</v>
      </c>
      <c r="AJ22" s="1980" t="n">
        <f aca="false">'Cash Flow'!AQ44</f>
        <v>-0</v>
      </c>
      <c r="AK22" s="1980" t="n">
        <f aca="false">'Cash Flow'!AR44</f>
        <v>-0</v>
      </c>
      <c r="AL22" s="1980" t="n">
        <f aca="false">'Cash Flow'!AS44</f>
        <v>-0</v>
      </c>
      <c r="AM22" s="1980" t="n">
        <f aca="false">'Cash Flow'!AT44</f>
        <v>-0</v>
      </c>
      <c r="AN22" s="1980" t="n">
        <f aca="false">'Cash Flow'!AU44</f>
        <v>-0</v>
      </c>
      <c r="AO22" s="1980" t="n">
        <f aca="false">'Cash Flow'!AV44</f>
        <v>-0</v>
      </c>
      <c r="AP22" s="2158" t="n">
        <f aca="false">'Cash Flow'!AW44</f>
        <v>-0</v>
      </c>
      <c r="AQ22" s="2135"/>
      <c r="AR22" s="2159" t="str">
        <f aca="false">AD22</f>
        <v>Dividends</v>
      </c>
      <c r="AS22" s="1984" t="n">
        <f aca="false">'Cash Flow'!AX44</f>
        <v>-0</v>
      </c>
      <c r="AT22" s="1984" t="n">
        <f aca="false">'Cash Flow'!AY44</f>
        <v>-0</v>
      </c>
      <c r="AU22" s="1984" t="n">
        <f aca="false">'Cash Flow'!AZ44</f>
        <v>-0</v>
      </c>
      <c r="AV22" s="1984" t="n">
        <f aca="false">'Cash Flow'!BA44</f>
        <v>-0</v>
      </c>
      <c r="AW22" s="1984" t="n">
        <f aca="false">'Cash Flow'!BB44</f>
        <v>-0</v>
      </c>
      <c r="AX22" s="1984" t="n">
        <f aca="false">'Cash Flow'!BC44</f>
        <v>-0</v>
      </c>
      <c r="AY22" s="1984" t="n">
        <f aca="false">'Cash Flow'!BD44</f>
        <v>-0</v>
      </c>
      <c r="AZ22" s="1984" t="n">
        <f aca="false">'Cash Flow'!BE44</f>
        <v>-0</v>
      </c>
      <c r="BA22" s="1984" t="n">
        <f aca="false">'Cash Flow'!BF44</f>
        <v>-0</v>
      </c>
      <c r="BB22" s="1984" t="n">
        <f aca="false">'Cash Flow'!BG44</f>
        <v>-0</v>
      </c>
      <c r="BC22" s="1984" t="n">
        <f aca="false">'Cash Flow'!BH44</f>
        <v>-0</v>
      </c>
      <c r="BD22" s="2160" t="n">
        <f aca="false">'Cash Flow'!BI44</f>
        <v>-0</v>
      </c>
      <c r="BE22" s="1466"/>
      <c r="BF22" s="1157"/>
      <c r="BG22" s="2203"/>
      <c r="BH22" s="2188"/>
      <c r="BI22" s="2188"/>
      <c r="BJ22" s="2188"/>
      <c r="BK22" s="2188"/>
      <c r="BL22" s="2188"/>
      <c r="BM22" s="2188"/>
      <c r="BN22" s="2188"/>
      <c r="BO22" s="2188"/>
      <c r="BP22" s="2188"/>
      <c r="BQ22" s="2188"/>
      <c r="BR22" s="2188"/>
      <c r="BS22" s="2189"/>
      <c r="BT22" s="2135"/>
      <c r="BU22" s="2203"/>
      <c r="BV22" s="2188"/>
      <c r="BW22" s="2188"/>
      <c r="BX22" s="2188"/>
      <c r="BY22" s="2188"/>
      <c r="BZ22" s="2188"/>
      <c r="CA22" s="2188"/>
      <c r="CB22" s="2188"/>
      <c r="CC22" s="2188"/>
      <c r="CD22" s="2188"/>
      <c r="CE22" s="2188"/>
      <c r="CF22" s="2188"/>
      <c r="CG22" s="2189"/>
      <c r="CH22" s="2135"/>
      <c r="CI22" s="2203"/>
      <c r="CJ22" s="2188"/>
      <c r="CK22" s="2188"/>
      <c r="CL22" s="2188"/>
      <c r="CM22" s="2188"/>
      <c r="CN22" s="2188"/>
      <c r="CO22" s="2188"/>
      <c r="CP22" s="2188"/>
      <c r="CQ22" s="2188"/>
      <c r="CR22" s="2188"/>
      <c r="CS22" s="2188"/>
      <c r="CT22" s="2188"/>
      <c r="CU22" s="2189"/>
      <c r="CV22" s="2135"/>
      <c r="CW22" s="2203"/>
      <c r="CX22" s="2188"/>
      <c r="CY22" s="2188"/>
      <c r="CZ22" s="2188"/>
      <c r="DA22" s="2188"/>
      <c r="DB22" s="2188"/>
      <c r="DC22" s="2188"/>
      <c r="DD22" s="2188"/>
      <c r="DE22" s="2188"/>
      <c r="DF22" s="2188"/>
      <c r="DG22" s="2188"/>
      <c r="DH22" s="2188"/>
      <c r="DI22" s="2189"/>
    </row>
    <row r="23" customFormat="false" ht="12.75" hidden="false" customHeight="true" outlineLevel="0" collapsed="false">
      <c r="A23" s="1157"/>
      <c r="B23" s="1958" t="str">
        <f aca="false">'Tables 5Y'!DH23</f>
        <v>New Current Borrowing</v>
      </c>
      <c r="C23" s="1972" t="n">
        <f aca="false">'Cash Flow'!N45</f>
        <v>0</v>
      </c>
      <c r="D23" s="1972" t="n">
        <f aca="false">'Cash Flow'!O45</f>
        <v>0</v>
      </c>
      <c r="E23" s="1972" t="n">
        <f aca="false">'Cash Flow'!P45</f>
        <v>0</v>
      </c>
      <c r="F23" s="1972" t="n">
        <f aca="false">'Cash Flow'!Q45</f>
        <v>0</v>
      </c>
      <c r="G23" s="1972" t="n">
        <f aca="false">'Cash Flow'!R45</f>
        <v>0</v>
      </c>
      <c r="H23" s="1972" t="n">
        <f aca="false">'Cash Flow'!S45</f>
        <v>0</v>
      </c>
      <c r="I23" s="1972" t="n">
        <f aca="false">'Cash Flow'!T45</f>
        <v>0</v>
      </c>
      <c r="J23" s="1972" t="n">
        <f aca="false">'Cash Flow'!U45</f>
        <v>0</v>
      </c>
      <c r="K23" s="1972" t="n">
        <f aca="false">'Cash Flow'!V45</f>
        <v>0</v>
      </c>
      <c r="L23" s="1972" t="n">
        <f aca="false">'Cash Flow'!W45</f>
        <v>0</v>
      </c>
      <c r="M23" s="1972" t="n">
        <f aca="false">'Cash Flow'!X45</f>
        <v>0</v>
      </c>
      <c r="N23" s="2156" t="n">
        <f aca="false">'Cash Flow'!Y45</f>
        <v>0</v>
      </c>
      <c r="O23" s="2135"/>
      <c r="P23" s="1974" t="str">
        <f aca="false">B23</f>
        <v>New Current Borrowing</v>
      </c>
      <c r="Q23" s="1976" t="n">
        <f aca="false">'Cash Flow'!Z45</f>
        <v>0</v>
      </c>
      <c r="R23" s="1976" t="n">
        <f aca="false">'Cash Flow'!AA45</f>
        <v>0</v>
      </c>
      <c r="S23" s="1976" t="n">
        <f aca="false">'Cash Flow'!AB45</f>
        <v>0</v>
      </c>
      <c r="T23" s="1976" t="n">
        <f aca="false">'Cash Flow'!AC45</f>
        <v>0</v>
      </c>
      <c r="U23" s="1976" t="n">
        <f aca="false">'Cash Flow'!AD45</f>
        <v>0</v>
      </c>
      <c r="V23" s="1976" t="n">
        <f aca="false">'Cash Flow'!AE45</f>
        <v>0</v>
      </c>
      <c r="W23" s="1976" t="n">
        <f aca="false">'Cash Flow'!AF45</f>
        <v>0</v>
      </c>
      <c r="X23" s="1976" t="n">
        <f aca="false">'Cash Flow'!AG45</f>
        <v>0</v>
      </c>
      <c r="Y23" s="1976" t="n">
        <f aca="false">'Cash Flow'!AH45</f>
        <v>0</v>
      </c>
      <c r="Z23" s="1976" t="n">
        <f aca="false">'Cash Flow'!AI45</f>
        <v>0</v>
      </c>
      <c r="AA23" s="1976" t="n">
        <f aca="false">'Cash Flow'!AJ45</f>
        <v>0</v>
      </c>
      <c r="AB23" s="2157" t="n">
        <f aca="false">'Cash Flow'!AK45</f>
        <v>0</v>
      </c>
      <c r="AC23" s="2135"/>
      <c r="AD23" s="1978" t="str">
        <f aca="false">P23</f>
        <v>New Current Borrowing</v>
      </c>
      <c r="AE23" s="1980" t="n">
        <f aca="false">'Cash Flow'!AL45</f>
        <v>0</v>
      </c>
      <c r="AF23" s="1980" t="n">
        <f aca="false">'Cash Flow'!AM45</f>
        <v>0</v>
      </c>
      <c r="AG23" s="1980" t="n">
        <f aca="false">'Cash Flow'!AN45</f>
        <v>0</v>
      </c>
      <c r="AH23" s="1980" t="n">
        <f aca="false">'Cash Flow'!AO45</f>
        <v>0</v>
      </c>
      <c r="AI23" s="1980" t="n">
        <f aca="false">'Cash Flow'!AP45</f>
        <v>0</v>
      </c>
      <c r="AJ23" s="1980" t="n">
        <f aca="false">'Cash Flow'!AQ45</f>
        <v>0</v>
      </c>
      <c r="AK23" s="1980" t="n">
        <f aca="false">'Cash Flow'!AR45</f>
        <v>0</v>
      </c>
      <c r="AL23" s="1980" t="n">
        <f aca="false">'Cash Flow'!AS45</f>
        <v>0</v>
      </c>
      <c r="AM23" s="1980" t="n">
        <f aca="false">'Cash Flow'!AT45</f>
        <v>0</v>
      </c>
      <c r="AN23" s="1980" t="n">
        <f aca="false">'Cash Flow'!AU45</f>
        <v>0</v>
      </c>
      <c r="AO23" s="1980" t="n">
        <f aca="false">'Cash Flow'!AV45</f>
        <v>0</v>
      </c>
      <c r="AP23" s="2158" t="n">
        <f aca="false">'Cash Flow'!AW45</f>
        <v>0</v>
      </c>
      <c r="AQ23" s="2135"/>
      <c r="AR23" s="2159" t="str">
        <f aca="false">AD23</f>
        <v>New Current Borrowing</v>
      </c>
      <c r="AS23" s="1984" t="n">
        <f aca="false">'Cash Flow'!AX45</f>
        <v>0</v>
      </c>
      <c r="AT23" s="1984" t="n">
        <f aca="false">'Cash Flow'!AY45</f>
        <v>0</v>
      </c>
      <c r="AU23" s="1984" t="n">
        <f aca="false">'Cash Flow'!AZ45</f>
        <v>0</v>
      </c>
      <c r="AV23" s="1984" t="n">
        <f aca="false">'Cash Flow'!BA45</f>
        <v>0</v>
      </c>
      <c r="AW23" s="1984" t="n">
        <f aca="false">'Cash Flow'!BB45</f>
        <v>0</v>
      </c>
      <c r="AX23" s="1984" t="n">
        <f aca="false">'Cash Flow'!BC45</f>
        <v>0</v>
      </c>
      <c r="AY23" s="1984" t="n">
        <f aca="false">'Cash Flow'!BD45</f>
        <v>0</v>
      </c>
      <c r="AZ23" s="1984" t="n">
        <f aca="false">'Cash Flow'!BE45</f>
        <v>0</v>
      </c>
      <c r="BA23" s="1984" t="n">
        <f aca="false">'Cash Flow'!BF45</f>
        <v>0</v>
      </c>
      <c r="BB23" s="1984" t="n">
        <f aca="false">'Cash Flow'!BG45</f>
        <v>0</v>
      </c>
      <c r="BC23" s="1984" t="n">
        <f aca="false">'Cash Flow'!BH45</f>
        <v>0</v>
      </c>
      <c r="BD23" s="2160" t="n">
        <f aca="false">'Cash Flow'!BI45</f>
        <v>0</v>
      </c>
      <c r="BE23" s="1466"/>
      <c r="BF23" s="1157"/>
      <c r="BG23" s="1923" t="str">
        <f aca="false">'Tables 5Y'!EE24</f>
        <v>Long-term Liabilities</v>
      </c>
      <c r="BH23" s="2148" t="n">
        <f aca="false">'Balance Sheet'!N24</f>
        <v>21913995.8429081</v>
      </c>
      <c r="BI23" s="2148" t="n">
        <f aca="false">'Balance Sheet'!O24</f>
        <v>22236610.1814755</v>
      </c>
      <c r="BJ23" s="2148" t="n">
        <f aca="false">'Balance Sheet'!P24</f>
        <v>22555663.8675941</v>
      </c>
      <c r="BK23" s="2148" t="n">
        <f aca="false">'Balance Sheet'!Q24</f>
        <v>22407967.5461432</v>
      </c>
      <c r="BL23" s="2148" t="n">
        <f aca="false">'Balance Sheet'!R24</f>
        <v>22259532.7430852</v>
      </c>
      <c r="BM23" s="2148" t="n">
        <f aca="false">'Balance Sheet'!S24</f>
        <v>22110355.7660118</v>
      </c>
      <c r="BN23" s="2148" t="n">
        <f aca="false">'Balance Sheet'!T24</f>
        <v>21960432.9040531</v>
      </c>
      <c r="BO23" s="2148" t="n">
        <f aca="false">'Balance Sheet'!U24</f>
        <v>21809760.4277845</v>
      </c>
      <c r="BP23" s="2148" t="n">
        <f aca="false">'Balance Sheet'!V24</f>
        <v>21658334.5891347</v>
      </c>
      <c r="BQ23" s="2148" t="n">
        <f aca="false">'Balance Sheet'!W24</f>
        <v>21506151.6212916</v>
      </c>
      <c r="BR23" s="2148" t="n">
        <f aca="false">'Balance Sheet'!X24</f>
        <v>21353207.7386092</v>
      </c>
      <c r="BS23" s="2149" t="n">
        <f aca="false">'Balance Sheet'!Y24</f>
        <v>21199499.1365135</v>
      </c>
      <c r="BT23" s="2135"/>
      <c r="BU23" s="2005" t="str">
        <f aca="false">BG23</f>
        <v>Long-term Liabilities</v>
      </c>
      <c r="BV23" s="2150" t="n">
        <f aca="false">'Balance Sheet'!Z24</f>
        <v>21045021.9914073</v>
      </c>
      <c r="BW23" s="2150" t="n">
        <f aca="false">'Balance Sheet'!AA24</f>
        <v>20889772.4605755</v>
      </c>
      <c r="BX23" s="2150" t="n">
        <f aca="false">'Balance Sheet'!AB24</f>
        <v>20733746.6820896</v>
      </c>
      <c r="BY23" s="2150" t="n">
        <f aca="false">'Balance Sheet'!AC24</f>
        <v>20576940.7747113</v>
      </c>
      <c r="BZ23" s="2150" t="n">
        <f aca="false">'Balance Sheet'!AD24</f>
        <v>20419350.837796</v>
      </c>
      <c r="CA23" s="2150" t="n">
        <f aca="false">'Balance Sheet'!AE24</f>
        <v>20260972.9511962</v>
      </c>
      <c r="CB23" s="2150" t="n">
        <f aca="false">'Balance Sheet'!AF24</f>
        <v>20101803.1751634</v>
      </c>
      <c r="CC23" s="2150" t="n">
        <f aca="false">'Balance Sheet'!AG24</f>
        <v>19941837.5502504</v>
      </c>
      <c r="CD23" s="2150" t="n">
        <f aca="false">'Balance Sheet'!AH24</f>
        <v>19781072.0972129</v>
      </c>
      <c r="CE23" s="2150" t="n">
        <f aca="false">'Balance Sheet'!AI24</f>
        <v>19619502.8169102</v>
      </c>
      <c r="CF23" s="2150" t="n">
        <f aca="false">'Balance Sheet'!AJ24</f>
        <v>19457125.6902059</v>
      </c>
      <c r="CG23" s="2151" t="n">
        <f aca="false">'Balance Sheet'!AK24</f>
        <v>19293936.6778682</v>
      </c>
      <c r="CH23" s="2135"/>
      <c r="CI23" s="2006" t="str">
        <f aca="false">BU23</f>
        <v>Long-term Liabilities</v>
      </c>
      <c r="CJ23" s="2152" t="n">
        <f aca="false">'Balance Sheet'!AL24</f>
        <v>19129931.7204687</v>
      </c>
      <c r="CK23" s="2152" t="n">
        <f aca="false">'Balance Sheet'!AM24</f>
        <v>18965106.7382823</v>
      </c>
      <c r="CL23" s="2152" t="n">
        <f aca="false">'Balance Sheet'!AN24</f>
        <v>18799457.6311849</v>
      </c>
      <c r="CM23" s="2152" t="n">
        <f aca="false">'Balance Sheet'!AO24</f>
        <v>18632980.278552</v>
      </c>
      <c r="CN23" s="2152" t="n">
        <f aca="false">'Balance Sheet'!AP24</f>
        <v>18465670.539156</v>
      </c>
      <c r="CO23" s="2152" t="n">
        <f aca="false">'Balance Sheet'!AQ24</f>
        <v>18297524.251063</v>
      </c>
      <c r="CP23" s="2152" t="n">
        <f aca="false">'Balance Sheet'!AR24</f>
        <v>18128537.2315295</v>
      </c>
      <c r="CQ23" s="2152" t="n">
        <f aca="false">'Balance Sheet'!AS24</f>
        <v>17958705.2768984</v>
      </c>
      <c r="CR23" s="2152" t="n">
        <f aca="false">'Balance Sheet'!AT24</f>
        <v>17788024.1624941</v>
      </c>
      <c r="CS23" s="2152" t="n">
        <f aca="false">'Balance Sheet'!AU24</f>
        <v>17616489.6425178</v>
      </c>
      <c r="CT23" s="2152" t="n">
        <f aca="false">'Balance Sheet'!AV24</f>
        <v>17444097.4499416</v>
      </c>
      <c r="CU23" s="2153" t="n">
        <f aca="false">'Balance Sheet'!AW24</f>
        <v>17270843.2964025</v>
      </c>
      <c r="CV23" s="2135"/>
      <c r="CW23" s="2007" t="str">
        <f aca="false">CI23</f>
        <v>Long-term Liabilities</v>
      </c>
      <c r="CX23" s="2154" t="n">
        <f aca="false">'Balance Sheet'!AX24</f>
        <v>17096722.8720957</v>
      </c>
      <c r="CY23" s="2154" t="n">
        <f aca="false">'Balance Sheet'!AY24</f>
        <v>16921731.8456674</v>
      </c>
      <c r="CZ23" s="2154" t="n">
        <f aca="false">'Balance Sheet'!AZ24</f>
        <v>16745865.864107</v>
      </c>
      <c r="DA23" s="2154" t="n">
        <f aca="false">'Balance Sheet'!BA24</f>
        <v>16569120.5526387</v>
      </c>
      <c r="DB23" s="2154" t="n">
        <f aca="false">'Balance Sheet'!BB24</f>
        <v>16391491.5146131</v>
      </c>
      <c r="DC23" s="2154" t="n">
        <f aca="false">'Balance Sheet'!BC24</f>
        <v>16212974.3313974</v>
      </c>
      <c r="DD23" s="2154" t="n">
        <f aca="false">'Balance Sheet'!BD24</f>
        <v>16033564.5622656</v>
      </c>
      <c r="DE23" s="2154" t="n">
        <f aca="false">'Balance Sheet'!BE24</f>
        <v>15853257.7442881</v>
      </c>
      <c r="DF23" s="2154" t="n">
        <f aca="false">'Balance Sheet'!BF24</f>
        <v>15672049.3922208</v>
      </c>
      <c r="DG23" s="2154" t="n">
        <f aca="false">'Balance Sheet'!BG24</f>
        <v>15489934.9983931</v>
      </c>
      <c r="DH23" s="2154" t="n">
        <f aca="false">'Balance Sheet'!BH24</f>
        <v>15306910.0325963</v>
      </c>
      <c r="DI23" s="2155" t="n">
        <f aca="false">'Balance Sheet'!BI24</f>
        <v>15122969.9419705</v>
      </c>
    </row>
    <row r="24" customFormat="false" ht="12.75" hidden="false" customHeight="true" outlineLevel="0" collapsed="false">
      <c r="A24" s="1157"/>
      <c r="B24" s="1958" t="str">
        <f aca="false">'Tables 5Y'!DH24</f>
        <v>Current Borrowing Repay.</v>
      </c>
      <c r="C24" s="1972" t="n">
        <f aca="false">'Cash Flow'!N46</f>
        <v>-0</v>
      </c>
      <c r="D24" s="1972" t="n">
        <f aca="false">'Cash Flow'!O46</f>
        <v>-0</v>
      </c>
      <c r="E24" s="1972" t="n">
        <f aca="false">'Cash Flow'!P46</f>
        <v>-0</v>
      </c>
      <c r="F24" s="1972" t="n">
        <f aca="false">'Cash Flow'!Q46</f>
        <v>-0</v>
      </c>
      <c r="G24" s="1972" t="n">
        <f aca="false">'Cash Flow'!R46</f>
        <v>-0</v>
      </c>
      <c r="H24" s="1972" t="n">
        <f aca="false">'Cash Flow'!S46</f>
        <v>-0</v>
      </c>
      <c r="I24" s="1972" t="n">
        <f aca="false">'Cash Flow'!T46</f>
        <v>-0</v>
      </c>
      <c r="J24" s="1972" t="n">
        <f aca="false">'Cash Flow'!U46</f>
        <v>-0</v>
      </c>
      <c r="K24" s="1972" t="n">
        <f aca="false">'Cash Flow'!V46</f>
        <v>-0</v>
      </c>
      <c r="L24" s="1972" t="n">
        <f aca="false">'Cash Flow'!W46</f>
        <v>-0</v>
      </c>
      <c r="M24" s="1972" t="n">
        <f aca="false">'Cash Flow'!X46</f>
        <v>-0</v>
      </c>
      <c r="N24" s="2156" t="n">
        <f aca="false">'Cash Flow'!Y46</f>
        <v>-0</v>
      </c>
      <c r="O24" s="2135"/>
      <c r="P24" s="1974" t="str">
        <f aca="false">B24</f>
        <v>Current Borrowing Repay.</v>
      </c>
      <c r="Q24" s="1976" t="n">
        <f aca="false">'Cash Flow'!Z46</f>
        <v>-0</v>
      </c>
      <c r="R24" s="1976" t="n">
        <f aca="false">'Cash Flow'!AA46</f>
        <v>-0</v>
      </c>
      <c r="S24" s="1976" t="n">
        <f aca="false">'Cash Flow'!AB46</f>
        <v>-0</v>
      </c>
      <c r="T24" s="1976" t="n">
        <f aca="false">'Cash Flow'!AC46</f>
        <v>-0</v>
      </c>
      <c r="U24" s="1976" t="n">
        <f aca="false">'Cash Flow'!AD46</f>
        <v>-0</v>
      </c>
      <c r="V24" s="1976" t="n">
        <f aca="false">'Cash Flow'!AE46</f>
        <v>-0</v>
      </c>
      <c r="W24" s="1976" t="n">
        <f aca="false">'Cash Flow'!AF46</f>
        <v>-0</v>
      </c>
      <c r="X24" s="1976" t="n">
        <f aca="false">'Cash Flow'!AG46</f>
        <v>-0</v>
      </c>
      <c r="Y24" s="1976" t="n">
        <f aca="false">'Cash Flow'!AH46</f>
        <v>-0</v>
      </c>
      <c r="Z24" s="1976" t="n">
        <f aca="false">'Cash Flow'!AI46</f>
        <v>-0</v>
      </c>
      <c r="AA24" s="1976" t="n">
        <f aca="false">'Cash Flow'!AJ46</f>
        <v>-0</v>
      </c>
      <c r="AB24" s="2157" t="n">
        <f aca="false">'Cash Flow'!AK46</f>
        <v>-0</v>
      </c>
      <c r="AC24" s="2135"/>
      <c r="AD24" s="1978" t="str">
        <f aca="false">P24</f>
        <v>Current Borrowing Repay.</v>
      </c>
      <c r="AE24" s="1980" t="n">
        <f aca="false">'Cash Flow'!AL46</f>
        <v>-0</v>
      </c>
      <c r="AF24" s="1980" t="n">
        <f aca="false">'Cash Flow'!AM46</f>
        <v>-0</v>
      </c>
      <c r="AG24" s="1980" t="n">
        <f aca="false">'Cash Flow'!AN46</f>
        <v>-0</v>
      </c>
      <c r="AH24" s="1980" t="n">
        <f aca="false">'Cash Flow'!AO46</f>
        <v>-0</v>
      </c>
      <c r="AI24" s="1980" t="n">
        <f aca="false">'Cash Flow'!AP46</f>
        <v>-0</v>
      </c>
      <c r="AJ24" s="1980" t="n">
        <f aca="false">'Cash Flow'!AQ46</f>
        <v>-0</v>
      </c>
      <c r="AK24" s="1980" t="n">
        <f aca="false">'Cash Flow'!AR46</f>
        <v>-0</v>
      </c>
      <c r="AL24" s="1980" t="n">
        <f aca="false">'Cash Flow'!AS46</f>
        <v>-0</v>
      </c>
      <c r="AM24" s="1980" t="n">
        <f aca="false">'Cash Flow'!AT46</f>
        <v>-0</v>
      </c>
      <c r="AN24" s="1980" t="n">
        <f aca="false">'Cash Flow'!AU46</f>
        <v>-0</v>
      </c>
      <c r="AO24" s="1980" t="n">
        <f aca="false">'Cash Flow'!AV46</f>
        <v>-0</v>
      </c>
      <c r="AP24" s="2158" t="n">
        <f aca="false">'Cash Flow'!AW46</f>
        <v>-0</v>
      </c>
      <c r="AQ24" s="2135"/>
      <c r="AR24" s="2159" t="str">
        <f aca="false">AD24</f>
        <v>Current Borrowing Repay.</v>
      </c>
      <c r="AS24" s="1984" t="n">
        <f aca="false">'Cash Flow'!AX46</f>
        <v>-0</v>
      </c>
      <c r="AT24" s="1984" t="n">
        <f aca="false">'Cash Flow'!AY46</f>
        <v>-0</v>
      </c>
      <c r="AU24" s="1984" t="n">
        <f aca="false">'Cash Flow'!AZ46</f>
        <v>-0</v>
      </c>
      <c r="AV24" s="1984" t="n">
        <f aca="false">'Cash Flow'!BA46</f>
        <v>-0</v>
      </c>
      <c r="AW24" s="1984" t="n">
        <f aca="false">'Cash Flow'!BB46</f>
        <v>-0</v>
      </c>
      <c r="AX24" s="1984" t="n">
        <f aca="false">'Cash Flow'!BC46</f>
        <v>-0</v>
      </c>
      <c r="AY24" s="1984" t="n">
        <f aca="false">'Cash Flow'!BD46</f>
        <v>-0</v>
      </c>
      <c r="AZ24" s="1984" t="n">
        <f aca="false">'Cash Flow'!BE46</f>
        <v>-0</v>
      </c>
      <c r="BA24" s="1984" t="n">
        <f aca="false">'Cash Flow'!BF46</f>
        <v>-0</v>
      </c>
      <c r="BB24" s="1984" t="n">
        <f aca="false">'Cash Flow'!BG46</f>
        <v>-0</v>
      </c>
      <c r="BC24" s="1984" t="n">
        <f aca="false">'Cash Flow'!BH46</f>
        <v>-0</v>
      </c>
      <c r="BD24" s="2160" t="n">
        <f aca="false">'Cash Flow'!BI46</f>
        <v>-0</v>
      </c>
      <c r="BE24" s="1466"/>
      <c r="BF24" s="1157"/>
      <c r="BG24" s="1986" t="str">
        <f aca="false">'Tables 5Y'!EE25</f>
        <v>Total Liabilities</v>
      </c>
      <c r="BH24" s="2174" t="n">
        <f aca="false">'Balance Sheet'!N25</f>
        <v>24608150.071892</v>
      </c>
      <c r="BI24" s="2174" t="n">
        <f aca="false">'Balance Sheet'!O25</f>
        <v>25197100.1809297</v>
      </c>
      <c r="BJ24" s="2174" t="n">
        <f aca="false">'Balance Sheet'!P25</f>
        <v>25826630.8504283</v>
      </c>
      <c r="BK24" s="2174" t="n">
        <f aca="false">'Balance Sheet'!Q25</f>
        <v>25987095.7958249</v>
      </c>
      <c r="BL24" s="2174" t="n">
        <f aca="false">'Balance Sheet'!R25</f>
        <v>26146818.6359056</v>
      </c>
      <c r="BM24" s="2174" t="n">
        <f aca="false">'Balance Sheet'!S25</f>
        <v>26305795.6601439</v>
      </c>
      <c r="BN24" s="2174" t="n">
        <f aca="false">'Balance Sheet'!T25</f>
        <v>26569096.4028918</v>
      </c>
      <c r="BO24" s="2174" t="n">
        <f aca="false">'Balance Sheet'!U25</f>
        <v>26696782.8657783</v>
      </c>
      <c r="BP24" s="2174" t="n">
        <f aca="false">'Balance Sheet'!V25</f>
        <v>26783050.0350234</v>
      </c>
      <c r="BQ24" s="2174" t="n">
        <f aca="false">'Balance Sheet'!W25</f>
        <v>26868556.9171453</v>
      </c>
      <c r="BR24" s="2174" t="n">
        <f aca="false">'Balance Sheet'!X25</f>
        <v>26953299.7107083</v>
      </c>
      <c r="BS24" s="2175" t="n">
        <f aca="false">'Balance Sheet'!Y25</f>
        <v>27037274.5952698</v>
      </c>
      <c r="BT24" s="2135"/>
      <c r="BU24" s="1990" t="str">
        <f aca="false">BG24</f>
        <v>Total Liabilities</v>
      </c>
      <c r="BV24" s="2176" t="n">
        <f aca="false">'Balance Sheet'!Z25</f>
        <v>31133512.3987743</v>
      </c>
      <c r="BW24" s="2176" t="n">
        <f aca="false">'Balance Sheet'!AA25</f>
        <v>30977615.3336082</v>
      </c>
      <c r="BX24" s="2176" t="n">
        <f aca="false">'Balance Sheet'!AB25</f>
        <v>30820938.7831163</v>
      </c>
      <c r="BY24" s="2176" t="n">
        <f aca="false">'Balance Sheet'!AC25</f>
        <v>30663478.849872</v>
      </c>
      <c r="BZ24" s="2176" t="n">
        <f aca="false">'Balance Sheet'!AD25</f>
        <v>30505231.6169615</v>
      </c>
      <c r="CA24" s="2176" t="n">
        <f aca="false">'Balance Sheet'!AE25</f>
        <v>30346193.1478864</v>
      </c>
      <c r="CB24" s="2176" t="n">
        <f aca="false">'Balance Sheet'!AF25</f>
        <v>30186359.4864659</v>
      </c>
      <c r="CC24" s="2176" t="n">
        <f aca="false">'Balance Sheet'!AG25</f>
        <v>30025726.6567383</v>
      </c>
      <c r="CD24" s="2176" t="n">
        <f aca="false">'Balance Sheet'!AH25</f>
        <v>29864290.6628621</v>
      </c>
      <c r="CE24" s="2176" t="n">
        <f aca="false">'Balance Sheet'!AI25</f>
        <v>29702047.4890165</v>
      </c>
      <c r="CF24" s="2176" t="n">
        <f aca="false">'Balance Sheet'!AJ25</f>
        <v>29538993.0993017</v>
      </c>
      <c r="CG24" s="2177" t="n">
        <f aca="false">'Balance Sheet'!AK25</f>
        <v>29375123.4376383</v>
      </c>
      <c r="CH24" s="2135"/>
      <c r="CI24" s="1994" t="str">
        <f aca="false">BU24</f>
        <v>Total Liabilities</v>
      </c>
      <c r="CJ24" s="2178" t="n">
        <f aca="false">'Balance Sheet'!AL25</f>
        <v>29837864.7527457</v>
      </c>
      <c r="CK24" s="2178" t="n">
        <f aca="false">'Balance Sheet'!AM25</f>
        <v>29672352.2977241</v>
      </c>
      <c r="CL24" s="2178" t="n">
        <f aca="false">'Balance Sheet'!AN25</f>
        <v>29506012.2804274</v>
      </c>
      <c r="CM24" s="2178" t="n">
        <f aca="false">'Balance Sheet'!AO25</f>
        <v>29338840.5630443</v>
      </c>
      <c r="CN24" s="2178" t="n">
        <f aca="false">'Balance Sheet'!AP25</f>
        <v>29170832.9870742</v>
      </c>
      <c r="CO24" s="2178" t="n">
        <f aca="false">'Balance Sheet'!AQ25</f>
        <v>29001985.3732242</v>
      </c>
      <c r="CP24" s="2178" t="n">
        <f aca="false">'Balance Sheet'!AR25</f>
        <v>28832293.5213051</v>
      </c>
      <c r="CQ24" s="2178" t="n">
        <f aca="false">'Balance Sheet'!AS25</f>
        <v>28661753.2101263</v>
      </c>
      <c r="CR24" s="2178" t="n">
        <f aca="false">'Balance Sheet'!AT25</f>
        <v>28490360.1973916</v>
      </c>
      <c r="CS24" s="2178" t="n">
        <f aca="false">'Balance Sheet'!AU25</f>
        <v>28318110.2195933</v>
      </c>
      <c r="CT24" s="2178" t="n">
        <f aca="false">'Balance Sheet'!AV25</f>
        <v>28144998.9919059</v>
      </c>
      <c r="CU24" s="2179" t="n">
        <f aca="false">'Balance Sheet'!AW25</f>
        <v>27971022.2080802</v>
      </c>
      <c r="CV24" s="2135"/>
      <c r="CW24" s="1998" t="str">
        <f aca="false">CI24</f>
        <v>Total Liabilities</v>
      </c>
      <c r="CX24" s="2180" t="n">
        <f aca="false">'Balance Sheet'!AX25</f>
        <v>28426394.7107069</v>
      </c>
      <c r="CY24" s="2180" t="n">
        <f aca="false">'Balance Sheet'!AY25</f>
        <v>28250673.8096233</v>
      </c>
      <c r="CZ24" s="2180" t="n">
        <f aca="false">'Balance Sheet'!AZ25</f>
        <v>28074074.3040342</v>
      </c>
      <c r="DA24" s="2180" t="n">
        <f aca="false">'Balance Sheet'!BA25</f>
        <v>27896591.8009172</v>
      </c>
      <c r="DB24" s="2180" t="n">
        <f aca="false">'Balance Sheet'!BB25</f>
        <v>27718221.8852847</v>
      </c>
      <c r="DC24" s="2180" t="n">
        <f aca="false">'Balance Sheet'!BC25</f>
        <v>27538960.1200739</v>
      </c>
      <c r="DD24" s="2180" t="n">
        <f aca="false">'Balance Sheet'!BD25</f>
        <v>27358802.0460371</v>
      </c>
      <c r="DE24" s="2180" t="n">
        <f aca="false">'Balance Sheet'!BE25</f>
        <v>27177743.1816302</v>
      </c>
      <c r="DF24" s="2180" t="n">
        <f aca="false">'Balance Sheet'!BF25</f>
        <v>26995779.0229011</v>
      </c>
      <c r="DG24" s="2180" t="n">
        <f aca="false">'Balance Sheet'!BG25</f>
        <v>26812905.0433785</v>
      </c>
      <c r="DH24" s="2180" t="n">
        <f aca="false">'Balance Sheet'!BH25</f>
        <v>26629116.6939582</v>
      </c>
      <c r="DI24" s="2181" t="n">
        <f aca="false">'Balance Sheet'!BI25</f>
        <v>26444409.4027909</v>
      </c>
    </row>
    <row r="25" customFormat="false" ht="12.75" hidden="false" customHeight="true" outlineLevel="0" collapsed="false">
      <c r="A25" s="1157"/>
      <c r="B25" s="1958" t="str">
        <f aca="false">'Tables 5Y'!DH25</f>
        <v>New Long Term Liabilities/Equipment</v>
      </c>
      <c r="C25" s="1972" t="n">
        <f aca="false">'Cash Flow'!N47</f>
        <v>2364185.4</v>
      </c>
      <c r="D25" s="1972" t="n">
        <f aca="false">'Cash Flow'!O47</f>
        <v>466015.2</v>
      </c>
      <c r="E25" s="1972" t="n">
        <f aca="false">'Cash Flow'!P47</f>
        <v>466015.2</v>
      </c>
      <c r="F25" s="1972" t="n">
        <f aca="false">'Cash Flow'!Q47</f>
        <v>0</v>
      </c>
      <c r="G25" s="1972" t="n">
        <f aca="false">'Cash Flow'!R47</f>
        <v>0</v>
      </c>
      <c r="H25" s="1972" t="n">
        <f aca="false">'Cash Flow'!S47</f>
        <v>0</v>
      </c>
      <c r="I25" s="1972" t="n">
        <f aca="false">'Cash Flow'!T47</f>
        <v>0</v>
      </c>
      <c r="J25" s="1972" t="n">
        <f aca="false">'Cash Flow'!U47</f>
        <v>0</v>
      </c>
      <c r="K25" s="1972" t="n">
        <f aca="false">'Cash Flow'!V47</f>
        <v>0</v>
      </c>
      <c r="L25" s="1972" t="n">
        <f aca="false">'Cash Flow'!W47</f>
        <v>0</v>
      </c>
      <c r="M25" s="1972" t="n">
        <f aca="false">'Cash Flow'!X47</f>
        <v>0</v>
      </c>
      <c r="N25" s="2156" t="n">
        <f aca="false">'Cash Flow'!Y47</f>
        <v>0</v>
      </c>
      <c r="O25" s="2135"/>
      <c r="P25" s="1974" t="str">
        <f aca="false">B25</f>
        <v>New Long Term Liabilities/Equipment</v>
      </c>
      <c r="Q25" s="1976" t="n">
        <f aca="false">'Cash Flow'!Z47</f>
        <v>0</v>
      </c>
      <c r="R25" s="1976" t="n">
        <f aca="false">'Cash Flow'!AA47</f>
        <v>0</v>
      </c>
      <c r="S25" s="1976" t="n">
        <f aca="false">'Cash Flow'!AB47</f>
        <v>0</v>
      </c>
      <c r="T25" s="1976" t="n">
        <f aca="false">'Cash Flow'!AC47</f>
        <v>0</v>
      </c>
      <c r="U25" s="1976" t="n">
        <f aca="false">'Cash Flow'!AD47</f>
        <v>0</v>
      </c>
      <c r="V25" s="1976" t="n">
        <f aca="false">'Cash Flow'!AE47</f>
        <v>0</v>
      </c>
      <c r="W25" s="1976" t="n">
        <f aca="false">'Cash Flow'!AF47</f>
        <v>0</v>
      </c>
      <c r="X25" s="1976" t="n">
        <f aca="false">'Cash Flow'!AG47</f>
        <v>0</v>
      </c>
      <c r="Y25" s="1976" t="n">
        <f aca="false">'Cash Flow'!AH47</f>
        <v>0</v>
      </c>
      <c r="Z25" s="1976" t="n">
        <f aca="false">'Cash Flow'!AI47</f>
        <v>0</v>
      </c>
      <c r="AA25" s="1976" t="n">
        <f aca="false">'Cash Flow'!AJ47</f>
        <v>0</v>
      </c>
      <c r="AB25" s="2157" t="n">
        <f aca="false">'Cash Flow'!AK47</f>
        <v>0</v>
      </c>
      <c r="AC25" s="2135"/>
      <c r="AD25" s="1978" t="str">
        <f aca="false">P25</f>
        <v>New Long Term Liabilities/Equipment</v>
      </c>
      <c r="AE25" s="1980" t="n">
        <f aca="false">'Cash Flow'!AL47</f>
        <v>0</v>
      </c>
      <c r="AF25" s="1980" t="n">
        <f aca="false">'Cash Flow'!AM47</f>
        <v>0</v>
      </c>
      <c r="AG25" s="1980" t="n">
        <f aca="false">'Cash Flow'!AN47</f>
        <v>0</v>
      </c>
      <c r="AH25" s="1980" t="n">
        <f aca="false">'Cash Flow'!AO47</f>
        <v>0</v>
      </c>
      <c r="AI25" s="1980" t="n">
        <f aca="false">'Cash Flow'!AP47</f>
        <v>0</v>
      </c>
      <c r="AJ25" s="1980" t="n">
        <f aca="false">'Cash Flow'!AQ47</f>
        <v>0</v>
      </c>
      <c r="AK25" s="1980" t="n">
        <f aca="false">'Cash Flow'!AR47</f>
        <v>0</v>
      </c>
      <c r="AL25" s="1980" t="n">
        <f aca="false">'Cash Flow'!AS47</f>
        <v>0</v>
      </c>
      <c r="AM25" s="1980" t="n">
        <f aca="false">'Cash Flow'!AT47</f>
        <v>0</v>
      </c>
      <c r="AN25" s="1980" t="n">
        <f aca="false">'Cash Flow'!AU47</f>
        <v>0</v>
      </c>
      <c r="AO25" s="1980" t="n">
        <f aca="false">'Cash Flow'!AV47</f>
        <v>0</v>
      </c>
      <c r="AP25" s="2158" t="n">
        <f aca="false">'Cash Flow'!AW47</f>
        <v>0</v>
      </c>
      <c r="AQ25" s="2135"/>
      <c r="AR25" s="2159" t="str">
        <f aca="false">AD25</f>
        <v>New Long Term Liabilities/Equipment</v>
      </c>
      <c r="AS25" s="1984" t="n">
        <f aca="false">'Cash Flow'!AX47</f>
        <v>0</v>
      </c>
      <c r="AT25" s="1984" t="n">
        <f aca="false">'Cash Flow'!AY47</f>
        <v>0</v>
      </c>
      <c r="AU25" s="1984" t="n">
        <f aca="false">'Cash Flow'!AZ47</f>
        <v>0</v>
      </c>
      <c r="AV25" s="1984" t="n">
        <f aca="false">'Cash Flow'!BA47</f>
        <v>0</v>
      </c>
      <c r="AW25" s="1984" t="n">
        <f aca="false">'Cash Flow'!BB47</f>
        <v>0</v>
      </c>
      <c r="AX25" s="1984" t="n">
        <f aca="false">'Cash Flow'!BC47</f>
        <v>0</v>
      </c>
      <c r="AY25" s="1984" t="n">
        <f aca="false">'Cash Flow'!BD47</f>
        <v>0</v>
      </c>
      <c r="AZ25" s="1984" t="n">
        <f aca="false">'Cash Flow'!BE47</f>
        <v>0</v>
      </c>
      <c r="BA25" s="1984" t="n">
        <f aca="false">'Cash Flow'!BF47</f>
        <v>0</v>
      </c>
      <c r="BB25" s="1984" t="n">
        <f aca="false">'Cash Flow'!BG47</f>
        <v>0</v>
      </c>
      <c r="BC25" s="1984" t="n">
        <f aca="false">'Cash Flow'!BH47</f>
        <v>0</v>
      </c>
      <c r="BD25" s="2160" t="n">
        <f aca="false">'Cash Flow'!BI47</f>
        <v>0</v>
      </c>
      <c r="BE25" s="1466"/>
      <c r="BF25" s="1157"/>
      <c r="BG25" s="2002"/>
      <c r="BH25" s="2188"/>
      <c r="BI25" s="2188"/>
      <c r="BJ25" s="2188"/>
      <c r="BK25" s="2188"/>
      <c r="BL25" s="2188"/>
      <c r="BM25" s="2188"/>
      <c r="BN25" s="2188"/>
      <c r="BO25" s="2188"/>
      <c r="BP25" s="2188"/>
      <c r="BQ25" s="2188"/>
      <c r="BR25" s="2188"/>
      <c r="BS25" s="2189"/>
      <c r="BT25" s="2135"/>
      <c r="BU25" s="2002"/>
      <c r="BV25" s="2188"/>
      <c r="BW25" s="2188"/>
      <c r="BX25" s="2188"/>
      <c r="BY25" s="2188"/>
      <c r="BZ25" s="2188"/>
      <c r="CA25" s="2188"/>
      <c r="CB25" s="2188"/>
      <c r="CC25" s="2188"/>
      <c r="CD25" s="2188"/>
      <c r="CE25" s="2188"/>
      <c r="CF25" s="2188"/>
      <c r="CG25" s="2189"/>
      <c r="CH25" s="2135"/>
      <c r="CI25" s="2002"/>
      <c r="CJ25" s="2188"/>
      <c r="CK25" s="2188"/>
      <c r="CL25" s="2188"/>
      <c r="CM25" s="2188"/>
      <c r="CN25" s="2188"/>
      <c r="CO25" s="2188"/>
      <c r="CP25" s="2188"/>
      <c r="CQ25" s="2188"/>
      <c r="CR25" s="2188"/>
      <c r="CS25" s="2188"/>
      <c r="CT25" s="2188"/>
      <c r="CU25" s="2189"/>
      <c r="CV25" s="2135"/>
      <c r="CW25" s="2002"/>
      <c r="CX25" s="2188"/>
      <c r="CY25" s="2188"/>
      <c r="CZ25" s="2188"/>
      <c r="DA25" s="2188"/>
      <c r="DB25" s="2188"/>
      <c r="DC25" s="2188"/>
      <c r="DD25" s="2188"/>
      <c r="DE25" s="2188"/>
      <c r="DF25" s="2188"/>
      <c r="DG25" s="2188"/>
      <c r="DH25" s="2188"/>
      <c r="DI25" s="2189"/>
    </row>
    <row r="26" customFormat="false" ht="12.75" hidden="false" customHeight="true" outlineLevel="0" collapsed="false">
      <c r="A26" s="1157"/>
      <c r="B26" s="1958" t="str">
        <f aca="false">'Tables 5Y'!DH26</f>
        <v>Long Term Liability Repay</v>
      </c>
      <c r="C26" s="1972" t="n">
        <f aca="false">'Cash Flow'!N48</f>
        <v>-139857.923672598</v>
      </c>
      <c r="D26" s="1972" t="n">
        <f aca="false">'Cash Flow'!O48</f>
        <v>-143400.861432605</v>
      </c>
      <c r="E26" s="1972" t="n">
        <f aca="false">'Cash Flow'!P48</f>
        <v>-146961.513881412</v>
      </c>
      <c r="F26" s="1972" t="n">
        <f aca="false">'Cash Flow'!Q48</f>
        <v>-147696.321450819</v>
      </c>
      <c r="G26" s="1972" t="n">
        <f aca="false">'Cash Flow'!R48</f>
        <v>-148434.803058073</v>
      </c>
      <c r="H26" s="1972" t="n">
        <f aca="false">'Cash Flow'!S48</f>
        <v>-149176.977073363</v>
      </c>
      <c r="I26" s="1972" t="n">
        <f aca="false">'Cash Flow'!T48</f>
        <v>-149922.86195873</v>
      </c>
      <c r="J26" s="1972" t="n">
        <f aca="false">'Cash Flow'!U48</f>
        <v>-150672.476268524</v>
      </c>
      <c r="K26" s="1972" t="n">
        <f aca="false">'Cash Flow'!V48</f>
        <v>-151425.838649866</v>
      </c>
      <c r="L26" s="1972" t="n">
        <f aca="false">'Cash Flow'!W48</f>
        <v>-152182.967843116</v>
      </c>
      <c r="M26" s="1972" t="n">
        <f aca="false">'Cash Flow'!X48</f>
        <v>-152943.882682331</v>
      </c>
      <c r="N26" s="2156" t="n">
        <f aca="false">'Cash Flow'!Y48</f>
        <v>-153708.602095743</v>
      </c>
      <c r="O26" s="2135"/>
      <c r="P26" s="1974" t="str">
        <f aca="false">B26</f>
        <v>Long Term Liability Repay</v>
      </c>
      <c r="Q26" s="1976" t="n">
        <f aca="false">'Cash Flow'!Z48</f>
        <v>-154477.145106221</v>
      </c>
      <c r="R26" s="1976" t="n">
        <f aca="false">'Cash Flow'!AA48</f>
        <v>-155249.530831753</v>
      </c>
      <c r="S26" s="1976" t="n">
        <f aca="false">'Cash Flow'!AB48</f>
        <v>-156025.778485911</v>
      </c>
      <c r="T26" s="1976" t="n">
        <f aca="false">'Cash Flow'!AC48</f>
        <v>-156805.907378341</v>
      </c>
      <c r="U26" s="1976" t="n">
        <f aca="false">'Cash Flow'!AD48</f>
        <v>-157589.936915233</v>
      </c>
      <c r="V26" s="1976" t="n">
        <f aca="false">'Cash Flow'!AE48</f>
        <v>-158377.886599809</v>
      </c>
      <c r="W26" s="1976" t="n">
        <f aca="false">'Cash Flow'!AF48</f>
        <v>-159169.776032808</v>
      </c>
      <c r="X26" s="1976" t="n">
        <f aca="false">'Cash Flow'!AG48</f>
        <v>-159965.624912972</v>
      </c>
      <c r="Y26" s="1976" t="n">
        <f aca="false">'Cash Flow'!AH48</f>
        <v>-160765.453037537</v>
      </c>
      <c r="Z26" s="1976" t="n">
        <f aca="false">'Cash Flow'!AI48</f>
        <v>-161569.280302724</v>
      </c>
      <c r="AA26" s="1976" t="n">
        <f aca="false">'Cash Flow'!AJ48</f>
        <v>-162377.126704238</v>
      </c>
      <c r="AB26" s="2157" t="n">
        <f aca="false">'Cash Flow'!AK48</f>
        <v>-163189.012337759</v>
      </c>
      <c r="AC26" s="2135"/>
      <c r="AD26" s="1978" t="str">
        <f aca="false">P26</f>
        <v>Long Term Liability Repay</v>
      </c>
      <c r="AE26" s="1980" t="n">
        <f aca="false">'Cash Flow'!AL48</f>
        <v>-164004.957399448</v>
      </c>
      <c r="AF26" s="1980" t="n">
        <f aca="false">'Cash Flow'!AM48</f>
        <v>-164824.982186445</v>
      </c>
      <c r="AG26" s="1980" t="n">
        <f aca="false">'Cash Flow'!AN48</f>
        <v>-165649.107097377</v>
      </c>
      <c r="AH26" s="1980" t="n">
        <f aca="false">'Cash Flow'!AO48</f>
        <v>-166477.352632864</v>
      </c>
      <c r="AI26" s="1980" t="n">
        <f aca="false">'Cash Flow'!AP48</f>
        <v>-167309.739396029</v>
      </c>
      <c r="AJ26" s="1980" t="n">
        <f aca="false">'Cash Flow'!AQ48</f>
        <v>-168146.288093009</v>
      </c>
      <c r="AK26" s="1980" t="n">
        <f aca="false">'Cash Flow'!AR48</f>
        <v>-168987.019533474</v>
      </c>
      <c r="AL26" s="1980" t="n">
        <f aca="false">'Cash Flow'!AS48</f>
        <v>-169831.954631141</v>
      </c>
      <c r="AM26" s="1980" t="n">
        <f aca="false">'Cash Flow'!AT48</f>
        <v>-170681.114404297</v>
      </c>
      <c r="AN26" s="1980" t="n">
        <f aca="false">'Cash Flow'!AU48</f>
        <v>-171534.519976318</v>
      </c>
      <c r="AO26" s="1980" t="n">
        <f aca="false">'Cash Flow'!AV48</f>
        <v>-172392.1925762</v>
      </c>
      <c r="AP26" s="2158" t="n">
        <f aca="false">'Cash Flow'!AW48</f>
        <v>-173254.153539081</v>
      </c>
      <c r="AQ26" s="2135"/>
      <c r="AR26" s="2159" t="str">
        <f aca="false">AD26</f>
        <v>Long Term Liability Repay</v>
      </c>
      <c r="AS26" s="1984" t="n">
        <f aca="false">'Cash Flow'!AX48</f>
        <v>-174120.424306776</v>
      </c>
      <c r="AT26" s="1984" t="n">
        <f aca="false">'Cash Flow'!AY48</f>
        <v>-174991.02642831</v>
      </c>
      <c r="AU26" s="1984" t="n">
        <f aca="false">'Cash Flow'!AZ48</f>
        <v>-175865.981560452</v>
      </c>
      <c r="AV26" s="1984" t="n">
        <f aca="false">'Cash Flow'!BA48</f>
        <v>-176745.311468254</v>
      </c>
      <c r="AW26" s="1984" t="n">
        <f aca="false">'Cash Flow'!BB48</f>
        <v>-177629.038025595</v>
      </c>
      <c r="AX26" s="1984" t="n">
        <f aca="false">'Cash Flow'!BC48</f>
        <v>-178517.183215723</v>
      </c>
      <c r="AY26" s="1984" t="n">
        <f aca="false">'Cash Flow'!BD48</f>
        <v>-179409.769131802</v>
      </c>
      <c r="AZ26" s="1984" t="n">
        <f aca="false">'Cash Flow'!BE48</f>
        <v>-180306.817977461</v>
      </c>
      <c r="BA26" s="1984" t="n">
        <f aca="false">'Cash Flow'!BF48</f>
        <v>-181208.352067348</v>
      </c>
      <c r="BB26" s="1984" t="n">
        <f aca="false">'Cash Flow'!BG48</f>
        <v>-182114.393827685</v>
      </c>
      <c r="BC26" s="1984" t="n">
        <f aca="false">'Cash Flow'!BH48</f>
        <v>-183024.965796823</v>
      </c>
      <c r="BD26" s="2160" t="n">
        <f aca="false">'Cash Flow'!BI48</f>
        <v>-183940.090625808</v>
      </c>
      <c r="BE26" s="1466"/>
      <c r="BF26" s="1157"/>
      <c r="BG26" s="2204" t="str">
        <f aca="false">'Tables 5Y'!EE27</f>
        <v>Paid-in Capital</v>
      </c>
      <c r="BH26" s="2148"/>
      <c r="BI26" s="2148"/>
      <c r="BJ26" s="2148"/>
      <c r="BK26" s="2148"/>
      <c r="BL26" s="2148"/>
      <c r="BM26" s="2148"/>
      <c r="BN26" s="2148"/>
      <c r="BO26" s="2148"/>
      <c r="BP26" s="2148"/>
      <c r="BQ26" s="2148"/>
      <c r="BR26" s="2148"/>
      <c r="BS26" s="2149"/>
      <c r="BT26" s="2135"/>
      <c r="BU26" s="2205" t="str">
        <f aca="false">BG26</f>
        <v>Paid-in Capital</v>
      </c>
      <c r="BV26" s="2150"/>
      <c r="BW26" s="2150"/>
      <c r="BX26" s="2150"/>
      <c r="BY26" s="2150"/>
      <c r="BZ26" s="2150"/>
      <c r="CA26" s="2150"/>
      <c r="CB26" s="2150"/>
      <c r="CC26" s="2150"/>
      <c r="CD26" s="2150"/>
      <c r="CE26" s="2150"/>
      <c r="CF26" s="2150"/>
      <c r="CG26" s="2151"/>
      <c r="CH26" s="2135"/>
      <c r="CI26" s="2206" t="str">
        <f aca="false">BU26</f>
        <v>Paid-in Capital</v>
      </c>
      <c r="CJ26" s="2152"/>
      <c r="CK26" s="2152"/>
      <c r="CL26" s="2152"/>
      <c r="CM26" s="2152"/>
      <c r="CN26" s="2152"/>
      <c r="CO26" s="2152"/>
      <c r="CP26" s="2152"/>
      <c r="CQ26" s="2152"/>
      <c r="CR26" s="2152"/>
      <c r="CS26" s="2152"/>
      <c r="CT26" s="2152"/>
      <c r="CU26" s="2153"/>
      <c r="CV26" s="2135"/>
      <c r="CW26" s="2207" t="str">
        <f aca="false">CI26</f>
        <v>Paid-in Capital</v>
      </c>
      <c r="CX26" s="2154"/>
      <c r="CY26" s="2154"/>
      <c r="CZ26" s="2154"/>
      <c r="DA26" s="2154"/>
      <c r="DB26" s="2154"/>
      <c r="DC26" s="2154"/>
      <c r="DD26" s="2154"/>
      <c r="DE26" s="2154"/>
      <c r="DF26" s="2154"/>
      <c r="DG26" s="2154"/>
      <c r="DH26" s="2154"/>
      <c r="DI26" s="2155"/>
    </row>
    <row r="27" customFormat="false" ht="13.5" hidden="false" customHeight="true" outlineLevel="0" collapsed="false">
      <c r="A27" s="1157"/>
      <c r="B27" s="1986" t="str">
        <f aca="false">'Tables 5Y'!DH27</f>
        <v>Net Cash From Financing Activities</v>
      </c>
      <c r="C27" s="2065" t="n">
        <f aca="false">'Cash Flow'!N49</f>
        <v>2224327.4763274</v>
      </c>
      <c r="D27" s="2065" t="n">
        <f aca="false">'Cash Flow'!O49</f>
        <v>322614.338567395</v>
      </c>
      <c r="E27" s="2065" t="n">
        <f aca="false">'Cash Flow'!P49</f>
        <v>319053.686118588</v>
      </c>
      <c r="F27" s="2065" t="n">
        <f aca="false">'Cash Flow'!Q49</f>
        <v>-147696.321450819</v>
      </c>
      <c r="G27" s="2065" t="n">
        <f aca="false">'Cash Flow'!R49</f>
        <v>-148434.803058073</v>
      </c>
      <c r="H27" s="2065" t="n">
        <f aca="false">'Cash Flow'!S49</f>
        <v>-149176.977073363</v>
      </c>
      <c r="I27" s="2065" t="n">
        <f aca="false">'Cash Flow'!T49</f>
        <v>-149922.86195873</v>
      </c>
      <c r="J27" s="2065" t="n">
        <f aca="false">'Cash Flow'!U49</f>
        <v>-150672.476268524</v>
      </c>
      <c r="K27" s="2065" t="n">
        <f aca="false">'Cash Flow'!V49</f>
        <v>-151425.838649866</v>
      </c>
      <c r="L27" s="2065" t="n">
        <f aca="false">'Cash Flow'!W49</f>
        <v>-152182.967843116</v>
      </c>
      <c r="M27" s="2065" t="n">
        <f aca="false">'Cash Flow'!X49</f>
        <v>-152943.882682331</v>
      </c>
      <c r="N27" s="2182" t="n">
        <f aca="false">'Cash Flow'!Y49</f>
        <v>-153708.602095743</v>
      </c>
      <c r="O27" s="2135"/>
      <c r="P27" s="1990" t="str">
        <f aca="false">B27</f>
        <v>Net Cash From Financing Activities</v>
      </c>
      <c r="Q27" s="2068" t="n">
        <f aca="false">'Cash Flow'!Z49</f>
        <v>-154477.145106221</v>
      </c>
      <c r="R27" s="2068" t="n">
        <f aca="false">'Cash Flow'!AA49</f>
        <v>-155249.530831753</v>
      </c>
      <c r="S27" s="2068" t="n">
        <f aca="false">'Cash Flow'!AB49</f>
        <v>-156025.778485911</v>
      </c>
      <c r="T27" s="2068" t="n">
        <f aca="false">'Cash Flow'!AC49</f>
        <v>-156805.907378341</v>
      </c>
      <c r="U27" s="2068" t="n">
        <f aca="false">'Cash Flow'!AD49</f>
        <v>-157589.936915233</v>
      </c>
      <c r="V27" s="2068" t="n">
        <f aca="false">'Cash Flow'!AE49</f>
        <v>-158377.886599809</v>
      </c>
      <c r="W27" s="2068" t="n">
        <f aca="false">'Cash Flow'!AF49</f>
        <v>-159169.776032808</v>
      </c>
      <c r="X27" s="2068" t="n">
        <f aca="false">'Cash Flow'!AG49</f>
        <v>-159965.624912972</v>
      </c>
      <c r="Y27" s="2068" t="n">
        <f aca="false">'Cash Flow'!AH49</f>
        <v>-160765.453037537</v>
      </c>
      <c r="Z27" s="2068" t="n">
        <f aca="false">'Cash Flow'!AI49</f>
        <v>-161569.280302724</v>
      </c>
      <c r="AA27" s="2068" t="n">
        <f aca="false">'Cash Flow'!AJ49</f>
        <v>-162377.126704238</v>
      </c>
      <c r="AB27" s="2183" t="n">
        <f aca="false">'Cash Flow'!AK49</f>
        <v>-163189.012337759</v>
      </c>
      <c r="AC27" s="2135"/>
      <c r="AD27" s="1994" t="str">
        <f aca="false">P27</f>
        <v>Net Cash From Financing Activities</v>
      </c>
      <c r="AE27" s="2071" t="n">
        <f aca="false">'Cash Flow'!AL49</f>
        <v>-164004.957399448</v>
      </c>
      <c r="AF27" s="2071" t="n">
        <f aca="false">'Cash Flow'!AM49</f>
        <v>-164824.982186445</v>
      </c>
      <c r="AG27" s="2071" t="n">
        <f aca="false">'Cash Flow'!AN49</f>
        <v>-165649.107097377</v>
      </c>
      <c r="AH27" s="2071" t="n">
        <f aca="false">'Cash Flow'!AO49</f>
        <v>-166477.352632864</v>
      </c>
      <c r="AI27" s="2071" t="n">
        <f aca="false">'Cash Flow'!AP49</f>
        <v>-167309.739396029</v>
      </c>
      <c r="AJ27" s="2071" t="n">
        <f aca="false">'Cash Flow'!AQ49</f>
        <v>-168146.288093009</v>
      </c>
      <c r="AK27" s="2071" t="n">
        <f aca="false">'Cash Flow'!AR49</f>
        <v>-168987.019533474</v>
      </c>
      <c r="AL27" s="2071" t="n">
        <f aca="false">'Cash Flow'!AS49</f>
        <v>-169831.954631141</v>
      </c>
      <c r="AM27" s="2071" t="n">
        <f aca="false">'Cash Flow'!AT49</f>
        <v>-170681.114404297</v>
      </c>
      <c r="AN27" s="2071" t="n">
        <f aca="false">'Cash Flow'!AU49</f>
        <v>-171534.519976318</v>
      </c>
      <c r="AO27" s="2071" t="n">
        <f aca="false">'Cash Flow'!AV49</f>
        <v>-172392.1925762</v>
      </c>
      <c r="AP27" s="2184" t="n">
        <f aca="false">'Cash Flow'!AW49</f>
        <v>-173254.153539081</v>
      </c>
      <c r="AQ27" s="2135"/>
      <c r="AR27" s="2185" t="str">
        <f aca="false">AD27</f>
        <v>Net Cash From Financing Activities</v>
      </c>
      <c r="AS27" s="2074" t="n">
        <f aca="false">'Cash Flow'!AX49</f>
        <v>-174120.424306776</v>
      </c>
      <c r="AT27" s="2074" t="n">
        <f aca="false">'Cash Flow'!AY49</f>
        <v>-174991.02642831</v>
      </c>
      <c r="AU27" s="2074" t="n">
        <f aca="false">'Cash Flow'!AZ49</f>
        <v>-175865.981560452</v>
      </c>
      <c r="AV27" s="2074" t="n">
        <f aca="false">'Cash Flow'!BA49</f>
        <v>-176745.311468254</v>
      </c>
      <c r="AW27" s="2074" t="n">
        <f aca="false">'Cash Flow'!BB49</f>
        <v>-177629.038025595</v>
      </c>
      <c r="AX27" s="2074" t="n">
        <f aca="false">'Cash Flow'!BC49</f>
        <v>-178517.183215723</v>
      </c>
      <c r="AY27" s="2074" t="n">
        <f aca="false">'Cash Flow'!BD49</f>
        <v>-179409.769131802</v>
      </c>
      <c r="AZ27" s="2074" t="n">
        <f aca="false">'Cash Flow'!BE49</f>
        <v>-180306.817977461</v>
      </c>
      <c r="BA27" s="2074" t="n">
        <f aca="false">'Cash Flow'!BF49</f>
        <v>-181208.352067348</v>
      </c>
      <c r="BB27" s="2074" t="n">
        <f aca="false">'Cash Flow'!BG49</f>
        <v>-182114.393827685</v>
      </c>
      <c r="BC27" s="2074" t="n">
        <f aca="false">'Cash Flow'!BH49</f>
        <v>-183024.965796823</v>
      </c>
      <c r="BD27" s="2186" t="n">
        <f aca="false">'Cash Flow'!BI49</f>
        <v>-183940.090625808</v>
      </c>
      <c r="BE27" s="1466"/>
      <c r="BF27" s="1157"/>
      <c r="BG27" s="1936" t="str">
        <f aca="false">'Tables 5Y'!EE28</f>
        <v>Retained Earnings</v>
      </c>
      <c r="BH27" s="2161" t="n">
        <f aca="false">'Balance Sheet'!N28</f>
        <v>-3831207.37527624</v>
      </c>
      <c r="BI27" s="2161" t="n">
        <f aca="false">'Balance Sheet'!O28</f>
        <v>-3831207.37527624</v>
      </c>
      <c r="BJ27" s="2161" t="n">
        <f aca="false">'Balance Sheet'!P28</f>
        <v>-3831207.37527624</v>
      </c>
      <c r="BK27" s="2161" t="n">
        <f aca="false">'Balance Sheet'!Q28</f>
        <v>-3831207.37527624</v>
      </c>
      <c r="BL27" s="2161" t="n">
        <f aca="false">'Balance Sheet'!R28</f>
        <v>-3831207.37527624</v>
      </c>
      <c r="BM27" s="2161" t="n">
        <f aca="false">'Balance Sheet'!S28</f>
        <v>-3831207.37527624</v>
      </c>
      <c r="BN27" s="2161" t="n">
        <f aca="false">'Balance Sheet'!T28</f>
        <v>-3831207.37527624</v>
      </c>
      <c r="BO27" s="2161" t="n">
        <f aca="false">'Balance Sheet'!U28</f>
        <v>-3831207.37527624</v>
      </c>
      <c r="BP27" s="2161" t="n">
        <f aca="false">'Balance Sheet'!V28</f>
        <v>-3831207.37527624</v>
      </c>
      <c r="BQ27" s="2161" t="n">
        <f aca="false">'Balance Sheet'!W28</f>
        <v>-3831207.37527624</v>
      </c>
      <c r="BR27" s="2161" t="n">
        <f aca="false">'Balance Sheet'!X28</f>
        <v>-3831207.37527624</v>
      </c>
      <c r="BS27" s="2162" t="n">
        <f aca="false">'Balance Sheet'!Y28</f>
        <v>-3831207.37527624</v>
      </c>
      <c r="BT27" s="2135"/>
      <c r="BU27" s="1940" t="str">
        <f aca="false">BG27</f>
        <v>Retained Earnings</v>
      </c>
      <c r="BV27" s="2163" t="n">
        <f aca="false">'Balance Sheet'!Z28</f>
        <v>4577509.54154919</v>
      </c>
      <c r="BW27" s="2163" t="n">
        <f aca="false">'Balance Sheet'!AA28</f>
        <v>4577509.54154919</v>
      </c>
      <c r="BX27" s="2163" t="n">
        <f aca="false">'Balance Sheet'!AB28</f>
        <v>4577509.54154919</v>
      </c>
      <c r="BY27" s="2163" t="n">
        <f aca="false">'Balance Sheet'!AC28</f>
        <v>4577509.54154919</v>
      </c>
      <c r="BZ27" s="2163" t="n">
        <f aca="false">'Balance Sheet'!AD28</f>
        <v>4577509.54154919</v>
      </c>
      <c r="CA27" s="2163" t="n">
        <f aca="false">'Balance Sheet'!AE28</f>
        <v>4577509.54154919</v>
      </c>
      <c r="CB27" s="2163" t="n">
        <f aca="false">'Balance Sheet'!AF28</f>
        <v>4577509.54154919</v>
      </c>
      <c r="CC27" s="2163" t="n">
        <f aca="false">'Balance Sheet'!AG28</f>
        <v>4577509.54154919</v>
      </c>
      <c r="CD27" s="2163" t="n">
        <f aca="false">'Balance Sheet'!AH28</f>
        <v>4577509.54154919</v>
      </c>
      <c r="CE27" s="2163" t="n">
        <f aca="false">'Balance Sheet'!AI28</f>
        <v>4577509.54154919</v>
      </c>
      <c r="CF27" s="2163" t="n">
        <f aca="false">'Balance Sheet'!AJ28</f>
        <v>4577509.54154919</v>
      </c>
      <c r="CG27" s="2164" t="n">
        <f aca="false">'Balance Sheet'!AK28</f>
        <v>4577509.54154919</v>
      </c>
      <c r="CH27" s="2135"/>
      <c r="CI27" s="1944" t="str">
        <f aca="false">BU27</f>
        <v>Retained Earnings</v>
      </c>
      <c r="CJ27" s="2165" t="n">
        <f aca="false">'Balance Sheet'!AL28</f>
        <v>46672932.1830159</v>
      </c>
      <c r="CK27" s="2165" t="n">
        <f aca="false">'Balance Sheet'!AM28</f>
        <v>46672932.1830159</v>
      </c>
      <c r="CL27" s="2165" t="n">
        <f aca="false">'Balance Sheet'!AN28</f>
        <v>46672932.1830159</v>
      </c>
      <c r="CM27" s="2165" t="n">
        <f aca="false">'Balance Sheet'!AO28</f>
        <v>46672932.1830159</v>
      </c>
      <c r="CN27" s="2165" t="n">
        <f aca="false">'Balance Sheet'!AP28</f>
        <v>46672932.1830159</v>
      </c>
      <c r="CO27" s="2165" t="n">
        <f aca="false">'Balance Sheet'!AQ28</f>
        <v>46672932.1830159</v>
      </c>
      <c r="CP27" s="2165" t="n">
        <f aca="false">'Balance Sheet'!AR28</f>
        <v>46672932.1830159</v>
      </c>
      <c r="CQ27" s="2165" t="n">
        <f aca="false">'Balance Sheet'!AS28</f>
        <v>46672932.1830159</v>
      </c>
      <c r="CR27" s="2165" t="n">
        <f aca="false">'Balance Sheet'!AT28</f>
        <v>46672932.1830159</v>
      </c>
      <c r="CS27" s="2165" t="n">
        <f aca="false">'Balance Sheet'!AU28</f>
        <v>46672932.1830159</v>
      </c>
      <c r="CT27" s="2165" t="n">
        <f aca="false">'Balance Sheet'!AV28</f>
        <v>46672932.1830159</v>
      </c>
      <c r="CU27" s="2166" t="n">
        <f aca="false">'Balance Sheet'!AW28</f>
        <v>46672932.1830159</v>
      </c>
      <c r="CV27" s="2135"/>
      <c r="CW27" s="1948" t="str">
        <f aca="false">CI27</f>
        <v>Retained Earnings</v>
      </c>
      <c r="CX27" s="2167" t="n">
        <f aca="false">'Balance Sheet'!AX28</f>
        <v>95162924.3560846</v>
      </c>
      <c r="CY27" s="2167" t="n">
        <f aca="false">'Balance Sheet'!AY28</f>
        <v>95162924.3560846</v>
      </c>
      <c r="CZ27" s="2167" t="n">
        <f aca="false">'Balance Sheet'!AZ28</f>
        <v>95162924.3560846</v>
      </c>
      <c r="DA27" s="2167" t="n">
        <f aca="false">'Balance Sheet'!BA28</f>
        <v>95162924.3560846</v>
      </c>
      <c r="DB27" s="2167" t="n">
        <f aca="false">'Balance Sheet'!BB28</f>
        <v>95162924.3560846</v>
      </c>
      <c r="DC27" s="2167" t="n">
        <f aca="false">'Balance Sheet'!BC28</f>
        <v>95162924.3560846</v>
      </c>
      <c r="DD27" s="2167" t="n">
        <f aca="false">'Balance Sheet'!BD28</f>
        <v>95162924.3560846</v>
      </c>
      <c r="DE27" s="2167" t="n">
        <f aca="false">'Balance Sheet'!BE28</f>
        <v>95162924.3560846</v>
      </c>
      <c r="DF27" s="2167" t="n">
        <f aca="false">'Balance Sheet'!BF28</f>
        <v>95162924.3560846</v>
      </c>
      <c r="DG27" s="2167" t="n">
        <f aca="false">'Balance Sheet'!BG28</f>
        <v>95162924.3560846</v>
      </c>
      <c r="DH27" s="2167" t="n">
        <f aca="false">'Balance Sheet'!BH28</f>
        <v>95162924.3560846</v>
      </c>
      <c r="DI27" s="2168" t="n">
        <f aca="false">'Balance Sheet'!BI28</f>
        <v>95162924.3560846</v>
      </c>
    </row>
    <row r="28" customFormat="false" ht="13.5" hidden="false" customHeight="true" outlineLevel="0" collapsed="false">
      <c r="A28" s="1157"/>
      <c r="B28" s="2208" t="str">
        <f aca="false">'Tables 5Y'!DH28</f>
        <v>NET CASH FLOW</v>
      </c>
      <c r="C28" s="2209" t="n">
        <f aca="false">'Cash Flow'!N50</f>
        <v>-139782.599120566</v>
      </c>
      <c r="D28" s="2209" t="n">
        <f aca="false">'Cash Flow'!O50</f>
        <v>409447.906291031</v>
      </c>
      <c r="E28" s="2209" t="n">
        <f aca="false">'Cash Flow'!P50</f>
        <v>500030.832949563</v>
      </c>
      <c r="F28" s="2209" t="n">
        <f aca="false">'Cash Flow'!Q50</f>
        <v>549330.55430744</v>
      </c>
      <c r="G28" s="2209" t="n">
        <f aca="false">'Cash Flow'!R50</f>
        <v>600942.368489379</v>
      </c>
      <c r="H28" s="2209" t="n">
        <f aca="false">'Cash Flow'!S50</f>
        <v>652554.164552776</v>
      </c>
      <c r="I28" s="2209" t="n">
        <f aca="false">'Cash Flow'!T50</f>
        <v>702706.591526045</v>
      </c>
      <c r="J28" s="2209" t="n">
        <f aca="false">'Cash Flow'!U50</f>
        <v>649658.806034889</v>
      </c>
      <c r="K28" s="2209" t="n">
        <f aca="false">'Cash Flow'!V50</f>
        <v>732036.742624627</v>
      </c>
      <c r="L28" s="2209" t="n">
        <f aca="false">'Cash Flow'!W50</f>
        <v>855076.887522583</v>
      </c>
      <c r="M28" s="2209" t="n">
        <f aca="false">'Cash Flow'!X50</f>
        <v>978116.44878399</v>
      </c>
      <c r="N28" s="2210" t="n">
        <f aca="false">'Cash Flow'!Y50</f>
        <v>1101155.42349067</v>
      </c>
      <c r="O28" s="2135"/>
      <c r="P28" s="2208" t="str">
        <f aca="false">B28</f>
        <v>NET CASH FLOW</v>
      </c>
      <c r="Q28" s="2209" t="n">
        <f aca="false">'Cash Flow'!Z50</f>
        <v>1254317.23995584</v>
      </c>
      <c r="R28" s="2209" t="n">
        <f aca="false">'Cash Flow'!AA50</f>
        <v>3544555.00200914</v>
      </c>
      <c r="S28" s="2209" t="n">
        <f aca="false">'Cash Flow'!AB50</f>
        <v>3544435.32718935</v>
      </c>
      <c r="T28" s="2209" t="n">
        <f aca="false">'Cash Flow'!AC50</f>
        <v>3544315.05399545</v>
      </c>
      <c r="U28" s="2209" t="n">
        <f aca="false">'Cash Flow'!AD50</f>
        <v>3544194.17943559</v>
      </c>
      <c r="V28" s="2209" t="n">
        <f aca="false">'Cash Flow'!AE50</f>
        <v>3544072.70050293</v>
      </c>
      <c r="W28" s="2209" t="n">
        <f aca="false">'Cash Flow'!AF50</f>
        <v>3543950.6141756</v>
      </c>
      <c r="X28" s="2209" t="n">
        <f aca="false">'Cash Flow'!AG50</f>
        <v>3543827.91741664</v>
      </c>
      <c r="Y28" s="2209" t="n">
        <f aca="false">'Cash Flow'!AH50</f>
        <v>3543704.60717388</v>
      </c>
      <c r="Z28" s="2209" t="n">
        <f aca="false">'Cash Flow'!AI50</f>
        <v>3543580.68037991</v>
      </c>
      <c r="AA28" s="2209" t="n">
        <f aca="false">'Cash Flow'!AJ50</f>
        <v>3543456.13395197</v>
      </c>
      <c r="AB28" s="2210" t="n">
        <f aca="false">'Cash Flow'!AK50</f>
        <v>3543330.96479188</v>
      </c>
      <c r="AC28" s="2135"/>
      <c r="AD28" s="2208" t="str">
        <f aca="false">P28</f>
        <v>NET CASH FLOW</v>
      </c>
      <c r="AE28" s="2209" t="n">
        <f aca="false">'Cash Flow'!AL50</f>
        <v>3550390.86413212</v>
      </c>
      <c r="AF28" s="2209" t="n">
        <f aca="false">'Cash Flow'!AM50</f>
        <v>4067634.43307214</v>
      </c>
      <c r="AG28" s="2209" t="n">
        <f aca="false">'Cash Flow'!AN50</f>
        <v>4067507.37697133</v>
      </c>
      <c r="AH28" s="2209" t="n">
        <f aca="false">'Cash Flow'!AO50</f>
        <v>4067379.68559001</v>
      </c>
      <c r="AI28" s="2209" t="n">
        <f aca="false">'Cash Flow'!AP50</f>
        <v>4067251.35575179</v>
      </c>
      <c r="AJ28" s="2209" t="n">
        <f aca="false">'Cash Flow'!AQ50</f>
        <v>4067122.38426436</v>
      </c>
      <c r="AK28" s="2209" t="n">
        <f aca="false">'Cash Flow'!AR50</f>
        <v>4066992.76791951</v>
      </c>
      <c r="AL28" s="2209" t="n">
        <f aca="false">'Cash Flow'!AS50</f>
        <v>4066862.50349293</v>
      </c>
      <c r="AM28" s="2209" t="n">
        <f aca="false">'Cash Flow'!AT50</f>
        <v>4066731.58774422</v>
      </c>
      <c r="AN28" s="2209" t="n">
        <f aca="false">'Cash Flow'!AU50</f>
        <v>4066600.01741676</v>
      </c>
      <c r="AO28" s="2209" t="n">
        <f aca="false">'Cash Flow'!AV50</f>
        <v>4066467.78923767</v>
      </c>
      <c r="AP28" s="2210" t="n">
        <f aca="false">'Cash Flow'!AW50</f>
        <v>4066334.89991768</v>
      </c>
      <c r="AQ28" s="2135"/>
      <c r="AR28" s="2211" t="str">
        <f aca="false">AD28</f>
        <v>NET CASH FLOW</v>
      </c>
      <c r="AS28" s="2209" t="n">
        <f aca="false">'Cash Flow'!AX50</f>
        <v>4073348.30653482</v>
      </c>
      <c r="AT28" s="2209" t="n">
        <f aca="false">'Cash Flow'!AY50</f>
        <v>4587795.2326278</v>
      </c>
      <c r="AU28" s="2209" t="n">
        <f aca="false">'Cash Flow'!AZ50</f>
        <v>4587660.3399847</v>
      </c>
      <c r="AV28" s="2209" t="n">
        <f aca="false">'Cash Flow'!BA50</f>
        <v>4587524.77287839</v>
      </c>
      <c r="AW28" s="2209" t="n">
        <f aca="false">'Cash Flow'!BB50</f>
        <v>4587388.52793654</v>
      </c>
      <c r="AX28" s="2209" t="n">
        <f aca="false">'Cash Flow'!BC50</f>
        <v>4587251.60176999</v>
      </c>
      <c r="AY28" s="2209" t="n">
        <f aca="false">'Cash Flow'!BD50</f>
        <v>4587113.99097261</v>
      </c>
      <c r="AZ28" s="2209" t="n">
        <f aca="false">'Cash Flow'!BE50</f>
        <v>4586975.69212122</v>
      </c>
      <c r="BA28" s="2209" t="n">
        <f aca="false">'Cash Flow'!BF50</f>
        <v>4586836.7017756</v>
      </c>
      <c r="BB28" s="2209" t="n">
        <f aca="false">'Cash Flow'!BG50</f>
        <v>4586697.01647824</v>
      </c>
      <c r="BC28" s="2209" t="n">
        <f aca="false">'Cash Flow'!BH50</f>
        <v>4586556.63275439</v>
      </c>
      <c r="BD28" s="2210" t="n">
        <f aca="false">'Cash Flow'!BI50</f>
        <v>4586415.54711193</v>
      </c>
      <c r="BE28" s="1466"/>
      <c r="BF28" s="1157"/>
      <c r="BG28" s="1936" t="str">
        <f aca="false">'Tables 5Y'!EE29</f>
        <v>Earnings</v>
      </c>
      <c r="BH28" s="2161" t="n">
        <f aca="false">'Balance Sheet'!N29</f>
        <v>363802.231401596</v>
      </c>
      <c r="BI28" s="2161" t="n">
        <f aca="false">'Balance Sheet'!O29</f>
        <v>818477.654312055</v>
      </c>
      <c r="BJ28" s="2161" t="n">
        <f aca="false">'Balance Sheet'!P29</f>
        <v>1319271.98342018</v>
      </c>
      <c r="BK28" s="2161" t="n">
        <f aca="false">'Balance Sheet'!Q29</f>
        <v>1872416.55798821</v>
      </c>
      <c r="BL28" s="2161" t="n">
        <f aca="false">'Balance Sheet'!R29</f>
        <v>2477915.05205399</v>
      </c>
      <c r="BM28" s="2161" t="n">
        <f aca="false">'Balance Sheet'!S29</f>
        <v>3135771.15802557</v>
      </c>
      <c r="BN28" s="2161" t="n">
        <f aca="false">'Balance Sheet'!T29</f>
        <v>3739455.97246089</v>
      </c>
      <c r="BO28" s="2161" t="n">
        <f aca="false">'Balance Sheet'!U29</f>
        <v>4425707.28126647</v>
      </c>
      <c r="BP28" s="2161" t="n">
        <f aca="false">'Balance Sheet'!V29</f>
        <v>5235755.82030311</v>
      </c>
      <c r="BQ28" s="2161" t="n">
        <f aca="false">'Balance Sheet'!W29</f>
        <v>6169604.79136093</v>
      </c>
      <c r="BR28" s="2161" t="n">
        <f aca="false">'Balance Sheet'!X29</f>
        <v>7227257.41223902</v>
      </c>
      <c r="BS28" s="2162" t="n">
        <f aca="false">'Balance Sheet'!Y29</f>
        <v>8408716.91682543</v>
      </c>
      <c r="BT28" s="2135"/>
      <c r="BU28" s="1940" t="str">
        <f aca="false">BG28</f>
        <v>Earnings</v>
      </c>
      <c r="BV28" s="2163" t="n">
        <f aca="false">'Balance Sheet'!Z29</f>
        <v>3504280.11930847</v>
      </c>
      <c r="BW28" s="2163" t="n">
        <f aca="false">'Balance Sheet'!AA29</f>
        <v>7009216.76648365</v>
      </c>
      <c r="BX28" s="2163" t="n">
        <f aca="false">'Balance Sheet'!AB29</f>
        <v>10514813.2241649</v>
      </c>
      <c r="BY28" s="2163" t="n">
        <f aca="false">'Balance Sheet'!AC29</f>
        <v>14021072.7914046</v>
      </c>
      <c r="BZ28" s="2163" t="n">
        <f aca="false">'Balance Sheet'!AD29</f>
        <v>17527998.7837508</v>
      </c>
      <c r="CA28" s="2163" t="n">
        <f aca="false">'Balance Sheet'!AE29</f>
        <v>21035594.5333288</v>
      </c>
      <c r="CB28" s="2163" t="n">
        <f aca="false">'Balance Sheet'!AF29</f>
        <v>24543863.3889249</v>
      </c>
      <c r="CC28" s="2163" t="n">
        <f aca="false">'Balance Sheet'!AG29</f>
        <v>28052808.7160691</v>
      </c>
      <c r="CD28" s="2163" t="n">
        <f aca="false">'Balance Sheet'!AH29</f>
        <v>31562433.8971192</v>
      </c>
      <c r="CE28" s="2163" t="n">
        <f aca="false">'Balance Sheet'!AI29</f>
        <v>35072742.3313447</v>
      </c>
      <c r="CF28" s="2163" t="n">
        <f aca="false">'Balance Sheet'!AJ29</f>
        <v>38583737.4350115</v>
      </c>
      <c r="CG28" s="2164" t="n">
        <f aca="false">'Balance Sheet'!AK29</f>
        <v>42095422.6414667</v>
      </c>
      <c r="CH28" s="2135"/>
      <c r="CI28" s="1944" t="str">
        <f aca="false">BU28</f>
        <v>Earnings</v>
      </c>
      <c r="CJ28" s="2165" t="n">
        <v>0</v>
      </c>
      <c r="CK28" s="2165" t="n">
        <v>0</v>
      </c>
      <c r="CL28" s="2165" t="n">
        <v>0</v>
      </c>
      <c r="CM28" s="2165" t="n">
        <v>0</v>
      </c>
      <c r="CN28" s="2165" t="n">
        <v>0</v>
      </c>
      <c r="CO28" s="2165" t="n">
        <v>0</v>
      </c>
      <c r="CP28" s="2165" t="n">
        <v>0</v>
      </c>
      <c r="CQ28" s="2165" t="n">
        <v>0</v>
      </c>
      <c r="CR28" s="2165" t="n">
        <v>0</v>
      </c>
      <c r="CS28" s="2165" t="n">
        <v>0</v>
      </c>
      <c r="CT28" s="2165" t="n">
        <v>0</v>
      </c>
      <c r="CU28" s="2166" t="n">
        <v>0</v>
      </c>
      <c r="CV28" s="2135"/>
      <c r="CW28" s="1948" t="str">
        <f aca="false">CI28</f>
        <v>Earnings</v>
      </c>
      <c r="CX28" s="2167" t="n">
        <v>0</v>
      </c>
      <c r="CY28" s="2167" t="n">
        <v>0</v>
      </c>
      <c r="CZ28" s="2167" t="n">
        <v>0</v>
      </c>
      <c r="DA28" s="2167" t="n">
        <v>0</v>
      </c>
      <c r="DB28" s="2167" t="n">
        <v>0</v>
      </c>
      <c r="DC28" s="2167" t="n">
        <v>0</v>
      </c>
      <c r="DD28" s="2167" t="n">
        <v>0</v>
      </c>
      <c r="DE28" s="2167" t="n">
        <v>0</v>
      </c>
      <c r="DF28" s="2167" t="n">
        <v>0</v>
      </c>
      <c r="DG28" s="2167" t="n">
        <v>0</v>
      </c>
      <c r="DH28" s="2167" t="n">
        <v>0</v>
      </c>
      <c r="DI28" s="2168" t="n">
        <v>0</v>
      </c>
    </row>
    <row r="29" customFormat="false" ht="12.75" hidden="false" customHeight="true" outlineLevel="0" collapsed="false">
      <c r="A29" s="1157"/>
      <c r="B29" s="2212" t="str">
        <f aca="false">'Tables 5Y'!DH29</f>
        <v>Beginning Cash</v>
      </c>
      <c r="C29" s="2213" t="n">
        <f aca="false">'Cash Flow'!N51</f>
        <v>6344386.38122366</v>
      </c>
      <c r="D29" s="2213" t="n">
        <f aca="false">'Cash Flow'!O51</f>
        <v>6204603.78210309</v>
      </c>
      <c r="E29" s="2213" t="n">
        <f aca="false">'Cash Flow'!P51</f>
        <v>6614051.68839412</v>
      </c>
      <c r="F29" s="2213" t="n">
        <f aca="false">'Cash Flow'!Q51</f>
        <v>7114082.52134368</v>
      </c>
      <c r="G29" s="2213" t="n">
        <f aca="false">'Cash Flow'!R51</f>
        <v>7663413.07565112</v>
      </c>
      <c r="H29" s="2213" t="n">
        <f aca="false">'Cash Flow'!S51</f>
        <v>8264355.4441405</v>
      </c>
      <c r="I29" s="2213" t="n">
        <f aca="false">'Cash Flow'!T51</f>
        <v>8916909.60869328</v>
      </c>
      <c r="J29" s="2213" t="n">
        <f aca="false">'Cash Flow'!U51</f>
        <v>9619616.20021932</v>
      </c>
      <c r="K29" s="2213" t="n">
        <f aca="false">'Cash Flow'!V51</f>
        <v>10269275.0062542</v>
      </c>
      <c r="L29" s="2213" t="n">
        <f aca="false">'Cash Flow'!W51</f>
        <v>11001311.7488788</v>
      </c>
      <c r="M29" s="2213" t="n">
        <f aca="false">'Cash Flow'!X51</f>
        <v>11856388.6364014</v>
      </c>
      <c r="N29" s="2214" t="n">
        <f aca="false">'Cash Flow'!Y51</f>
        <v>12834505.0851854</v>
      </c>
      <c r="O29" s="2135"/>
      <c r="P29" s="2212" t="str">
        <f aca="false">B29</f>
        <v>Beginning Cash</v>
      </c>
      <c r="Q29" s="2213" t="n">
        <f aca="false">'Cash Flow'!Z51</f>
        <v>13935660.5086761</v>
      </c>
      <c r="R29" s="2213" t="n">
        <f aca="false">'Cash Flow'!AA51</f>
        <v>15189977.7486319</v>
      </c>
      <c r="S29" s="2213" t="n">
        <f aca="false">'Cash Flow'!AB51</f>
        <v>18734532.7506411</v>
      </c>
      <c r="T29" s="2213" t="n">
        <f aca="false">'Cash Flow'!AC51</f>
        <v>22278968.0778304</v>
      </c>
      <c r="U29" s="2213" t="n">
        <f aca="false">'Cash Flow'!AD51</f>
        <v>25823283.1318259</v>
      </c>
      <c r="V29" s="2213" t="n">
        <f aca="false">'Cash Flow'!AE51</f>
        <v>29367477.3112615</v>
      </c>
      <c r="W29" s="2213" t="n">
        <f aca="false">'Cash Flow'!AF51</f>
        <v>32911550.0117644</v>
      </c>
      <c r="X29" s="2213" t="n">
        <f aca="false">'Cash Flow'!AG51</f>
        <v>36455500.62594</v>
      </c>
      <c r="Y29" s="2213" t="n">
        <f aca="false">'Cash Flow'!AH51</f>
        <v>39999328.5433566</v>
      </c>
      <c r="Z29" s="2213" t="n">
        <f aca="false">'Cash Flow'!AI51</f>
        <v>43543033.1505305</v>
      </c>
      <c r="AA29" s="2213" t="n">
        <f aca="false">'Cash Flow'!AJ51</f>
        <v>47086613.8309104</v>
      </c>
      <c r="AB29" s="2214" t="n">
        <f aca="false">'Cash Flow'!AK51</f>
        <v>50630069.9648624</v>
      </c>
      <c r="AC29" s="2135"/>
      <c r="AD29" s="2212" t="str">
        <f aca="false">P29</f>
        <v>Beginning Cash</v>
      </c>
      <c r="AE29" s="2213" t="n">
        <f aca="false">'Cash Flow'!AL51</f>
        <v>54173400.9296542</v>
      </c>
      <c r="AF29" s="2213" t="n">
        <f aca="false">'Cash Flow'!AM51</f>
        <v>57723791.7937864</v>
      </c>
      <c r="AG29" s="2213" t="n">
        <f aca="false">'Cash Flow'!AN51</f>
        <v>61791426.2268585</v>
      </c>
      <c r="AH29" s="2213" t="n">
        <f aca="false">'Cash Flow'!AO51</f>
        <v>65858933.6038298</v>
      </c>
      <c r="AI29" s="2213" t="n">
        <f aca="false">'Cash Flow'!AP51</f>
        <v>69926313.2894198</v>
      </c>
      <c r="AJ29" s="2213" t="n">
        <f aca="false">'Cash Flow'!AQ51</f>
        <v>73993564.6451716</v>
      </c>
      <c r="AK29" s="2213" t="n">
        <f aca="false">'Cash Flow'!AR51</f>
        <v>78060687.029436</v>
      </c>
      <c r="AL29" s="2213" t="n">
        <f aca="false">'Cash Flow'!AS51</f>
        <v>82127679.7973555</v>
      </c>
      <c r="AM29" s="2213" t="n">
        <f aca="false">'Cash Flow'!AT51</f>
        <v>86194542.3008484</v>
      </c>
      <c r="AN29" s="2213" t="n">
        <f aca="false">'Cash Flow'!AU51</f>
        <v>90261273.8885927</v>
      </c>
      <c r="AO29" s="2213" t="n">
        <f aca="false">'Cash Flow'!AV51</f>
        <v>94327873.9060094</v>
      </c>
      <c r="AP29" s="2214" t="n">
        <f aca="false">'Cash Flow'!AW51</f>
        <v>98394341.6952471</v>
      </c>
      <c r="AQ29" s="2135"/>
      <c r="AR29" s="2211" t="str">
        <f aca="false">AD29</f>
        <v>Beginning Cash</v>
      </c>
      <c r="AS29" s="2213" t="n">
        <f aca="false">'Cash Flow'!AX51</f>
        <v>102460676.595165</v>
      </c>
      <c r="AT29" s="2213" t="n">
        <f aca="false">'Cash Flow'!AY51</f>
        <v>106534024.9017</v>
      </c>
      <c r="AU29" s="2213" t="n">
        <f aca="false">'Cash Flow'!AZ51</f>
        <v>111121820.134327</v>
      </c>
      <c r="AV29" s="2213" t="n">
        <f aca="false">'Cash Flow'!BA51</f>
        <v>115709480.474312</v>
      </c>
      <c r="AW29" s="2213" t="n">
        <f aca="false">'Cash Flow'!BB51</f>
        <v>120297005.24719</v>
      </c>
      <c r="AX29" s="2213" t="n">
        <f aca="false">'Cash Flow'!BC51</f>
        <v>124884393.775127</v>
      </c>
      <c r="AY29" s="2213" t="n">
        <f aca="false">'Cash Flow'!BD51</f>
        <v>129471645.376897</v>
      </c>
      <c r="AZ29" s="2213" t="n">
        <f aca="false">'Cash Flow'!BE51</f>
        <v>134058759.36787</v>
      </c>
      <c r="BA29" s="2213" t="n">
        <f aca="false">'Cash Flow'!BF51</f>
        <v>138645735.059991</v>
      </c>
      <c r="BB29" s="2213" t="n">
        <f aca="false">'Cash Flow'!BG51</f>
        <v>143232571.761766</v>
      </c>
      <c r="BC29" s="2213" t="n">
        <f aca="false">'Cash Flow'!BH51</f>
        <v>147819268.778245</v>
      </c>
      <c r="BD29" s="2214" t="n">
        <f aca="false">'Cash Flow'!BI51</f>
        <v>152405825.410999</v>
      </c>
      <c r="BE29" s="1466"/>
      <c r="BF29" s="1157"/>
      <c r="BG29" s="2191" t="str">
        <f aca="false">'Tables 5Y'!EE30</f>
        <v>Total Capital</v>
      </c>
      <c r="BH29" s="2161" t="n">
        <f aca="false">'Balance Sheet'!N30</f>
        <v>6532594.85612535</v>
      </c>
      <c r="BI29" s="2161" t="n">
        <f aca="false">'Balance Sheet'!O30</f>
        <v>6987270.27903581</v>
      </c>
      <c r="BJ29" s="2161" t="n">
        <f aca="false">'Balance Sheet'!P30</f>
        <v>7488064.60814394</v>
      </c>
      <c r="BK29" s="2161" t="n">
        <f aca="false">'Balance Sheet'!Q30</f>
        <v>8041209.18271197</v>
      </c>
      <c r="BL29" s="2161" t="n">
        <f aca="false">'Balance Sheet'!R30</f>
        <v>8646707.67677775</v>
      </c>
      <c r="BM29" s="2161" t="n">
        <f aca="false">'Balance Sheet'!S30</f>
        <v>9304563.78274933</v>
      </c>
      <c r="BN29" s="2161" t="n">
        <f aca="false">'Balance Sheet'!T30</f>
        <v>9908248.59718465</v>
      </c>
      <c r="BO29" s="2161" t="n">
        <f aca="false">'Balance Sheet'!U30</f>
        <v>10594499.9059902</v>
      </c>
      <c r="BP29" s="2161" t="n">
        <f aca="false">'Balance Sheet'!V30</f>
        <v>11404548.4450269</v>
      </c>
      <c r="BQ29" s="2161" t="n">
        <f aca="false">'Balance Sheet'!W30</f>
        <v>12338397.4160847</v>
      </c>
      <c r="BR29" s="2161" t="n">
        <f aca="false">'Balance Sheet'!X30</f>
        <v>13396050.0369628</v>
      </c>
      <c r="BS29" s="2162" t="n">
        <f aca="false">'Balance Sheet'!Y30</f>
        <v>14577509.5415492</v>
      </c>
      <c r="BT29" s="2135"/>
      <c r="BU29" s="2192" t="str">
        <f aca="false">BG29</f>
        <v>Total Capital</v>
      </c>
      <c r="BV29" s="2163" t="n">
        <f aca="false">'Balance Sheet'!Z30</f>
        <v>18081789.6608577</v>
      </c>
      <c r="BW29" s="2163" t="n">
        <f aca="false">'Balance Sheet'!AA30</f>
        <v>21586726.3080328</v>
      </c>
      <c r="BX29" s="2163" t="n">
        <f aca="false">'Balance Sheet'!AB30</f>
        <v>25092322.765714</v>
      </c>
      <c r="BY29" s="2163" t="n">
        <f aca="false">'Balance Sheet'!AC30</f>
        <v>28598582.3329538</v>
      </c>
      <c r="BZ29" s="2163" t="n">
        <f aca="false">'Balance Sheet'!AD30</f>
        <v>32105508.3253</v>
      </c>
      <c r="CA29" s="2163" t="n">
        <f aca="false">'Balance Sheet'!AE30</f>
        <v>35613104.074878</v>
      </c>
      <c r="CB29" s="2163" t="n">
        <f aca="false">'Balance Sheet'!AF30</f>
        <v>39121372.930474</v>
      </c>
      <c r="CC29" s="2163" t="n">
        <f aca="false">'Balance Sheet'!AG30</f>
        <v>42630318.2576183</v>
      </c>
      <c r="CD29" s="2163" t="n">
        <f aca="false">'Balance Sheet'!AH30</f>
        <v>46139943.4386684</v>
      </c>
      <c r="CE29" s="2163" t="n">
        <f aca="false">'Balance Sheet'!AI30</f>
        <v>49650251.8728939</v>
      </c>
      <c r="CF29" s="2163" t="n">
        <f aca="false">'Balance Sheet'!AJ30</f>
        <v>53161246.9765606</v>
      </c>
      <c r="CG29" s="2164" t="n">
        <f aca="false">'Balance Sheet'!AK30</f>
        <v>56672932.1830159</v>
      </c>
      <c r="CH29" s="2135"/>
      <c r="CI29" s="2193" t="str">
        <f aca="false">BU29</f>
        <v>Total Capital</v>
      </c>
      <c r="CJ29" s="2165" t="n">
        <v>0</v>
      </c>
      <c r="CK29" s="2165" t="n">
        <v>0</v>
      </c>
      <c r="CL29" s="2165" t="n">
        <v>0</v>
      </c>
      <c r="CM29" s="2165" t="n">
        <v>0</v>
      </c>
      <c r="CN29" s="2165" t="n">
        <v>0</v>
      </c>
      <c r="CO29" s="2165" t="n">
        <v>0</v>
      </c>
      <c r="CP29" s="2165" t="n">
        <v>0</v>
      </c>
      <c r="CQ29" s="2165" t="n">
        <v>0</v>
      </c>
      <c r="CR29" s="2165" t="n">
        <v>0</v>
      </c>
      <c r="CS29" s="2165" t="n">
        <v>0</v>
      </c>
      <c r="CT29" s="2165" t="n">
        <v>0</v>
      </c>
      <c r="CU29" s="2166" t="n">
        <v>0</v>
      </c>
      <c r="CV29" s="2135"/>
      <c r="CW29" s="2194" t="str">
        <f aca="false">CI29</f>
        <v>Total Capital</v>
      </c>
      <c r="CX29" s="2167" t="n">
        <v>0</v>
      </c>
      <c r="CY29" s="2167" t="n">
        <v>0</v>
      </c>
      <c r="CZ29" s="2167" t="n">
        <v>0</v>
      </c>
      <c r="DA29" s="2167" t="n">
        <v>0</v>
      </c>
      <c r="DB29" s="2167" t="n">
        <v>0</v>
      </c>
      <c r="DC29" s="2167" t="n">
        <v>0</v>
      </c>
      <c r="DD29" s="2167" t="n">
        <v>0</v>
      </c>
      <c r="DE29" s="2167" t="n">
        <v>0</v>
      </c>
      <c r="DF29" s="2167" t="n">
        <v>0</v>
      </c>
      <c r="DG29" s="2167" t="n">
        <v>0</v>
      </c>
      <c r="DH29" s="2167" t="n">
        <v>0</v>
      </c>
      <c r="DI29" s="2168" t="n">
        <v>0</v>
      </c>
    </row>
    <row r="30" customFormat="false" ht="13.5" hidden="false" customHeight="true" outlineLevel="0" collapsed="false">
      <c r="A30" s="1157"/>
      <c r="B30" s="2215" t="str">
        <f aca="false">'Tables 5Y'!DH30</f>
        <v>Ending Cash</v>
      </c>
      <c r="C30" s="2216" t="n">
        <f aca="false">'Cash Flow'!N52</f>
        <v>6204603.78210309</v>
      </c>
      <c r="D30" s="2216" t="n">
        <f aca="false">'Cash Flow'!O52</f>
        <v>6614051.68839412</v>
      </c>
      <c r="E30" s="2216" t="n">
        <f aca="false">'Cash Flow'!P52</f>
        <v>7114082.52134368</v>
      </c>
      <c r="F30" s="2216" t="n">
        <f aca="false">'Cash Flow'!Q52</f>
        <v>7663413.07565112</v>
      </c>
      <c r="G30" s="2216" t="n">
        <f aca="false">'Cash Flow'!R52</f>
        <v>8264355.4441405</v>
      </c>
      <c r="H30" s="2216" t="n">
        <f aca="false">'Cash Flow'!S52</f>
        <v>8916909.60869328</v>
      </c>
      <c r="I30" s="2216" t="n">
        <f aca="false">'Cash Flow'!T52</f>
        <v>9619616.20021932</v>
      </c>
      <c r="J30" s="2216" t="n">
        <f aca="false">'Cash Flow'!U52</f>
        <v>10269275.0062542</v>
      </c>
      <c r="K30" s="2216" t="n">
        <f aca="false">'Cash Flow'!V52</f>
        <v>11001311.7488788</v>
      </c>
      <c r="L30" s="2216" t="n">
        <f aca="false">'Cash Flow'!W52</f>
        <v>11856388.6364014</v>
      </c>
      <c r="M30" s="2216" t="n">
        <f aca="false">'Cash Flow'!X52</f>
        <v>12834505.0851854</v>
      </c>
      <c r="N30" s="2217" t="n">
        <f aca="false">'Cash Flow'!Y52</f>
        <v>13935660.5086761</v>
      </c>
      <c r="O30" s="2135"/>
      <c r="P30" s="2215" t="str">
        <f aca="false">B30</f>
        <v>Ending Cash</v>
      </c>
      <c r="Q30" s="2216" t="n">
        <f aca="false">'Cash Flow'!Z52</f>
        <v>15189977.7486319</v>
      </c>
      <c r="R30" s="2216" t="n">
        <f aca="false">'Cash Flow'!AA52</f>
        <v>18734532.7506411</v>
      </c>
      <c r="S30" s="2216" t="n">
        <f aca="false">'Cash Flow'!AB52</f>
        <v>22278968.0778304</v>
      </c>
      <c r="T30" s="2216" t="n">
        <f aca="false">'Cash Flow'!AC52</f>
        <v>25823283.1318259</v>
      </c>
      <c r="U30" s="2216" t="n">
        <f aca="false">'Cash Flow'!AD52</f>
        <v>29367477.3112615</v>
      </c>
      <c r="V30" s="2216" t="n">
        <f aca="false">'Cash Flow'!AE52</f>
        <v>32911550.0117644</v>
      </c>
      <c r="W30" s="2216" t="n">
        <f aca="false">'Cash Flow'!AF52</f>
        <v>36455500.62594</v>
      </c>
      <c r="X30" s="2216" t="n">
        <f aca="false">'Cash Flow'!AG52</f>
        <v>39999328.5433566</v>
      </c>
      <c r="Y30" s="2216" t="n">
        <f aca="false">'Cash Flow'!AH52</f>
        <v>43543033.1505305</v>
      </c>
      <c r="Z30" s="2216" t="n">
        <f aca="false">'Cash Flow'!AI52</f>
        <v>47086613.8309104</v>
      </c>
      <c r="AA30" s="2216" t="n">
        <f aca="false">'Cash Flow'!AJ52</f>
        <v>50630069.9648624</v>
      </c>
      <c r="AB30" s="2217" t="n">
        <f aca="false">'Cash Flow'!AK52</f>
        <v>54173400.9296542</v>
      </c>
      <c r="AC30" s="2135"/>
      <c r="AD30" s="2215" t="str">
        <f aca="false">P30</f>
        <v>Ending Cash</v>
      </c>
      <c r="AE30" s="2216" t="n">
        <f aca="false">'Cash Flow'!AL52</f>
        <v>57723791.7937864</v>
      </c>
      <c r="AF30" s="2216" t="n">
        <f aca="false">'Cash Flow'!AM52</f>
        <v>61791426.2268585</v>
      </c>
      <c r="AG30" s="2216" t="n">
        <f aca="false">'Cash Flow'!AN52</f>
        <v>65858933.6038298</v>
      </c>
      <c r="AH30" s="2216" t="n">
        <f aca="false">'Cash Flow'!AO52</f>
        <v>69926313.2894198</v>
      </c>
      <c r="AI30" s="2216" t="n">
        <f aca="false">'Cash Flow'!AP52</f>
        <v>73993564.6451716</v>
      </c>
      <c r="AJ30" s="2216" t="n">
        <f aca="false">'Cash Flow'!AQ52</f>
        <v>78060687.029436</v>
      </c>
      <c r="AK30" s="2216" t="n">
        <f aca="false">'Cash Flow'!AR52</f>
        <v>82127679.7973555</v>
      </c>
      <c r="AL30" s="2216" t="n">
        <f aca="false">'Cash Flow'!AS52</f>
        <v>86194542.3008484</v>
      </c>
      <c r="AM30" s="2216" t="n">
        <f aca="false">'Cash Flow'!AT52</f>
        <v>90261273.8885927</v>
      </c>
      <c r="AN30" s="2216" t="n">
        <f aca="false">'Cash Flow'!AU52</f>
        <v>94327873.9060094</v>
      </c>
      <c r="AO30" s="2216" t="n">
        <f aca="false">'Cash Flow'!AV52</f>
        <v>98394341.6952471</v>
      </c>
      <c r="AP30" s="2217" t="n">
        <f aca="false">'Cash Flow'!AW52</f>
        <v>102460676.595165</v>
      </c>
      <c r="AQ30" s="2135"/>
      <c r="AR30" s="2218" t="str">
        <f aca="false">AD30</f>
        <v>Ending Cash</v>
      </c>
      <c r="AS30" s="2216" t="n">
        <f aca="false">'Cash Flow'!AX52</f>
        <v>106534024.9017</v>
      </c>
      <c r="AT30" s="2216" t="n">
        <f aca="false">'Cash Flow'!AY52</f>
        <v>111121820.134327</v>
      </c>
      <c r="AU30" s="2216" t="n">
        <f aca="false">'Cash Flow'!AZ52</f>
        <v>115709480.474312</v>
      </c>
      <c r="AV30" s="2216" t="n">
        <f aca="false">'Cash Flow'!BA52</f>
        <v>120297005.24719</v>
      </c>
      <c r="AW30" s="2216" t="n">
        <f aca="false">'Cash Flow'!BB52</f>
        <v>124884393.775127</v>
      </c>
      <c r="AX30" s="2216" t="n">
        <f aca="false">'Cash Flow'!BC52</f>
        <v>129471645.376897</v>
      </c>
      <c r="AY30" s="2216" t="n">
        <f aca="false">'Cash Flow'!BD52</f>
        <v>134058759.36787</v>
      </c>
      <c r="AZ30" s="2216" t="n">
        <f aca="false">'Cash Flow'!BE52</f>
        <v>138645735.059991</v>
      </c>
      <c r="BA30" s="2216" t="n">
        <f aca="false">'Cash Flow'!BF52</f>
        <v>143232571.761766</v>
      </c>
      <c r="BB30" s="2216" t="n">
        <f aca="false">'Cash Flow'!BG52</f>
        <v>147819268.778245</v>
      </c>
      <c r="BC30" s="2216" t="n">
        <f aca="false">'Cash Flow'!BH52</f>
        <v>152405825.410999</v>
      </c>
      <c r="BD30" s="2217" t="n">
        <f aca="false">'Cash Flow'!BI52</f>
        <v>156992240.958111</v>
      </c>
      <c r="BE30" s="1466"/>
      <c r="BF30" s="1157"/>
      <c r="BG30" s="2027" t="str">
        <f aca="false">'Tables 5Y'!EE31</f>
        <v>Total Liabilities and Capital</v>
      </c>
      <c r="BH30" s="2174" t="n">
        <f aca="false">'Balance Sheet'!N31</f>
        <v>31140744.9280174</v>
      </c>
      <c r="BI30" s="2174" t="n">
        <f aca="false">'Balance Sheet'!O31</f>
        <v>32184370.4599655</v>
      </c>
      <c r="BJ30" s="2174" t="n">
        <f aca="false">'Balance Sheet'!P31</f>
        <v>33314695.4585723</v>
      </c>
      <c r="BK30" s="2174" t="n">
        <f aca="false">'Balance Sheet'!Q31</f>
        <v>34028304.9785368</v>
      </c>
      <c r="BL30" s="2174" t="n">
        <f aca="false">'Balance Sheet'!R31</f>
        <v>34793526.3126834</v>
      </c>
      <c r="BM30" s="2174" t="n">
        <f aca="false">'Balance Sheet'!S31</f>
        <v>35610359.4428933</v>
      </c>
      <c r="BN30" s="2174" t="n">
        <f aca="false">'Balance Sheet'!T31</f>
        <v>36477345.0000765</v>
      </c>
      <c r="BO30" s="2174" t="n">
        <f aca="false">'Balance Sheet'!U31</f>
        <v>37291282.7717685</v>
      </c>
      <c r="BP30" s="2174" t="n">
        <f aca="false">'Balance Sheet'!V31</f>
        <v>38187598.4800503</v>
      </c>
      <c r="BQ30" s="2174" t="n">
        <f aca="false">'Balance Sheet'!W31</f>
        <v>39206954.33323</v>
      </c>
      <c r="BR30" s="2174" t="n">
        <f aca="false">'Balance Sheet'!X31</f>
        <v>40349349.7476711</v>
      </c>
      <c r="BS30" s="2175" t="n">
        <f aca="false">'Balance Sheet'!Y31</f>
        <v>41614784.1368189</v>
      </c>
      <c r="BT30" s="2135"/>
      <c r="BU30" s="2031" t="str">
        <f aca="false">BG30</f>
        <v>Total Liabilities and Capital</v>
      </c>
      <c r="BV30" s="2176" t="n">
        <f aca="false">'Balance Sheet'!Z31</f>
        <v>49215302.0596319</v>
      </c>
      <c r="BW30" s="2176" t="n">
        <f aca="false">'Balance Sheet'!AA31</f>
        <v>52564341.6416411</v>
      </c>
      <c r="BX30" s="2176" t="n">
        <f aca="false">'Balance Sheet'!AB31</f>
        <v>55913261.5488304</v>
      </c>
      <c r="BY30" s="2176" t="n">
        <f aca="false">'Balance Sheet'!AC31</f>
        <v>59262061.1828258</v>
      </c>
      <c r="BZ30" s="2176" t="n">
        <f aca="false">'Balance Sheet'!AD31</f>
        <v>62610739.9422614</v>
      </c>
      <c r="CA30" s="2176" t="n">
        <f aca="false">'Balance Sheet'!AE31</f>
        <v>65959297.2227644</v>
      </c>
      <c r="CB30" s="2176" t="n">
        <f aca="false">'Balance Sheet'!AF31</f>
        <v>69307732.4169399</v>
      </c>
      <c r="CC30" s="2176" t="n">
        <f aca="false">'Balance Sheet'!AG31</f>
        <v>72656044.9143566</v>
      </c>
      <c r="CD30" s="2176" t="n">
        <f aca="false">'Balance Sheet'!AH31</f>
        <v>76004234.1015305</v>
      </c>
      <c r="CE30" s="2176" t="n">
        <f aca="false">'Balance Sheet'!AI31</f>
        <v>79352299.3619104</v>
      </c>
      <c r="CF30" s="2176" t="n">
        <f aca="false">'Balance Sheet'!AJ31</f>
        <v>82700240.0758623</v>
      </c>
      <c r="CG30" s="2177" t="n">
        <f aca="false">'Balance Sheet'!AK31</f>
        <v>86048055.6206542</v>
      </c>
      <c r="CH30" s="2135"/>
      <c r="CI30" s="2035" t="str">
        <f aca="false">BU30</f>
        <v>Total Liabilities and Capital</v>
      </c>
      <c r="CJ30" s="2178" t="n">
        <v>0</v>
      </c>
      <c r="CK30" s="2178" t="n">
        <v>0</v>
      </c>
      <c r="CL30" s="2178" t="n">
        <v>0</v>
      </c>
      <c r="CM30" s="2178" t="n">
        <v>0</v>
      </c>
      <c r="CN30" s="2178" t="n">
        <v>0</v>
      </c>
      <c r="CO30" s="2178" t="n">
        <v>0</v>
      </c>
      <c r="CP30" s="2178" t="n">
        <v>0</v>
      </c>
      <c r="CQ30" s="2178" t="n">
        <v>0</v>
      </c>
      <c r="CR30" s="2178" t="n">
        <v>0</v>
      </c>
      <c r="CS30" s="2178" t="n">
        <v>0</v>
      </c>
      <c r="CT30" s="2178" t="n">
        <v>0</v>
      </c>
      <c r="CU30" s="2179" t="n">
        <v>0</v>
      </c>
      <c r="CV30" s="2135"/>
      <c r="CW30" s="2036" t="str">
        <f aca="false">CI30</f>
        <v>Total Liabilities and Capital</v>
      </c>
      <c r="CX30" s="2180" t="n">
        <v>0</v>
      </c>
      <c r="CY30" s="2180" t="n">
        <v>0</v>
      </c>
      <c r="CZ30" s="2180" t="n">
        <v>0</v>
      </c>
      <c r="DA30" s="2180" t="n">
        <v>0</v>
      </c>
      <c r="DB30" s="2180" t="n">
        <v>0</v>
      </c>
      <c r="DC30" s="2180" t="n">
        <v>0</v>
      </c>
      <c r="DD30" s="2180" t="n">
        <v>0</v>
      </c>
      <c r="DE30" s="2180" t="n">
        <v>0</v>
      </c>
      <c r="DF30" s="2180" t="n">
        <v>0</v>
      </c>
      <c r="DG30" s="2180" t="n">
        <v>0</v>
      </c>
      <c r="DH30" s="2180" t="n">
        <v>0</v>
      </c>
      <c r="DI30" s="2181" t="n">
        <v>0</v>
      </c>
    </row>
    <row r="31" customFormat="false" ht="12.75" hidden="false" customHeight="true" outlineLevel="0" collapsed="false">
      <c r="A31" s="2219"/>
      <c r="B31" s="2220" t="s">
        <v>1774</v>
      </c>
      <c r="C31" s="2221" t="n">
        <f aca="false">'Cash Flow'!N53</f>
        <v>5.35685557903912</v>
      </c>
      <c r="D31" s="2222" t="n">
        <f aca="false">'Cash Flow'!O53</f>
        <v>5.30345869225728</v>
      </c>
      <c r="E31" s="2222" t="n">
        <f aca="false">'Cash Flow'!P53</f>
        <v>5.15230206620505</v>
      </c>
      <c r="F31" s="2222" t="n">
        <f aca="false">'Cash Flow'!Q53</f>
        <v>5.07338708855297</v>
      </c>
      <c r="G31" s="2222" t="n">
        <f aca="false">'Cash Flow'!R53</f>
        <v>5.03842284266111</v>
      </c>
      <c r="H31" s="2222" t="n">
        <f aca="false">'Cash Flow'!S53</f>
        <v>5.03774368453746</v>
      </c>
      <c r="I31" s="2222" t="n">
        <f aca="false">'Cash Flow'!T53</f>
        <v>5.06355644428323</v>
      </c>
      <c r="J31" s="2222" t="n">
        <f aca="false">'Cash Flow'!U53</f>
        <v>5.17407218941585</v>
      </c>
      <c r="K31" s="2222" t="n">
        <f aca="false">'Cash Flow'!V53</f>
        <v>5.44286365264044</v>
      </c>
      <c r="L31" s="2222" t="n">
        <f aca="false">'Cash Flow'!W53</f>
        <v>5.76191939897448</v>
      </c>
      <c r="M31" s="2222" t="n">
        <f aca="false">'Cash Flow'!X53</f>
        <v>6.12861246150179</v>
      </c>
      <c r="N31" s="2223" t="n">
        <f aca="false">'Cash Flow'!Y53</f>
        <v>6.54049577661294</v>
      </c>
      <c r="O31" s="2224"/>
      <c r="P31" s="2225" t="s">
        <v>1774</v>
      </c>
      <c r="Q31" s="2222" t="n">
        <f aca="false">'Cash Flow'!Z53</f>
        <v>5.20386257617153</v>
      </c>
      <c r="R31" s="2222" t="n">
        <f aca="false">'Cash Flow'!AA53</f>
        <v>6.41817489639848</v>
      </c>
      <c r="S31" s="2222" t="n">
        <f aca="false">'Cash Flow'!AB53</f>
        <v>7.63244621779539</v>
      </c>
      <c r="T31" s="2222" t="n">
        <f aca="false">'Cash Flow'!AC53</f>
        <v>8.84667633536811</v>
      </c>
      <c r="U31" s="2222" t="n">
        <f aca="false">'Cash Flow'!AD53</f>
        <v>10.0608650430975</v>
      </c>
      <c r="V31" s="2222" t="n">
        <f aca="false">'Cash Flow'!AE53</f>
        <v>11.2750121339344</v>
      </c>
      <c r="W31" s="2222" t="n">
        <f aca="false">'Cash Flow'!AF53</f>
        <v>12.4891173997943</v>
      </c>
      <c r="X31" s="2222" t="n">
        <f aca="false">'Cash Flow'!AG53</f>
        <v>13.7031806315523</v>
      </c>
      <c r="Y31" s="2222" t="n">
        <f aca="false">'Cash Flow'!AH53</f>
        <v>14.9172016190379</v>
      </c>
      <c r="Z31" s="2222" t="n">
        <f aca="false">'Cash Flow'!AI53</f>
        <v>16.1311801510298</v>
      </c>
      <c r="AA31" s="2222" t="n">
        <f aca="false">'Cash Flow'!AJ53</f>
        <v>17.3451160152504</v>
      </c>
      <c r="AB31" s="2223" t="n">
        <f aca="false">'Cash Flow'!AK53</f>
        <v>18.559008998361</v>
      </c>
      <c r="AC31" s="2224"/>
      <c r="AD31" s="2226" t="s">
        <v>1774</v>
      </c>
      <c r="AE31" s="2222" t="n">
        <f aca="false">'Cash Flow'!AL53</f>
        <v>18.6110764583758</v>
      </c>
      <c r="AF31" s="2222" t="n">
        <f aca="false">'Cash Flow'!AM53</f>
        <v>19.9225470511094</v>
      </c>
      <c r="AG31" s="2222" t="n">
        <f aca="false">'Cash Flow'!AN53</f>
        <v>21.2339766789179</v>
      </c>
      <c r="AH31" s="2222" t="n">
        <f aca="false">'Cash Flow'!AO53</f>
        <v>22.5453651369767</v>
      </c>
      <c r="AI31" s="2222" t="n">
        <f aca="false">'Cash Flow'!AP53</f>
        <v>23.8567122194371</v>
      </c>
      <c r="AJ31" s="2222" t="n">
        <f aca="false">'Cash Flow'!AQ53</f>
        <v>25.1680177194209</v>
      </c>
      <c r="AK31" s="2222" t="n">
        <f aca="false">'Cash Flow'!AR53</f>
        <v>26.479281429016</v>
      </c>
      <c r="AL31" s="2222" t="n">
        <f aca="false">'Cash Flow'!AS53</f>
        <v>27.7905031392702</v>
      </c>
      <c r="AM31" s="2222" t="n">
        <f aca="false">'Cash Flow'!AT53</f>
        <v>29.101682640187</v>
      </c>
      <c r="AN31" s="2222" t="n">
        <f aca="false">'Cash Flow'!AU53</f>
        <v>30.4128197207196</v>
      </c>
      <c r="AO31" s="2222" t="n">
        <f aca="false">'Cash Flow'!AV53</f>
        <v>31.7239141687661</v>
      </c>
      <c r="AP31" s="2223" t="n">
        <f aca="false">'Cash Flow'!AW53</f>
        <v>33.034965771164</v>
      </c>
      <c r="AQ31" s="2224"/>
      <c r="AR31" s="2227" t="s">
        <v>1774</v>
      </c>
      <c r="AS31" s="2228" t="n">
        <f aca="false">'Cash Flow'!AX53</f>
        <v>32.4056833430316</v>
      </c>
      <c r="AT31" s="2228" t="n">
        <f aca="false">'Cash Flow'!AY53</f>
        <v>33.8012059442699</v>
      </c>
      <c r="AU31" s="2228" t="n">
        <f aca="false">'Cash Flow'!AZ53</f>
        <v>35.1966875136569</v>
      </c>
      <c r="AV31" s="2228" t="n">
        <f aca="false">'Cash Flow'!BA53</f>
        <v>36.5921278460331</v>
      </c>
      <c r="AW31" s="2228" t="n">
        <f aca="false">'Cash Flow'!BB53</f>
        <v>37.9875267352137</v>
      </c>
      <c r="AX31" s="2228" t="n">
        <f aca="false">'Cash Flow'!BC53</f>
        <v>39.3828839739826</v>
      </c>
      <c r="AY31" s="2228" t="n">
        <f aca="false">'Cash Flow'!BD53</f>
        <v>40.7781993540878</v>
      </c>
      <c r="AZ31" s="2228" t="n">
        <f aca="false">'Cash Flow'!BE53</f>
        <v>42.1734726662359</v>
      </c>
      <c r="BA31" s="2228" t="n">
        <f aca="false">'Cash Flow'!BF53</f>
        <v>43.5687037000872</v>
      </c>
      <c r="BB31" s="2228" t="n">
        <f aca="false">'Cash Flow'!BG53</f>
        <v>44.9638922442501</v>
      </c>
      <c r="BC31" s="2228" t="n">
        <f aca="false">'Cash Flow'!BH53</f>
        <v>46.3590380862763</v>
      </c>
      <c r="BD31" s="2229" t="n">
        <f aca="false">'Cash Flow'!BI53</f>
        <v>47.754141012655</v>
      </c>
      <c r="BF31" s="1157"/>
      <c r="BG31" s="2230" t="s">
        <v>1808</v>
      </c>
      <c r="BH31" s="2231" t="n">
        <f aca="false">'Balance Sheet'!N33</f>
        <v>6532594.85612536</v>
      </c>
      <c r="BI31" s="2231" t="n">
        <f aca="false">'Balance Sheet'!O33</f>
        <v>6987270.27903581</v>
      </c>
      <c r="BJ31" s="2231" t="n">
        <f aca="false">'Balance Sheet'!P33</f>
        <v>7488064.60814394</v>
      </c>
      <c r="BK31" s="2231" t="n">
        <f aca="false">'Balance Sheet'!Q33</f>
        <v>8041209.18271197</v>
      </c>
      <c r="BL31" s="2231" t="n">
        <f aca="false">'Balance Sheet'!R33</f>
        <v>8646707.67677776</v>
      </c>
      <c r="BM31" s="2231" t="n">
        <f aca="false">'Balance Sheet'!S33</f>
        <v>9304563.78274933</v>
      </c>
      <c r="BN31" s="2231" t="n">
        <f aca="false">'Balance Sheet'!T33</f>
        <v>9908248.59718467</v>
      </c>
      <c r="BO31" s="2231" t="n">
        <f aca="false">'Balance Sheet'!U33</f>
        <v>10594499.9059902</v>
      </c>
      <c r="BP31" s="2231" t="n">
        <f aca="false">'Balance Sheet'!V33</f>
        <v>11404548.4450269</v>
      </c>
      <c r="BQ31" s="2231" t="n">
        <f aca="false">'Balance Sheet'!W33</f>
        <v>12338397.4160847</v>
      </c>
      <c r="BR31" s="2231" t="n">
        <f aca="false">'Balance Sheet'!X33</f>
        <v>13396050.0369628</v>
      </c>
      <c r="BS31" s="2232" t="n">
        <f aca="false">'Balance Sheet'!Y33</f>
        <v>14577509.5415492</v>
      </c>
      <c r="BT31" s="2135"/>
      <c r="BU31" s="2230" t="s">
        <v>1808</v>
      </c>
      <c r="BV31" s="2231" t="n">
        <f aca="false">'Balance Sheet'!Z33</f>
        <v>18081789.6608577</v>
      </c>
      <c r="BW31" s="2231" t="n">
        <f aca="false">'Balance Sheet'!AA33</f>
        <v>21586726.3080328</v>
      </c>
      <c r="BX31" s="2231" t="n">
        <f aca="false">'Balance Sheet'!AB33</f>
        <v>25092322.7657141</v>
      </c>
      <c r="BY31" s="2231" t="n">
        <f aca="false">'Balance Sheet'!AC33</f>
        <v>28598582.3329538</v>
      </c>
      <c r="BZ31" s="2231" t="n">
        <f aca="false">'Balance Sheet'!AD33</f>
        <v>32105508.3253</v>
      </c>
      <c r="CA31" s="2231" t="n">
        <f aca="false">'Balance Sheet'!AE33</f>
        <v>35613104.074878</v>
      </c>
      <c r="CB31" s="2231" t="n">
        <f aca="false">'Balance Sheet'!AF33</f>
        <v>39121372.9304741</v>
      </c>
      <c r="CC31" s="2231" t="n">
        <f aca="false">'Balance Sheet'!AG33</f>
        <v>42630318.2576183</v>
      </c>
      <c r="CD31" s="2231" t="n">
        <f aca="false">'Balance Sheet'!AH33</f>
        <v>46139943.4386684</v>
      </c>
      <c r="CE31" s="2231" t="n">
        <f aca="false">'Balance Sheet'!AI33</f>
        <v>49650251.8728939</v>
      </c>
      <c r="CF31" s="2231" t="n">
        <f aca="false">'Balance Sheet'!AJ33</f>
        <v>53161246.9765607</v>
      </c>
      <c r="CG31" s="2232" t="n">
        <f aca="false">'Balance Sheet'!AK33</f>
        <v>56672932.1830159</v>
      </c>
      <c r="CH31" s="2135"/>
      <c r="CI31" s="2230" t="s">
        <v>1808</v>
      </c>
      <c r="CJ31" s="2233" t="n">
        <f aca="false">'Balance Sheet'!AL33</f>
        <v>60709866.6300407</v>
      </c>
      <c r="CK31" s="2231" t="n">
        <f aca="false">'Balance Sheet'!AM33</f>
        <v>64747498.0981344</v>
      </c>
      <c r="CL31" s="2231" t="n">
        <f aca="false">'Balance Sheet'!AN33</f>
        <v>68785830.0724024</v>
      </c>
      <c r="CM31" s="2231" t="n">
        <f aca="false">'Balance Sheet'!AO33</f>
        <v>72824866.0553756</v>
      </c>
      <c r="CN31" s="2231" t="n">
        <f aca="false">'Balance Sheet'!AP33</f>
        <v>76864609.5670975</v>
      </c>
      <c r="CO31" s="2231" t="n">
        <f aca="false">'Balance Sheet'!AQ33</f>
        <v>80905064.1452117</v>
      </c>
      <c r="CP31" s="2231" t="n">
        <f aca="false">'Balance Sheet'!AR33</f>
        <v>84946233.3450504</v>
      </c>
      <c r="CQ31" s="2231" t="n">
        <f aca="false">'Balance Sheet'!AS33</f>
        <v>88988120.7397222</v>
      </c>
      <c r="CR31" s="2231" t="n">
        <f aca="false">'Balance Sheet'!AT33</f>
        <v>93030729.920201</v>
      </c>
      <c r="CS31" s="2231" t="n">
        <f aca="false">'Balance Sheet'!AU33</f>
        <v>97074064.4954161</v>
      </c>
      <c r="CT31" s="2231" t="n">
        <f aca="false">'Balance Sheet'!AV33</f>
        <v>101118128.092341</v>
      </c>
      <c r="CU31" s="2232" t="n">
        <f aca="false">'Balance Sheet'!AW33</f>
        <v>105162924.356085</v>
      </c>
      <c r="CV31" s="2135"/>
      <c r="CW31" s="2230" t="s">
        <v>1808</v>
      </c>
      <c r="CX31" s="2231" t="n">
        <f aca="false">'Balance Sheet'!AX33</f>
        <v>109730185.057993</v>
      </c>
      <c r="CY31" s="2231" t="n">
        <f aca="false">'Balance Sheet'!AY33</f>
        <v>114298185.771704</v>
      </c>
      <c r="CZ31" s="2231" t="n">
        <f aca="false">'Balance Sheet'!AZ33</f>
        <v>118866930.197278</v>
      </c>
      <c r="DA31" s="2231" t="n">
        <f aca="false">'Balance Sheet'!BA33</f>
        <v>123436422.053273</v>
      </c>
      <c r="DB31" s="2231" t="n">
        <f aca="false">'Balance Sheet'!BB33</f>
        <v>128006665.076842</v>
      </c>
      <c r="DC31" s="2231" t="n">
        <f aca="false">'Balance Sheet'!BC33</f>
        <v>132577663.023823</v>
      </c>
      <c r="DD31" s="2231" t="n">
        <f aca="false">'Balance Sheet'!BD33</f>
        <v>137149419.668832</v>
      </c>
      <c r="DE31" s="2231" t="n">
        <f aca="false">'Balance Sheet'!BE33</f>
        <v>141721938.805361</v>
      </c>
      <c r="DF31" s="2231" t="n">
        <f aca="false">'Balance Sheet'!BF33</f>
        <v>146295224.245865</v>
      </c>
      <c r="DG31" s="2231" t="n">
        <f aca="false">'Balance Sheet'!BG33</f>
        <v>150869279.821866</v>
      </c>
      <c r="DH31" s="2231" t="n">
        <f aca="false">'Balance Sheet'!BH33</f>
        <v>155444109.384041</v>
      </c>
      <c r="DI31" s="2232" t="n">
        <f aca="false">'Balance Sheet'!BI33</f>
        <v>160019716.80232</v>
      </c>
    </row>
    <row r="32" customFormat="false" ht="12.75" hidden="false" customHeight="true" outlineLevel="0" collapsed="false">
      <c r="BF32" s="1157"/>
      <c r="BG32" s="2234" t="s">
        <v>2524</v>
      </c>
      <c r="BH32" s="2235" t="n">
        <f aca="false">'Balance Sheet'!N37</f>
        <v>0</v>
      </c>
      <c r="BI32" s="2235" t="n">
        <f aca="false">'Balance Sheet'!O37</f>
        <v>0</v>
      </c>
      <c r="BJ32" s="2235" t="n">
        <f aca="false">'Balance Sheet'!P37</f>
        <v>0</v>
      </c>
      <c r="BK32" s="2235" t="n">
        <f aca="false">'Balance Sheet'!Q37</f>
        <v>0</v>
      </c>
      <c r="BL32" s="2235" t="n">
        <f aca="false">'Balance Sheet'!R37</f>
        <v>0</v>
      </c>
      <c r="BM32" s="2235" t="n">
        <f aca="false">'Balance Sheet'!S37</f>
        <v>0</v>
      </c>
      <c r="BN32" s="2235" t="n">
        <f aca="false">'Balance Sheet'!T37</f>
        <v>0</v>
      </c>
      <c r="BO32" s="2235" t="n">
        <f aca="false">'Balance Sheet'!U37</f>
        <v>0</v>
      </c>
      <c r="BP32" s="2235" t="n">
        <f aca="false">'Balance Sheet'!V37</f>
        <v>0</v>
      </c>
      <c r="BQ32" s="2235" t="n">
        <f aca="false">'Balance Sheet'!W37</f>
        <v>0</v>
      </c>
      <c r="BR32" s="2235" t="n">
        <f aca="false">'Balance Sheet'!X37</f>
        <v>0</v>
      </c>
      <c r="BS32" s="2236" t="n">
        <f aca="false">'Balance Sheet'!Y37</f>
        <v>0</v>
      </c>
      <c r="BT32" s="2135"/>
      <c r="BU32" s="2234" t="s">
        <v>2524</v>
      </c>
      <c r="BV32" s="2235" t="n">
        <f aca="false">'Balance Sheet'!Z37</f>
        <v>0</v>
      </c>
      <c r="BW32" s="2235" t="n">
        <f aca="false">'Balance Sheet'!AA37</f>
        <v>0</v>
      </c>
      <c r="BX32" s="2235" t="n">
        <f aca="false">'Balance Sheet'!AB37</f>
        <v>0</v>
      </c>
      <c r="BY32" s="2235" t="n">
        <f aca="false">'Balance Sheet'!AC37</f>
        <v>0</v>
      </c>
      <c r="BZ32" s="2235" t="n">
        <f aca="false">'Balance Sheet'!AD37</f>
        <v>0</v>
      </c>
      <c r="CA32" s="2235" t="n">
        <f aca="false">'Balance Sheet'!AE37</f>
        <v>0</v>
      </c>
      <c r="CB32" s="2235" t="n">
        <f aca="false">'Balance Sheet'!AF37</f>
        <v>0</v>
      </c>
      <c r="CC32" s="2235" t="n">
        <f aca="false">'Balance Sheet'!AG37</f>
        <v>0</v>
      </c>
      <c r="CD32" s="2235" t="n">
        <f aca="false">'Balance Sheet'!AH37</f>
        <v>0</v>
      </c>
      <c r="CE32" s="2235" t="n">
        <f aca="false">'Balance Sheet'!AI37</f>
        <v>0</v>
      </c>
      <c r="CF32" s="2235" t="n">
        <f aca="false">'Balance Sheet'!AJ37</f>
        <v>0</v>
      </c>
      <c r="CG32" s="2236" t="n">
        <f aca="false">'Balance Sheet'!AK37</f>
        <v>0</v>
      </c>
      <c r="CH32" s="2135"/>
      <c r="CI32" s="2234" t="s">
        <v>2524</v>
      </c>
      <c r="CJ32" s="2237" t="n">
        <f aca="false">'Balance Sheet'!AL37</f>
        <v>0</v>
      </c>
      <c r="CK32" s="2235" t="n">
        <f aca="false">'Balance Sheet'!AM37</f>
        <v>0</v>
      </c>
      <c r="CL32" s="2235" t="n">
        <f aca="false">'Balance Sheet'!AN37</f>
        <v>0</v>
      </c>
      <c r="CM32" s="2235" t="n">
        <f aca="false">'Balance Sheet'!AO37</f>
        <v>0</v>
      </c>
      <c r="CN32" s="2235" t="n">
        <f aca="false">'Balance Sheet'!AP37</f>
        <v>0</v>
      </c>
      <c r="CO32" s="2235" t="n">
        <f aca="false">'Balance Sheet'!AQ37</f>
        <v>0</v>
      </c>
      <c r="CP32" s="2235" t="n">
        <f aca="false">'Balance Sheet'!AR37</f>
        <v>0</v>
      </c>
      <c r="CQ32" s="2235" t="n">
        <f aca="false">'Balance Sheet'!AS37</f>
        <v>0</v>
      </c>
      <c r="CR32" s="2235" t="n">
        <f aca="false">'Balance Sheet'!AT37</f>
        <v>0</v>
      </c>
      <c r="CS32" s="2235" t="n">
        <f aca="false">'Balance Sheet'!AU37</f>
        <v>0</v>
      </c>
      <c r="CT32" s="2235" t="n">
        <f aca="false">'Balance Sheet'!AV37</f>
        <v>0</v>
      </c>
      <c r="CU32" s="2236" t="n">
        <f aca="false">'Balance Sheet'!AW37</f>
        <v>0</v>
      </c>
      <c r="CV32" s="2135"/>
      <c r="CW32" s="2234" t="s">
        <v>2524</v>
      </c>
      <c r="CX32" s="2235" t="n">
        <f aca="false">'Balance Sheet'!AX37</f>
        <v>0</v>
      </c>
      <c r="CY32" s="2235" t="n">
        <f aca="false">'Balance Sheet'!AY37</f>
        <v>0</v>
      </c>
      <c r="CZ32" s="2235" t="n">
        <f aca="false">'Balance Sheet'!AZ37</f>
        <v>0</v>
      </c>
      <c r="DA32" s="2235" t="n">
        <f aca="false">'Balance Sheet'!BA37</f>
        <v>0</v>
      </c>
      <c r="DB32" s="2235" t="n">
        <f aca="false">'Balance Sheet'!BB37</f>
        <v>0</v>
      </c>
      <c r="DC32" s="2235" t="n">
        <f aca="false">'Balance Sheet'!BC37</f>
        <v>0</v>
      </c>
      <c r="DD32" s="2235" t="n">
        <f aca="false">'Balance Sheet'!BD37</f>
        <v>0</v>
      </c>
      <c r="DE32" s="2235" t="n">
        <f aca="false">'Balance Sheet'!BE37</f>
        <v>0</v>
      </c>
      <c r="DF32" s="2235" t="n">
        <f aca="false">'Balance Sheet'!BF37</f>
        <v>0</v>
      </c>
      <c r="DG32" s="2235" t="n">
        <f aca="false">'Balance Sheet'!BG37</f>
        <v>0</v>
      </c>
      <c r="DH32" s="2235" t="n">
        <f aca="false">'Balance Sheet'!BH37</f>
        <v>0</v>
      </c>
      <c r="DI32" s="2236" t="n">
        <f aca="false">'Balance Sheet'!BI37</f>
        <v>0</v>
      </c>
    </row>
    <row r="60" customFormat="false" ht="10.5" hidden="false" customHeight="true" outlineLevel="0" collapsed="false">
      <c r="AT60" s="2238"/>
    </row>
  </sheetData>
  <mergeCells count="8">
    <mergeCell ref="A1:A30"/>
    <mergeCell ref="O1:O30"/>
    <mergeCell ref="AC1:AC30"/>
    <mergeCell ref="AQ1:AQ30"/>
    <mergeCell ref="BF1:BF32"/>
    <mergeCell ref="BT1:BT32"/>
    <mergeCell ref="CH1:CH32"/>
    <mergeCell ref="CV1:CV32"/>
  </mergeCells>
  <printOptions headings="false" gridLines="false" gridLinesSet="true" horizontalCentered="false" verticalCentered="false"/>
  <pageMargins left="0.75" right="0.75" top="0.861111111111111" bottom="1" header="0.511811023622047" footer="0.5"/>
  <pageSetup paperSize="1" scale="100" fitToWidth="1" fitToHeight="0" pageOrder="downThenOver" orientation="landscape" blackAndWhite="false" draft="false" cellComments="none" horizontalDpi="300" verticalDpi="300" copies="1"/>
  <headerFooter differentFirst="false" differentOddEven="false">
    <oddHeader/>
    <oddFooter>&amp;CBalance Sheet Monthlies</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161"/>
  <sheetViews>
    <sheetView showFormulas="false" showGridLines="true" showRowColHeaders="true" showZeros="true" rightToLeft="false" tabSelected="false" showOutlineSymbols="true" defaultGridColor="true" view="normal" topLeftCell="A12" colorId="64" zoomScale="100" zoomScaleNormal="100" zoomScalePageLayoutView="100" workbookViewId="0">
      <selection pane="topLeft" activeCell="E9" activeCellId="0" sqref="E9"/>
    </sheetView>
  </sheetViews>
  <sheetFormatPr defaultColWidth="8.54296875" defaultRowHeight="12" customHeight="true" zeroHeight="false" outlineLevelRow="0" outlineLevelCol="0"/>
  <cols>
    <col collapsed="false" customWidth="true" hidden="false" outlineLevel="0" max="1" min="1" style="1" width="32.73"/>
    <col collapsed="false" customWidth="true" hidden="false" outlineLevel="0" max="2" min="2" style="1" width="36.45"/>
    <col collapsed="false" customWidth="true" hidden="false" outlineLevel="0" max="3" min="3" style="1" width="21.82"/>
    <col collapsed="false" customWidth="true" hidden="false" outlineLevel="0" max="4" min="4" style="1" width="27.27"/>
    <col collapsed="false" customWidth="true" hidden="false" outlineLevel="0" max="5" min="5" style="1" width="18.18"/>
    <col collapsed="false" customWidth="true" hidden="false" outlineLevel="0" max="6" min="6" style="1" width="14.54"/>
  </cols>
  <sheetData>
    <row r="1" customFormat="false" ht="18" hidden="false" customHeight="true" outlineLevel="0" collapsed="false">
      <c r="A1" s="35" t="s">
        <v>47</v>
      </c>
      <c r="B1" s="35"/>
      <c r="C1" s="35"/>
      <c r="D1" s="35"/>
      <c r="E1" s="35"/>
      <c r="F1" s="35"/>
      <c r="G1" s="35"/>
      <c r="H1" s="35"/>
    </row>
    <row r="2" customFormat="false" ht="12.75" hidden="false" customHeight="true" outlineLevel="0" collapsed="false">
      <c r="A2" s="36" t="s">
        <v>48</v>
      </c>
      <c r="B2" s="36"/>
      <c r="C2" s="36"/>
      <c r="D2" s="36"/>
      <c r="E2" s="36"/>
      <c r="F2" s="36"/>
      <c r="G2" s="36"/>
      <c r="H2" s="36"/>
    </row>
    <row r="4" customFormat="false" ht="12.75" hidden="false" customHeight="true" outlineLevel="0" collapsed="false">
      <c r="A4" s="37" t="s">
        <v>49</v>
      </c>
      <c r="G4" s="38" t="s">
        <v>50</v>
      </c>
    </row>
    <row r="5" customFormat="false" ht="12" hidden="false" customHeight="true" outlineLevel="0" collapsed="false">
      <c r="A5" s="39" t="s">
        <v>51</v>
      </c>
      <c r="G5" s="1" t="s">
        <v>52</v>
      </c>
      <c r="H5" s="40" t="n">
        <v>2498</v>
      </c>
    </row>
    <row r="6" customFormat="false" ht="12" hidden="false" customHeight="true" outlineLevel="0" collapsed="false">
      <c r="G6" s="1" t="s">
        <v>53</v>
      </c>
      <c r="H6" s="1" t="n">
        <v>12</v>
      </c>
    </row>
    <row r="7" customFormat="false" ht="12" hidden="false" customHeight="true" outlineLevel="0" collapsed="false">
      <c r="A7" s="41" t="s">
        <v>54</v>
      </c>
      <c r="B7" s="41" t="s">
        <v>55</v>
      </c>
      <c r="C7" s="41" t="s">
        <v>56</v>
      </c>
      <c r="D7" s="41" t="s">
        <v>57</v>
      </c>
      <c r="E7" s="41" t="s">
        <v>58</v>
      </c>
      <c r="G7" s="1" t="s">
        <v>59</v>
      </c>
      <c r="H7" s="1" t="n">
        <v>10</v>
      </c>
    </row>
    <row r="8" customFormat="false" ht="12" hidden="false" customHeight="true" outlineLevel="0" collapsed="false">
      <c r="A8" s="1" t="s">
        <v>60</v>
      </c>
      <c r="B8" s="1" t="s">
        <v>61</v>
      </c>
      <c r="C8" s="1" t="s">
        <v>62</v>
      </c>
      <c r="D8" s="1" t="s">
        <v>63</v>
      </c>
      <c r="E8" s="1" t="s">
        <v>64</v>
      </c>
      <c r="G8" s="1" t="s">
        <v>65</v>
      </c>
      <c r="H8" s="1" t="n">
        <v>0</v>
      </c>
    </row>
    <row r="9" customFormat="false" ht="12.75" hidden="false" customHeight="true" outlineLevel="0" collapsed="false">
      <c r="A9" s="1" t="s">
        <v>66</v>
      </c>
      <c r="B9" s="1" t="s">
        <v>67</v>
      </c>
      <c r="C9" s="1" t="s">
        <v>68</v>
      </c>
      <c r="D9" s="1" t="s">
        <v>69</v>
      </c>
      <c r="E9" s="1" t="s">
        <v>64</v>
      </c>
      <c r="G9" s="1" t="s">
        <v>70</v>
      </c>
      <c r="H9" s="1" t="n">
        <v>36</v>
      </c>
    </row>
    <row r="10" customFormat="false" ht="12" hidden="false" customHeight="true" outlineLevel="0" collapsed="false">
      <c r="A10" s="1" t="s">
        <v>71</v>
      </c>
      <c r="B10" s="1" t="s">
        <v>72</v>
      </c>
      <c r="C10" s="1" t="s">
        <v>73</v>
      </c>
      <c r="D10" s="1" t="s">
        <v>74</v>
      </c>
      <c r="E10" s="1" t="s">
        <v>64</v>
      </c>
    </row>
    <row r="12" customFormat="false" ht="12" hidden="false" customHeight="true" outlineLevel="0" collapsed="false">
      <c r="A12" s="42" t="s">
        <v>75</v>
      </c>
      <c r="B12" s="42" t="s">
        <v>76</v>
      </c>
      <c r="C12" s="42" t="s">
        <v>77</v>
      </c>
      <c r="D12" s="42" t="s">
        <v>78</v>
      </c>
      <c r="E12" s="42" t="s">
        <v>58</v>
      </c>
    </row>
    <row r="13" customFormat="false" ht="12" hidden="false" customHeight="true" outlineLevel="0" collapsed="false">
      <c r="A13" s="1" t="s">
        <v>79</v>
      </c>
      <c r="B13" s="1" t="s">
        <v>80</v>
      </c>
      <c r="C13" s="1" t="s">
        <v>81</v>
      </c>
      <c r="D13" s="1" t="s">
        <v>82</v>
      </c>
      <c r="E13" s="1" t="s">
        <v>83</v>
      </c>
    </row>
    <row r="14" customFormat="false" ht="12" hidden="false" customHeight="true" outlineLevel="0" collapsed="false">
      <c r="A14" s="1" t="s">
        <v>84</v>
      </c>
      <c r="B14" s="1" t="s">
        <v>85</v>
      </c>
      <c r="C14" s="1" t="s">
        <v>86</v>
      </c>
      <c r="D14" s="1" t="s">
        <v>87</v>
      </c>
      <c r="E14" s="1" t="s">
        <v>83</v>
      </c>
    </row>
    <row r="15" customFormat="false" ht="12" hidden="false" customHeight="true" outlineLevel="0" collapsed="false">
      <c r="A15" s="1" t="s">
        <v>88</v>
      </c>
      <c r="B15" s="1" t="s">
        <v>89</v>
      </c>
      <c r="C15" s="1" t="s">
        <v>90</v>
      </c>
      <c r="D15" s="1" t="s">
        <v>91</v>
      </c>
      <c r="E15" s="1" t="s">
        <v>83</v>
      </c>
    </row>
    <row r="16" customFormat="false" ht="12" hidden="false" customHeight="true" outlineLevel="0" collapsed="false">
      <c r="A16" s="1" t="s">
        <v>92</v>
      </c>
      <c r="B16" s="1" t="s">
        <v>93</v>
      </c>
      <c r="C16" s="1" t="s">
        <v>94</v>
      </c>
      <c r="D16" s="1" t="s">
        <v>95</v>
      </c>
      <c r="E16" s="1" t="s">
        <v>83</v>
      </c>
    </row>
    <row r="17" customFormat="false" ht="12" hidden="false" customHeight="true" outlineLevel="0" collapsed="false">
      <c r="A17" s="1" t="s">
        <v>96</v>
      </c>
      <c r="B17" s="1" t="s">
        <v>97</v>
      </c>
      <c r="C17" s="1" t="s">
        <v>98</v>
      </c>
      <c r="D17" s="1" t="s">
        <v>99</v>
      </c>
      <c r="E17" s="1" t="s">
        <v>83</v>
      </c>
    </row>
    <row r="18" customFormat="false" ht="12" hidden="false" customHeight="true" outlineLevel="0" collapsed="false">
      <c r="A18" s="1" t="s">
        <v>100</v>
      </c>
      <c r="B18" s="1" t="s">
        <v>101</v>
      </c>
      <c r="C18" s="1" t="s">
        <v>102</v>
      </c>
      <c r="D18" s="1" t="s">
        <v>103</v>
      </c>
      <c r="E18" s="1" t="s">
        <v>83</v>
      </c>
    </row>
    <row r="19" customFormat="false" ht="12" hidden="false" customHeight="true" outlineLevel="0" collapsed="false">
      <c r="A19" s="1" t="s">
        <v>104</v>
      </c>
      <c r="B19" s="1" t="s">
        <v>105</v>
      </c>
      <c r="C19" s="1" t="s">
        <v>106</v>
      </c>
      <c r="D19" s="1" t="s">
        <v>107</v>
      </c>
      <c r="E19" s="1" t="s">
        <v>83</v>
      </c>
    </row>
    <row r="20" customFormat="false" ht="12" hidden="false" customHeight="true" outlineLevel="0" collapsed="false">
      <c r="A20" s="1" t="s">
        <v>108</v>
      </c>
      <c r="B20" s="1" t="s">
        <v>109</v>
      </c>
      <c r="C20" s="1" t="s">
        <v>110</v>
      </c>
      <c r="D20" s="1" t="s">
        <v>111</v>
      </c>
      <c r="E20" s="1" t="s">
        <v>83</v>
      </c>
    </row>
    <row r="21" customFormat="false" ht="12" hidden="false" customHeight="true" outlineLevel="0" collapsed="false">
      <c r="A21" s="1" t="s">
        <v>112</v>
      </c>
      <c r="B21" s="1" t="s">
        <v>113</v>
      </c>
      <c r="C21" s="1" t="s">
        <v>114</v>
      </c>
      <c r="D21" s="1" t="s">
        <v>115</v>
      </c>
      <c r="E21" s="1" t="s">
        <v>83</v>
      </c>
    </row>
    <row r="22" customFormat="false" ht="12.75" hidden="false" customHeight="true" outlineLevel="0" collapsed="false">
      <c r="A22" s="1" t="s">
        <v>116</v>
      </c>
      <c r="B22" s="1" t="s">
        <v>117</v>
      </c>
      <c r="C22" s="1" t="s">
        <v>118</v>
      </c>
      <c r="D22" s="1" t="s">
        <v>119</v>
      </c>
      <c r="E22" s="1" t="s">
        <v>83</v>
      </c>
    </row>
    <row r="23" customFormat="false" ht="12" hidden="false" customHeight="true" outlineLevel="0" collapsed="false">
      <c r="A23" s="1" t="s">
        <v>120</v>
      </c>
      <c r="B23" s="1" t="s">
        <v>121</v>
      </c>
      <c r="C23" s="1" t="s">
        <v>122</v>
      </c>
      <c r="D23" s="1" t="s">
        <v>123</v>
      </c>
      <c r="E23" s="1" t="s">
        <v>83</v>
      </c>
    </row>
    <row r="25" customFormat="false" ht="12" hidden="false" customHeight="true" outlineLevel="0" collapsed="false">
      <c r="A25" s="43" t="s">
        <v>124</v>
      </c>
      <c r="B25" s="43" t="s">
        <v>125</v>
      </c>
      <c r="C25" s="43" t="s">
        <v>126</v>
      </c>
      <c r="D25" s="43" t="s">
        <v>127</v>
      </c>
      <c r="E25" s="43" t="s">
        <v>128</v>
      </c>
      <c r="F25" s="43" t="s">
        <v>58</v>
      </c>
    </row>
    <row r="26" customFormat="false" ht="12" hidden="false" customHeight="true" outlineLevel="0" collapsed="false">
      <c r="A26" s="1" t="s">
        <v>129</v>
      </c>
      <c r="B26" s="1" t="s">
        <v>130</v>
      </c>
      <c r="C26" s="44" t="s">
        <v>131</v>
      </c>
      <c r="D26" s="1" t="s">
        <v>132</v>
      </c>
      <c r="E26" s="1" t="s">
        <v>133</v>
      </c>
      <c r="F26" s="1" t="s">
        <v>134</v>
      </c>
    </row>
    <row r="27" customFormat="false" ht="12" hidden="false" customHeight="true" outlineLevel="0" collapsed="false">
      <c r="A27" s="1" t="s">
        <v>135</v>
      </c>
      <c r="B27" s="1" t="s">
        <v>136</v>
      </c>
      <c r="C27" s="45" t="n">
        <f aca="false">Personnel!BP14</f>
        <v>164</v>
      </c>
      <c r="D27" s="1" t="n">
        <v>105</v>
      </c>
      <c r="E27" s="1" t="n">
        <f aca="false">C27-D27</f>
        <v>59</v>
      </c>
      <c r="F27" s="1" t="str">
        <f aca="false">IF(ABS(E27)&lt;1,"OK","CHECK")</f>
        <v>CHECK</v>
      </c>
    </row>
    <row r="28" customFormat="false" ht="12" hidden="false" customHeight="true" outlineLevel="0" collapsed="false">
      <c r="A28" s="1" t="s">
        <v>137</v>
      </c>
      <c r="B28" s="1" t="s">
        <v>138</v>
      </c>
      <c r="C28" s="46" t="n">
        <f aca="false">'P&amp;L'!BK19</f>
        <v>63473726.2030143</v>
      </c>
      <c r="D28" s="44" t="n">
        <f aca="false">'Spool Pricing &amp; Mix'!D59</f>
        <v>107867074.176523</v>
      </c>
      <c r="E28" s="1" t="n">
        <f aca="false">C28-D28</f>
        <v>-44393347.9735085</v>
      </c>
      <c r="F28" s="1" t="str">
        <f aca="false">IF(ABS(E28)&lt;1000,"OK","CHECK")</f>
        <v>CHECK</v>
      </c>
    </row>
    <row r="29" customFormat="false" ht="12.75" hidden="false" customHeight="true" outlineLevel="0" collapsed="false">
      <c r="A29" s="1" t="s">
        <v>139</v>
      </c>
      <c r="B29" s="1" t="s">
        <v>140</v>
      </c>
      <c r="C29" s="1" t="n">
        <f aca="false">'Balance Sheet'!BK17</f>
        <v>0</v>
      </c>
      <c r="D29" s="46" t="n">
        <f aca="false">'Balance Sheet'!BK34</f>
        <v>0</v>
      </c>
      <c r="E29" s="1" t="n">
        <f aca="false">C29-D29</f>
        <v>0</v>
      </c>
      <c r="F29" s="1" t="str">
        <f aca="false">IF(ABS(E29)&lt;1,"OK","CHECK")</f>
        <v>OK</v>
      </c>
    </row>
    <row r="30" customFormat="false" ht="12" hidden="false" customHeight="true" outlineLevel="0" collapsed="false">
      <c r="A30" s="1" t="s">
        <v>141</v>
      </c>
      <c r="B30" s="1" t="s">
        <v>142</v>
      </c>
      <c r="C30" s="46" t="n">
        <f aca="false">'Cash Flow'!BK52</f>
        <v>13935660.5086761</v>
      </c>
      <c r="D30" s="46" t="n">
        <f aca="false">'Balance Sheet'!BK3</f>
        <v>13935660.5086761</v>
      </c>
      <c r="E30" s="1" t="n">
        <f aca="false">C30-D30</f>
        <v>0</v>
      </c>
      <c r="F30" s="1" t="str">
        <f aca="false">IF(ABS(E30)&lt;1,"OK","CHECK")</f>
        <v>OK</v>
      </c>
    </row>
    <row r="32" customFormat="false" ht="12" hidden="false" customHeight="true" outlineLevel="0" collapsed="false">
      <c r="A32" s="47" t="s">
        <v>143</v>
      </c>
      <c r="B32" s="47" t="s">
        <v>55</v>
      </c>
      <c r="C32" s="47" t="s">
        <v>125</v>
      </c>
      <c r="D32" s="47" t="s">
        <v>144</v>
      </c>
    </row>
    <row r="33" customFormat="false" ht="12" hidden="false" customHeight="true" outlineLevel="0" collapsed="false">
      <c r="A33" s="1" t="s">
        <v>145</v>
      </c>
      <c r="B33" s="1" t="s">
        <v>146</v>
      </c>
      <c r="C33" s="1" t="s">
        <v>147</v>
      </c>
      <c r="D33" s="1" t="s">
        <v>148</v>
      </c>
    </row>
    <row r="34" customFormat="false" ht="12.75" hidden="false" customHeight="true" outlineLevel="0" collapsed="false">
      <c r="A34" s="1" t="s">
        <v>149</v>
      </c>
      <c r="B34" s="1" t="s">
        <v>150</v>
      </c>
      <c r="C34" s="1" t="s">
        <v>151</v>
      </c>
      <c r="D34" s="1" t="s">
        <v>152</v>
      </c>
    </row>
    <row r="35" customFormat="false" ht="12.75" hidden="false" customHeight="true" outlineLevel="0" collapsed="false">
      <c r="A35" s="1" t="s">
        <v>153</v>
      </c>
      <c r="B35" s="1" t="s">
        <v>154</v>
      </c>
      <c r="C35" s="1" t="s">
        <v>155</v>
      </c>
      <c r="D35" s="1" t="s">
        <v>156</v>
      </c>
    </row>
    <row r="36" customFormat="false" ht="12.75" hidden="false" customHeight="true" outlineLevel="0" collapsed="false">
      <c r="A36" s="1" t="s">
        <v>157</v>
      </c>
      <c r="B36" s="1" t="s">
        <v>158</v>
      </c>
      <c r="C36" s="1" t="s">
        <v>159</v>
      </c>
      <c r="D36" s="1" t="s">
        <v>160</v>
      </c>
    </row>
    <row r="37" customFormat="false" ht="12.75" hidden="false" customHeight="true" outlineLevel="0" collapsed="false">
      <c r="A37" s="48" t="s">
        <v>161</v>
      </c>
    </row>
    <row r="38" customFormat="false" ht="12.75" hidden="false" customHeight="true" outlineLevel="0" collapsed="false">
      <c r="A38" s="49"/>
    </row>
    <row r="39" customFormat="false" ht="12.75" hidden="false" customHeight="true" outlineLevel="0" collapsed="false">
      <c r="A39" s="50" t="s">
        <v>162</v>
      </c>
      <c r="B39" s="51"/>
      <c r="C39" s="51"/>
      <c r="D39" s="51"/>
      <c r="E39" s="51"/>
      <c r="F39" s="51"/>
      <c r="G39" s="51"/>
      <c r="H39" s="51"/>
    </row>
    <row r="40" customFormat="false" ht="12.75" hidden="false" customHeight="true" outlineLevel="0" collapsed="false">
      <c r="A40" s="49"/>
    </row>
    <row r="41" customFormat="false" ht="12.75" hidden="false" customHeight="true" outlineLevel="0" collapsed="false">
      <c r="A41" s="49" t="s">
        <v>163</v>
      </c>
    </row>
    <row r="42" customFormat="false" ht="12.75" hidden="false" customHeight="true" outlineLevel="0" collapsed="false">
      <c r="A42" s="49"/>
    </row>
    <row r="43" customFormat="false" ht="12.75" hidden="false" customHeight="true" outlineLevel="0" collapsed="false">
      <c r="A43" s="49" t="s">
        <v>164</v>
      </c>
      <c r="B43" s="1" t="s">
        <v>165</v>
      </c>
      <c r="C43" s="1" t="s">
        <v>166</v>
      </c>
      <c r="D43" s="1" t="s">
        <v>58</v>
      </c>
      <c r="E43" s="1" t="s">
        <v>167</v>
      </c>
    </row>
    <row r="44" customFormat="false" ht="12.75" hidden="false" customHeight="true" outlineLevel="0" collapsed="false">
      <c r="A44" s="52"/>
      <c r="B44" s="38"/>
      <c r="C44" s="38"/>
      <c r="D44" s="38"/>
      <c r="E44" s="38"/>
      <c r="F44" s="38"/>
      <c r="G44" s="38"/>
      <c r="H44" s="38"/>
    </row>
    <row r="45" customFormat="false" ht="12.75" hidden="false" customHeight="true" outlineLevel="0" collapsed="false">
      <c r="A45" s="49"/>
      <c r="F45" s="53"/>
    </row>
    <row r="46" customFormat="false" ht="12.75" hidden="false" customHeight="true" outlineLevel="0" collapsed="false">
      <c r="A46" s="49"/>
    </row>
    <row r="47" customFormat="false" ht="12.75" hidden="false" customHeight="true" outlineLevel="0" collapsed="false">
      <c r="A47" s="49"/>
    </row>
    <row r="48" customFormat="false" ht="12.75" hidden="false" customHeight="true" outlineLevel="0" collapsed="false">
      <c r="A48" s="49"/>
    </row>
    <row r="49" customFormat="false" ht="12.75" hidden="false" customHeight="true" outlineLevel="0" collapsed="false">
      <c r="A49" s="49"/>
    </row>
    <row r="50" customFormat="false" ht="12.75" hidden="false" customHeight="true" outlineLevel="0" collapsed="false">
      <c r="A50" s="49"/>
    </row>
    <row r="51" customFormat="false" ht="12.75" hidden="false" customHeight="true" outlineLevel="0" collapsed="false">
      <c r="A51" s="49"/>
    </row>
    <row r="52" customFormat="false" ht="12" hidden="false" customHeight="true" outlineLevel="0" collapsed="false">
      <c r="A52" s="49"/>
      <c r="B52" s="40"/>
    </row>
    <row r="53" customFormat="false" ht="12" hidden="false" customHeight="true" outlineLevel="0" collapsed="false">
      <c r="A53" s="49"/>
    </row>
    <row r="54" customFormat="false" ht="12" hidden="false" customHeight="true" outlineLevel="0" collapsed="false">
      <c r="A54" s="49" t="s">
        <v>168</v>
      </c>
    </row>
    <row r="57" customFormat="false" ht="12" hidden="false" customHeight="true" outlineLevel="0" collapsed="false">
      <c r="A57" s="1" t="s">
        <v>169</v>
      </c>
    </row>
    <row r="59" customFormat="false" ht="12" hidden="false" customHeight="true" outlineLevel="0" collapsed="false">
      <c r="A59" s="1" t="s">
        <v>170</v>
      </c>
    </row>
    <row r="60" customFormat="false" ht="12" hidden="false" customHeight="true" outlineLevel="0" collapsed="false">
      <c r="A60" s="1" t="s">
        <v>171</v>
      </c>
    </row>
    <row r="61" customFormat="false" ht="12" hidden="false" customHeight="true" outlineLevel="0" collapsed="false">
      <c r="A61" s="1" t="s">
        <v>172</v>
      </c>
      <c r="B61" s="46"/>
      <c r="C61" s="46"/>
      <c r="D61" s="46"/>
      <c r="E61" s="46"/>
      <c r="F61" s="46"/>
    </row>
    <row r="62" customFormat="false" ht="12" hidden="false" customHeight="true" outlineLevel="0" collapsed="false">
      <c r="A62" s="1" t="s">
        <v>173</v>
      </c>
      <c r="B62" s="46"/>
      <c r="C62" s="46"/>
      <c r="D62" s="46"/>
      <c r="E62" s="46"/>
      <c r="F62" s="46"/>
    </row>
    <row r="63" customFormat="false" ht="12" hidden="false" customHeight="true" outlineLevel="0" collapsed="false">
      <c r="A63" s="1" t="s">
        <v>174</v>
      </c>
      <c r="B63" s="46"/>
      <c r="C63" s="46"/>
      <c r="D63" s="46"/>
      <c r="E63" s="46"/>
      <c r="F63" s="46"/>
    </row>
    <row r="64" customFormat="false" ht="12" hidden="false" customHeight="true" outlineLevel="0" collapsed="false">
      <c r="A64" s="1" t="s">
        <v>175</v>
      </c>
      <c r="B64" s="46" t="n">
        <v>11835429</v>
      </c>
      <c r="C64" s="46" t="n">
        <v>11187828</v>
      </c>
      <c r="D64" s="46" t="n">
        <v>59576826</v>
      </c>
      <c r="E64" s="46" t="n">
        <v>74827711</v>
      </c>
      <c r="F64" s="46" t="n">
        <v>88909004</v>
      </c>
    </row>
    <row r="65" customFormat="false" ht="12" hidden="false" customHeight="true" outlineLevel="0" collapsed="false">
      <c r="A65" s="36" t="s">
        <v>176</v>
      </c>
      <c r="B65" s="36"/>
      <c r="C65" s="36"/>
      <c r="D65" s="36"/>
      <c r="E65" s="36"/>
      <c r="F65" s="36"/>
      <c r="G65" s="36"/>
      <c r="H65" s="36"/>
    </row>
    <row r="67" customFormat="false" ht="12" hidden="false" customHeight="true" outlineLevel="0" collapsed="false">
      <c r="A67" s="1" t="s">
        <v>177</v>
      </c>
      <c r="B67" s="46" t="s">
        <v>76</v>
      </c>
      <c r="C67" s="1" t="s">
        <v>77</v>
      </c>
      <c r="D67" s="1" t="s">
        <v>178</v>
      </c>
      <c r="E67" s="1" t="s">
        <v>58</v>
      </c>
      <c r="F67" s="1" t="s">
        <v>179</v>
      </c>
    </row>
    <row r="68" customFormat="false" ht="12" hidden="false" customHeight="true" outlineLevel="0" collapsed="false">
      <c r="A68" s="1" t="s">
        <v>180</v>
      </c>
      <c r="B68" s="46" t="s">
        <v>181</v>
      </c>
      <c r="C68" s="1" t="s">
        <v>182</v>
      </c>
      <c r="D68" s="1" t="s">
        <v>183</v>
      </c>
      <c r="E68" s="1" t="s">
        <v>184</v>
      </c>
      <c r="F68" s="1" t="s">
        <v>185</v>
      </c>
    </row>
    <row r="69" customFormat="false" ht="12" hidden="false" customHeight="true" outlineLevel="0" collapsed="false">
      <c r="A69" s="1" t="s">
        <v>186</v>
      </c>
      <c r="B69" s="46" t="s">
        <v>187</v>
      </c>
      <c r="C69" s="1" t="s">
        <v>188</v>
      </c>
      <c r="D69" s="1" t="s">
        <v>183</v>
      </c>
      <c r="E69" s="1" t="s">
        <v>184</v>
      </c>
      <c r="F69" s="1" t="s">
        <v>189</v>
      </c>
    </row>
    <row r="70" customFormat="false" ht="12" hidden="false" customHeight="true" outlineLevel="0" collapsed="false">
      <c r="A70" s="1" t="s">
        <v>190</v>
      </c>
      <c r="B70" s="46" t="s">
        <v>191</v>
      </c>
      <c r="C70" s="1" t="s">
        <v>192</v>
      </c>
      <c r="D70" s="1" t="s">
        <v>183</v>
      </c>
      <c r="E70" s="1" t="s">
        <v>184</v>
      </c>
      <c r="F70" s="1" t="s">
        <v>193</v>
      </c>
    </row>
    <row r="71" customFormat="false" ht="12" hidden="false" customHeight="true" outlineLevel="0" collapsed="false">
      <c r="A71" s="1" t="s">
        <v>194</v>
      </c>
      <c r="B71" s="46" t="s">
        <v>195</v>
      </c>
      <c r="C71" s="1" t="s">
        <v>196</v>
      </c>
      <c r="D71" s="1" t="s">
        <v>126</v>
      </c>
      <c r="E71" s="1" t="s">
        <v>184</v>
      </c>
      <c r="F71" s="1" t="s">
        <v>197</v>
      </c>
    </row>
    <row r="72" customFormat="false" ht="12" hidden="false" customHeight="true" outlineLevel="0" collapsed="false">
      <c r="A72" s="1" t="s">
        <v>198</v>
      </c>
      <c r="B72" s="1" t="s">
        <v>199</v>
      </c>
      <c r="C72" s="1" t="s">
        <v>200</v>
      </c>
      <c r="D72" s="1" t="s">
        <v>201</v>
      </c>
      <c r="E72" s="1" t="s">
        <v>184</v>
      </c>
      <c r="F72" s="1" t="s">
        <v>202</v>
      </c>
    </row>
    <row r="73" customFormat="false" ht="12" hidden="false" customHeight="true" outlineLevel="0" collapsed="false">
      <c r="A73" s="1" t="s">
        <v>203</v>
      </c>
      <c r="B73" s="1" t="s">
        <v>121</v>
      </c>
      <c r="C73" s="1" t="s">
        <v>122</v>
      </c>
      <c r="D73" s="1" t="s">
        <v>183</v>
      </c>
      <c r="E73" s="1" t="s">
        <v>184</v>
      </c>
      <c r="F73" s="1" t="s">
        <v>204</v>
      </c>
    </row>
    <row r="74" customFormat="false" ht="12" hidden="false" customHeight="true" outlineLevel="0" collapsed="false">
      <c r="A74" s="1" t="s">
        <v>205</v>
      </c>
      <c r="B74" s="1" t="s">
        <v>206</v>
      </c>
      <c r="C74" s="1" t="s">
        <v>207</v>
      </c>
      <c r="D74" s="1" t="s">
        <v>208</v>
      </c>
      <c r="E74" s="1" t="s">
        <v>184</v>
      </c>
      <c r="F74" s="1" t="s">
        <v>209</v>
      </c>
    </row>
    <row r="75" customFormat="false" ht="12" hidden="false" customHeight="true" outlineLevel="0" collapsed="false">
      <c r="A75" s="1" t="s">
        <v>210</v>
      </c>
      <c r="B75" s="1" t="s">
        <v>211</v>
      </c>
      <c r="C75" s="1" t="s">
        <v>212</v>
      </c>
      <c r="D75" s="1" t="s">
        <v>213</v>
      </c>
      <c r="E75" s="1" t="s">
        <v>184</v>
      </c>
      <c r="F75" s="1" t="s">
        <v>214</v>
      </c>
    </row>
    <row r="77" customFormat="false" ht="12" hidden="false" customHeight="true" outlineLevel="0" collapsed="false">
      <c r="A77" s="36" t="s">
        <v>215</v>
      </c>
      <c r="B77" s="36"/>
      <c r="C77" s="36"/>
      <c r="D77" s="36"/>
      <c r="E77" s="36"/>
      <c r="F77" s="36"/>
      <c r="G77" s="36"/>
      <c r="H77" s="36"/>
    </row>
    <row r="79" customFormat="false" ht="12" hidden="false" customHeight="true" outlineLevel="0" collapsed="false">
      <c r="A79" s="1" t="s">
        <v>216</v>
      </c>
      <c r="B79" s="1" t="s">
        <v>217</v>
      </c>
      <c r="C79" s="1" t="s">
        <v>58</v>
      </c>
      <c r="D79" s="1" t="s">
        <v>218</v>
      </c>
    </row>
    <row r="80" customFormat="false" ht="12" hidden="false" customHeight="true" outlineLevel="0" collapsed="false">
      <c r="A80" s="1" t="s">
        <v>219</v>
      </c>
      <c r="B80" s="1" t="s">
        <v>220</v>
      </c>
      <c r="C80" s="1" t="s">
        <v>221</v>
      </c>
      <c r="D80" s="1" t="s">
        <v>222</v>
      </c>
    </row>
    <row r="81" customFormat="false" ht="12" hidden="false" customHeight="true" outlineLevel="0" collapsed="false">
      <c r="A81" s="1" t="s">
        <v>223</v>
      </c>
      <c r="B81" s="1" t="s">
        <v>224</v>
      </c>
      <c r="C81" s="1" t="s">
        <v>184</v>
      </c>
      <c r="D81" s="1" t="s">
        <v>225</v>
      </c>
    </row>
    <row r="82" customFormat="false" ht="12" hidden="false" customHeight="true" outlineLevel="0" collapsed="false">
      <c r="A82" s="1" t="s">
        <v>226</v>
      </c>
      <c r="B82" s="1" t="s">
        <v>224</v>
      </c>
      <c r="C82" s="1" t="s">
        <v>184</v>
      </c>
      <c r="D82" s="1" t="s">
        <v>225</v>
      </c>
    </row>
    <row r="83" customFormat="false" ht="12" hidden="false" customHeight="true" outlineLevel="0" collapsed="false">
      <c r="A83" s="1" t="s">
        <v>227</v>
      </c>
      <c r="B83" s="1" t="s">
        <v>224</v>
      </c>
      <c r="C83" s="1" t="s">
        <v>184</v>
      </c>
      <c r="D83" s="1" t="s">
        <v>225</v>
      </c>
    </row>
    <row r="84" customFormat="false" ht="12" hidden="false" customHeight="true" outlineLevel="0" collapsed="false">
      <c r="A84" s="1" t="s">
        <v>228</v>
      </c>
      <c r="B84" s="1" t="s">
        <v>229</v>
      </c>
      <c r="C84" s="1" t="s">
        <v>184</v>
      </c>
      <c r="D84" s="1" t="s">
        <v>230</v>
      </c>
    </row>
    <row r="85" customFormat="false" ht="12" hidden="false" customHeight="true" outlineLevel="0" collapsed="false">
      <c r="A85" s="1" t="s">
        <v>212</v>
      </c>
      <c r="B85" s="1" t="s">
        <v>231</v>
      </c>
      <c r="C85" s="1" t="s">
        <v>184</v>
      </c>
      <c r="D85" s="1" t="s">
        <v>232</v>
      </c>
    </row>
    <row r="87" customFormat="false" ht="12" hidden="false" customHeight="true" outlineLevel="0" collapsed="false">
      <c r="A87" s="36" t="s">
        <v>233</v>
      </c>
      <c r="B87" s="36"/>
      <c r="C87" s="36"/>
      <c r="D87" s="36"/>
      <c r="E87" s="36"/>
      <c r="F87" s="36"/>
      <c r="G87" s="36"/>
      <c r="H87" s="36"/>
    </row>
    <row r="89" customFormat="false" ht="12" hidden="false" customHeight="true" outlineLevel="0" collapsed="false">
      <c r="A89" s="1" t="s">
        <v>201</v>
      </c>
      <c r="B89" s="1" t="s">
        <v>127</v>
      </c>
      <c r="C89" s="1" t="s">
        <v>128</v>
      </c>
      <c r="D89" s="1" t="s">
        <v>234</v>
      </c>
      <c r="E89" s="1" t="s">
        <v>58</v>
      </c>
    </row>
    <row r="90" customFormat="false" ht="12" hidden="false" customHeight="true" outlineLevel="0" collapsed="false">
      <c r="A90" s="1" t="s">
        <v>235</v>
      </c>
      <c r="B90" s="46" t="n">
        <v>63473726</v>
      </c>
      <c r="C90" s="46" t="n">
        <v>63473726</v>
      </c>
      <c r="D90" s="46" t="n">
        <v>0</v>
      </c>
      <c r="E90" s="1" t="s">
        <v>184</v>
      </c>
    </row>
    <row r="91" customFormat="false" ht="12" hidden="false" customHeight="true" outlineLevel="0" collapsed="false">
      <c r="A91" s="1" t="s">
        <v>236</v>
      </c>
      <c r="B91" s="46" t="n">
        <v>167140846</v>
      </c>
      <c r="C91" s="46" t="n">
        <v>167140846</v>
      </c>
      <c r="D91" s="46" t="n">
        <v>0</v>
      </c>
      <c r="E91" s="1" t="s">
        <v>184</v>
      </c>
    </row>
    <row r="92" customFormat="false" ht="12" hidden="false" customHeight="true" outlineLevel="0" collapsed="false">
      <c r="A92" s="1" t="s">
        <v>237</v>
      </c>
      <c r="B92" s="1" t="s">
        <v>238</v>
      </c>
      <c r="C92" s="46" t="n">
        <v>0</v>
      </c>
      <c r="D92" s="46" t="n">
        <v>0</v>
      </c>
      <c r="E92" s="1" t="s">
        <v>184</v>
      </c>
    </row>
    <row r="93" customFormat="false" ht="12" hidden="false" customHeight="true" outlineLevel="0" collapsed="false">
      <c r="A93" s="1" t="s">
        <v>239</v>
      </c>
      <c r="B93" s="1" t="s">
        <v>240</v>
      </c>
      <c r="C93" s="1" t="s">
        <v>241</v>
      </c>
      <c r="D93" s="46" t="n">
        <v>0</v>
      </c>
      <c r="E93" s="1" t="s">
        <v>184</v>
      </c>
    </row>
    <row r="94" customFormat="false" ht="12" hidden="false" customHeight="true" outlineLevel="0" collapsed="false">
      <c r="A94" s="1" t="s">
        <v>242</v>
      </c>
    </row>
    <row r="95" customFormat="false" ht="12" hidden="false" customHeight="true" outlineLevel="0" collapsed="false">
      <c r="A95" s="54" t="s">
        <v>243</v>
      </c>
      <c r="B95" s="54"/>
      <c r="C95" s="54"/>
      <c r="D95" s="54"/>
      <c r="E95" s="54"/>
      <c r="F95" s="54"/>
      <c r="G95" s="54"/>
      <c r="H95" s="54"/>
    </row>
    <row r="97" customFormat="false" ht="12" hidden="false" customHeight="true" outlineLevel="0" collapsed="false">
      <c r="A97" s="1" t="s">
        <v>216</v>
      </c>
      <c r="B97" s="1" t="s">
        <v>244</v>
      </c>
      <c r="C97" s="1" t="s">
        <v>245</v>
      </c>
      <c r="D97" s="1" t="s">
        <v>246</v>
      </c>
      <c r="E97" s="1" t="s">
        <v>247</v>
      </c>
    </row>
    <row r="98" customFormat="false" ht="12" hidden="false" customHeight="true" outlineLevel="0" collapsed="false">
      <c r="A98" s="1" t="s">
        <v>248</v>
      </c>
      <c r="B98" s="1" t="n">
        <v>835</v>
      </c>
      <c r="C98" s="1" t="s">
        <v>132</v>
      </c>
      <c r="D98" s="1" t="s">
        <v>249</v>
      </c>
      <c r="E98" s="1" t="s">
        <v>250</v>
      </c>
    </row>
    <row r="99" customFormat="false" ht="12" hidden="false" customHeight="true" outlineLevel="0" collapsed="false">
      <c r="A99" s="1" t="s">
        <v>251</v>
      </c>
      <c r="B99" s="1" t="n">
        <v>718</v>
      </c>
      <c r="C99" s="1" t="s">
        <v>132</v>
      </c>
      <c r="D99" s="1" t="s">
        <v>249</v>
      </c>
      <c r="E99" s="1" t="s">
        <v>250</v>
      </c>
    </row>
    <row r="100" customFormat="false" ht="12" hidden="false" customHeight="true" outlineLevel="0" collapsed="false">
      <c r="A100" s="1" t="s">
        <v>252</v>
      </c>
      <c r="B100" s="1" t="n">
        <v>205</v>
      </c>
      <c r="C100" s="1" t="s">
        <v>132</v>
      </c>
      <c r="D100" s="1" t="s">
        <v>253</v>
      </c>
      <c r="E100" s="1" t="s">
        <v>254</v>
      </c>
    </row>
    <row r="101" customFormat="false" ht="12" hidden="false" customHeight="true" outlineLevel="0" collapsed="false">
      <c r="A101" s="1" t="s">
        <v>255</v>
      </c>
      <c r="B101" s="1" t="n">
        <v>176</v>
      </c>
      <c r="C101" s="1" t="s">
        <v>132</v>
      </c>
      <c r="D101" s="1" t="s">
        <v>256</v>
      </c>
      <c r="E101" s="1" t="s">
        <v>254</v>
      </c>
    </row>
    <row r="102" customFormat="false" ht="12" hidden="false" customHeight="true" outlineLevel="0" collapsed="false">
      <c r="A102" s="1" t="s">
        <v>257</v>
      </c>
      <c r="B102" s="1" t="n">
        <v>47</v>
      </c>
      <c r="C102" s="1" t="s">
        <v>132</v>
      </c>
      <c r="D102" s="1" t="s">
        <v>258</v>
      </c>
      <c r="E102" s="1" t="s">
        <v>259</v>
      </c>
    </row>
    <row r="103" customFormat="false" ht="12" hidden="false" customHeight="true" outlineLevel="0" collapsed="false">
      <c r="A103" s="1" t="s">
        <v>260</v>
      </c>
      <c r="B103" s="1" t="n">
        <v>1</v>
      </c>
      <c r="C103" s="1" t="s">
        <v>132</v>
      </c>
      <c r="D103" s="1" t="s">
        <v>261</v>
      </c>
      <c r="E103" s="1" t="s">
        <v>262</v>
      </c>
    </row>
    <row r="104" customFormat="false" ht="12" hidden="false" customHeight="true" outlineLevel="0" collapsed="false">
      <c r="A104" s="1" t="s">
        <v>263</v>
      </c>
      <c r="B104" s="1" t="n">
        <v>4</v>
      </c>
      <c r="C104" s="1" t="s">
        <v>132</v>
      </c>
      <c r="D104" s="1" t="s">
        <v>264</v>
      </c>
      <c r="E104" s="1" t="s">
        <v>265</v>
      </c>
    </row>
    <row r="106" customFormat="false" ht="12" hidden="false" customHeight="true" outlineLevel="0" collapsed="false">
      <c r="A106" s="55" t="s">
        <v>266</v>
      </c>
      <c r="B106" s="55"/>
      <c r="C106" s="55"/>
      <c r="D106" s="55"/>
      <c r="E106" s="55"/>
      <c r="F106" s="55"/>
      <c r="G106" s="55"/>
      <c r="H106" s="55"/>
    </row>
    <row r="108" customFormat="false" ht="12" hidden="false" customHeight="true" outlineLevel="0" collapsed="false">
      <c r="A108" s="1" t="s">
        <v>267</v>
      </c>
      <c r="B108" s="1" t="s">
        <v>268</v>
      </c>
      <c r="C108" s="1" t="s">
        <v>269</v>
      </c>
      <c r="D108" s="1" t="s">
        <v>270</v>
      </c>
    </row>
    <row r="109" customFormat="false" ht="12" hidden="false" customHeight="true" outlineLevel="0" collapsed="false">
      <c r="A109" s="1" t="s">
        <v>271</v>
      </c>
      <c r="B109" s="1" t="s">
        <v>272</v>
      </c>
      <c r="C109" s="1" t="s">
        <v>273</v>
      </c>
      <c r="D109" s="1" t="s">
        <v>274</v>
      </c>
    </row>
    <row r="110" customFormat="false" ht="12" hidden="false" customHeight="true" outlineLevel="0" collapsed="false">
      <c r="A110" s="1" t="s">
        <v>275</v>
      </c>
      <c r="B110" s="1" t="s">
        <v>276</v>
      </c>
      <c r="C110" s="1" t="s">
        <v>277</v>
      </c>
      <c r="D110" s="1" t="s">
        <v>274</v>
      </c>
    </row>
    <row r="111" customFormat="false" ht="12" hidden="false" customHeight="true" outlineLevel="0" collapsed="false">
      <c r="A111" s="1" t="s">
        <v>278</v>
      </c>
      <c r="B111" s="1" t="s">
        <v>279</v>
      </c>
      <c r="C111" s="1" t="s">
        <v>257</v>
      </c>
      <c r="D111" s="1" t="s">
        <v>280</v>
      </c>
    </row>
    <row r="112" customFormat="false" ht="12" hidden="false" customHeight="true" outlineLevel="0" collapsed="false">
      <c r="A112" s="1" t="s">
        <v>281</v>
      </c>
      <c r="B112" s="1" t="s">
        <v>282</v>
      </c>
      <c r="C112" s="1" t="s">
        <v>260</v>
      </c>
      <c r="D112" s="1" t="s">
        <v>280</v>
      </c>
    </row>
    <row r="113" customFormat="false" ht="12" hidden="false" customHeight="true" outlineLevel="0" collapsed="false">
      <c r="A113" s="1" t="s">
        <v>283</v>
      </c>
      <c r="B113" s="1" t="s">
        <v>284</v>
      </c>
      <c r="C113" s="1" t="s">
        <v>263</v>
      </c>
      <c r="D113" s="1" t="s">
        <v>280</v>
      </c>
    </row>
    <row r="115" customFormat="false" ht="12" hidden="false" customHeight="true" outlineLevel="0" collapsed="false">
      <c r="A115" s="1" t="s">
        <v>285</v>
      </c>
    </row>
    <row r="116" customFormat="false" ht="12" hidden="false" customHeight="true" outlineLevel="0" collapsed="false">
      <c r="A116" s="1" t="s">
        <v>286</v>
      </c>
    </row>
    <row r="118" customFormat="false" ht="12" hidden="false" customHeight="true" outlineLevel="0" collapsed="false">
      <c r="A118" s="1" t="s">
        <v>287</v>
      </c>
    </row>
    <row r="120" customFormat="false" ht="12" hidden="false" customHeight="true" outlineLevel="0" collapsed="false">
      <c r="A120" s="1" t="s">
        <v>288</v>
      </c>
    </row>
    <row r="121" customFormat="false" ht="12" hidden="false" customHeight="true" outlineLevel="0" collapsed="false">
      <c r="A121" s="56" t="s">
        <v>289</v>
      </c>
      <c r="B121" s="56"/>
      <c r="C121" s="56"/>
      <c r="D121" s="56"/>
      <c r="E121" s="56"/>
      <c r="F121" s="56"/>
      <c r="G121" s="56"/>
      <c r="H121" s="56"/>
    </row>
    <row r="123" customFormat="false" ht="12" hidden="false" customHeight="true" outlineLevel="0" collapsed="false">
      <c r="A123" s="1" t="s">
        <v>290</v>
      </c>
    </row>
    <row r="124" customFormat="false" ht="12" hidden="false" customHeight="true" outlineLevel="0" collapsed="false">
      <c r="A124" s="1" t="s">
        <v>291</v>
      </c>
    </row>
    <row r="126" customFormat="false" ht="12" hidden="false" customHeight="true" outlineLevel="0" collapsed="false">
      <c r="A126" s="1" t="s">
        <v>292</v>
      </c>
      <c r="B126" s="1" t="s">
        <v>165</v>
      </c>
      <c r="C126" s="1" t="s">
        <v>58</v>
      </c>
    </row>
    <row r="127" customFormat="false" ht="12" hidden="false" customHeight="true" outlineLevel="0" collapsed="false">
      <c r="A127" s="1" t="s">
        <v>293</v>
      </c>
      <c r="B127" s="1" t="n">
        <v>37</v>
      </c>
      <c r="C127" s="1" t="s">
        <v>294</v>
      </c>
    </row>
    <row r="129" customFormat="false" ht="12" hidden="false" customHeight="true" outlineLevel="0" collapsed="false">
      <c r="A129" s="1" t="s">
        <v>295</v>
      </c>
      <c r="B129" s="1" t="n">
        <v>12</v>
      </c>
      <c r="C129" s="1" t="s">
        <v>296</v>
      </c>
    </row>
    <row r="130" customFormat="false" ht="12" hidden="false" customHeight="true" outlineLevel="0" collapsed="false">
      <c r="A130" s="1" t="s">
        <v>297</v>
      </c>
      <c r="B130" s="1" t="n">
        <v>5</v>
      </c>
      <c r="C130" s="1" t="s">
        <v>298</v>
      </c>
    </row>
    <row r="131" customFormat="false" ht="12" hidden="false" customHeight="true" outlineLevel="0" collapsed="false">
      <c r="A131" s="1" t="s">
        <v>299</v>
      </c>
      <c r="B131" s="1" t="n">
        <v>5</v>
      </c>
      <c r="C131" s="1" t="s">
        <v>300</v>
      </c>
    </row>
    <row r="132" customFormat="false" ht="12" hidden="false" customHeight="true" outlineLevel="0" collapsed="false">
      <c r="A132" s="1" t="s">
        <v>301</v>
      </c>
      <c r="B132" s="1" t="n">
        <v>5</v>
      </c>
      <c r="C132" s="1" t="s">
        <v>302</v>
      </c>
    </row>
    <row r="134" customFormat="false" ht="12" hidden="false" customHeight="true" outlineLevel="0" collapsed="false">
      <c r="A134" s="1" t="s">
        <v>303</v>
      </c>
    </row>
    <row r="135" customFormat="false" ht="12" hidden="false" customHeight="true" outlineLevel="0" collapsed="false">
      <c r="A135" s="1" t="s">
        <v>304</v>
      </c>
      <c r="B135" s="46" t="n">
        <v>252422793</v>
      </c>
    </row>
    <row r="136" customFormat="false" ht="12" hidden="false" customHeight="true" outlineLevel="0" collapsed="false">
      <c r="A136" s="1" t="s">
        <v>305</v>
      </c>
      <c r="B136" s="46" t="n">
        <v>109135464</v>
      </c>
    </row>
    <row r="137" customFormat="false" ht="12" hidden="false" customHeight="true" outlineLevel="0" collapsed="false">
      <c r="A137" s="1" t="s">
        <v>306</v>
      </c>
      <c r="B137" s="46" t="n">
        <v>88909004</v>
      </c>
    </row>
    <row r="138" customFormat="false" ht="12" hidden="false" customHeight="true" outlineLevel="0" collapsed="false">
      <c r="A138" s="1" t="s">
        <v>307</v>
      </c>
      <c r="B138" s="46" t="n">
        <v>545677319</v>
      </c>
    </row>
    <row r="141" customFormat="false" ht="12" hidden="false" customHeight="true" outlineLevel="0" collapsed="false">
      <c r="A141" s="1" t="s">
        <v>308</v>
      </c>
    </row>
    <row r="143" customFormat="false" ht="12" hidden="false" customHeight="true" outlineLevel="0" collapsed="false">
      <c r="A143" s="1" t="s">
        <v>309</v>
      </c>
      <c r="B143" s="1" t="n">
        <v>109135464</v>
      </c>
      <c r="C143" s="1" t="s">
        <v>310</v>
      </c>
    </row>
    <row r="144" customFormat="false" ht="12" hidden="false" customHeight="true" outlineLevel="0" collapsed="false">
      <c r="A144" s="1" t="s">
        <v>311</v>
      </c>
      <c r="B144" s="1" t="n">
        <v>545677319</v>
      </c>
      <c r="C144" s="1" t="s">
        <v>310</v>
      </c>
    </row>
    <row r="145" customFormat="false" ht="12" hidden="false" customHeight="true" outlineLevel="0" collapsed="false">
      <c r="A145" s="1" t="s">
        <v>312</v>
      </c>
      <c r="B145" s="57" t="n">
        <v>1.1298</v>
      </c>
      <c r="C145" s="1" t="s">
        <v>313</v>
      </c>
    </row>
    <row r="147" customFormat="false" ht="12" hidden="false" customHeight="true" outlineLevel="0" collapsed="false">
      <c r="A147" s="1" t="s">
        <v>314</v>
      </c>
    </row>
    <row r="149" customFormat="false" ht="12" hidden="false" customHeight="true" outlineLevel="0" collapsed="false">
      <c r="A149" s="1" t="s">
        <v>315</v>
      </c>
    </row>
    <row r="150" customFormat="false" ht="12" hidden="false" customHeight="true" outlineLevel="0" collapsed="false">
      <c r="A150" s="1" t="s">
        <v>316</v>
      </c>
      <c r="B150" s="1" t="s">
        <v>55</v>
      </c>
      <c r="C150" s="1" t="s">
        <v>165</v>
      </c>
      <c r="D150" s="1" t="s">
        <v>268</v>
      </c>
      <c r="E150" s="1" t="s">
        <v>58</v>
      </c>
    </row>
    <row r="153" customFormat="false" ht="12" hidden="false" customHeight="true" outlineLevel="0" collapsed="false">
      <c r="A153" s="1" t="s">
        <v>237</v>
      </c>
      <c r="B153" s="1" t="s">
        <v>317</v>
      </c>
      <c r="C153" s="1" t="s">
        <v>318</v>
      </c>
      <c r="D153" s="1" t="s">
        <v>319</v>
      </c>
      <c r="E153" s="1" t="s">
        <v>83</v>
      </c>
    </row>
    <row r="154" customFormat="false" ht="12" hidden="false" customHeight="true" outlineLevel="0" collapsed="false">
      <c r="A154" s="1" t="s">
        <v>320</v>
      </c>
      <c r="B154" s="1" t="s">
        <v>321</v>
      </c>
      <c r="C154" s="1" t="s">
        <v>318</v>
      </c>
      <c r="D154" s="1" t="s">
        <v>322</v>
      </c>
      <c r="E154" s="1" t="s">
        <v>83</v>
      </c>
    </row>
    <row r="155" customFormat="false" ht="12" hidden="false" customHeight="true" outlineLevel="0" collapsed="false">
      <c r="A155" s="1" t="s">
        <v>323</v>
      </c>
      <c r="B155" s="1" t="s">
        <v>324</v>
      </c>
      <c r="C155" s="1" t="s">
        <v>325</v>
      </c>
      <c r="D155" s="1" t="s">
        <v>326</v>
      </c>
      <c r="E155" s="1" t="s">
        <v>83</v>
      </c>
    </row>
    <row r="156" customFormat="false" ht="12" hidden="false" customHeight="true" outlineLevel="0" collapsed="false">
      <c r="A156" s="1" t="s">
        <v>327</v>
      </c>
      <c r="B156" s="1" t="s">
        <v>328</v>
      </c>
      <c r="C156" s="1" t="s">
        <v>317</v>
      </c>
      <c r="D156" s="1" t="s">
        <v>329</v>
      </c>
      <c r="E156" s="1" t="s">
        <v>83</v>
      </c>
    </row>
    <row r="157" customFormat="false" ht="12" hidden="false" customHeight="true" outlineLevel="0" collapsed="false">
      <c r="A157" s="1" t="s">
        <v>330</v>
      </c>
      <c r="C157" s="1" t="n">
        <v>505</v>
      </c>
      <c r="E157" s="1" t="s">
        <v>331</v>
      </c>
    </row>
    <row r="159" customFormat="false" ht="12" hidden="false" customHeight="true" outlineLevel="0" collapsed="false">
      <c r="A159" s="1" t="s">
        <v>332</v>
      </c>
    </row>
    <row r="160" customFormat="false" ht="12" hidden="false" customHeight="true" outlineLevel="0" collapsed="false">
      <c r="A160" s="1" t="s">
        <v>333</v>
      </c>
      <c r="B160" s="1" t="s">
        <v>334</v>
      </c>
      <c r="C160" s="46" t="n">
        <v>9796385</v>
      </c>
      <c r="D160" s="1" t="s">
        <v>335</v>
      </c>
      <c r="E160" s="1" t="s">
        <v>336</v>
      </c>
    </row>
    <row r="161" customFormat="false" ht="12" hidden="false" customHeight="true" outlineLevel="0" collapsed="false">
      <c r="A161" s="1" t="s">
        <v>337</v>
      </c>
      <c r="B161" s="1" t="s">
        <v>338</v>
      </c>
      <c r="C161" s="46" t="n">
        <v>9797303</v>
      </c>
      <c r="D161" s="1" t="s">
        <v>339</v>
      </c>
      <c r="E161" s="1" t="s">
        <v>340</v>
      </c>
    </row>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N27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C19" activePane="bottomRight" state="frozen"/>
      <selection pane="topLeft" activeCell="A1" activeCellId="0" sqref="A1"/>
      <selection pane="topRight" activeCell="C1" activeCellId="0" sqref="C1"/>
      <selection pane="bottomLeft" activeCell="A19" activeCellId="0" sqref="A19"/>
      <selection pane="bottomRight" activeCell="E9" activeCellId="0" sqref="E9"/>
    </sheetView>
  </sheetViews>
  <sheetFormatPr defaultColWidth="8.54296875" defaultRowHeight="15" customHeight="true" zeroHeight="false" outlineLevelRow="0" outlineLevelCol="0"/>
  <cols>
    <col collapsed="false" customWidth="true" hidden="false" outlineLevel="0" max="1" min="1" style="1" width="3"/>
    <col collapsed="false" customWidth="true" hidden="false" outlineLevel="0" max="2" min="2" style="1" width="32"/>
    <col collapsed="false" customWidth="true" hidden="false" outlineLevel="0" max="14" min="3" style="1" width="26"/>
    <col collapsed="false" customWidth="true" hidden="false" outlineLevel="0" max="16" min="15" style="1" width="13"/>
  </cols>
  <sheetData>
    <row r="1" customFormat="false" ht="7.5" hidden="false" customHeight="true" outlineLevel="0" collapsed="false"/>
    <row r="2" customFormat="false" ht="27.75" hidden="false" customHeight="true" outlineLevel="0" collapsed="false">
      <c r="B2" s="58" t="s">
        <v>341</v>
      </c>
      <c r="C2" s="58"/>
      <c r="D2" s="58"/>
      <c r="E2" s="58"/>
      <c r="F2" s="58"/>
      <c r="G2" s="58"/>
      <c r="H2" s="58"/>
      <c r="I2" s="58"/>
      <c r="J2" s="58"/>
      <c r="K2" s="58"/>
      <c r="L2" s="58"/>
      <c r="M2" s="58"/>
      <c r="N2" s="58"/>
    </row>
    <row r="3" customFormat="false" ht="30" hidden="false" customHeight="true" outlineLevel="0" collapsed="false">
      <c r="B3" s="59" t="s">
        <v>342</v>
      </c>
      <c r="C3" s="59"/>
      <c r="D3" s="59"/>
      <c r="E3" s="59"/>
      <c r="F3" s="59"/>
      <c r="G3" s="59"/>
      <c r="H3" s="59"/>
      <c r="I3" s="59"/>
      <c r="J3" s="59"/>
      <c r="K3" s="59"/>
      <c r="L3" s="59"/>
      <c r="M3" s="59"/>
      <c r="N3" s="59"/>
    </row>
    <row r="4" customFormat="false" ht="12" hidden="false" customHeight="true" outlineLevel="0" collapsed="false"/>
    <row r="5" customFormat="false" ht="21.75" hidden="false" customHeight="true" outlineLevel="0" collapsed="false">
      <c r="B5" s="60" t="s">
        <v>343</v>
      </c>
      <c r="C5" s="60"/>
      <c r="D5" s="60"/>
      <c r="E5" s="60"/>
      <c r="F5" s="60"/>
      <c r="G5" s="60"/>
      <c r="H5" s="60"/>
      <c r="I5" s="60"/>
      <c r="J5" s="60"/>
      <c r="K5" s="60"/>
      <c r="L5" s="60"/>
      <c r="M5" s="60"/>
      <c r="N5" s="60"/>
    </row>
    <row r="6" customFormat="false" ht="30" hidden="false" customHeight="true" outlineLevel="0" collapsed="false">
      <c r="B6" s="61" t="s">
        <v>344</v>
      </c>
      <c r="C6" s="61" t="s">
        <v>165</v>
      </c>
      <c r="D6" s="61" t="s">
        <v>345</v>
      </c>
      <c r="E6" s="61" t="s">
        <v>346</v>
      </c>
      <c r="F6" s="61" t="s">
        <v>347</v>
      </c>
      <c r="G6" s="61" t="s">
        <v>348</v>
      </c>
      <c r="H6" s="61" t="s">
        <v>349</v>
      </c>
      <c r="I6" s="61" t="s">
        <v>350</v>
      </c>
    </row>
    <row r="7" customFormat="false" ht="15" hidden="false" customHeight="true" outlineLevel="0" collapsed="false">
      <c r="B7" s="62" t="s">
        <v>351</v>
      </c>
      <c r="C7" s="63" t="n">
        <v>124</v>
      </c>
      <c r="D7" s="30" t="n">
        <v>16.3704032258065</v>
      </c>
      <c r="E7" s="30" t="n">
        <v>14.36</v>
      </c>
      <c r="F7" s="64" t="n">
        <v>0.264957264957265</v>
      </c>
      <c r="G7" s="65" t="n">
        <v>2029.93</v>
      </c>
      <c r="H7" s="66" t="n">
        <v>348.177661290323</v>
      </c>
      <c r="I7" s="63" t="n">
        <v>151.25233025</v>
      </c>
    </row>
    <row r="8" customFormat="false" ht="15" hidden="false" customHeight="true" outlineLevel="0" collapsed="false">
      <c r="B8" s="62" t="s">
        <v>352</v>
      </c>
      <c r="C8" s="63" t="n">
        <v>159</v>
      </c>
      <c r="D8" s="30" t="n">
        <v>30.7751572327044</v>
      </c>
      <c r="E8" s="30" t="n">
        <v>27.48</v>
      </c>
      <c r="F8" s="64" t="n">
        <v>0.33974358974359</v>
      </c>
      <c r="G8" s="65" t="n">
        <v>4893.25</v>
      </c>
      <c r="H8" s="66" t="n">
        <v>847.506666666667</v>
      </c>
      <c r="I8" s="63" t="n">
        <v>535.717171358491</v>
      </c>
    </row>
    <row r="9" customFormat="false" ht="15" hidden="false" customHeight="true" outlineLevel="0" collapsed="false">
      <c r="B9" s="62" t="s">
        <v>353</v>
      </c>
      <c r="C9" s="63" t="n">
        <v>185</v>
      </c>
      <c r="D9" s="30" t="n">
        <v>75.2491891891892</v>
      </c>
      <c r="E9" s="30" t="n">
        <v>68.48</v>
      </c>
      <c r="F9" s="64" t="n">
        <v>0.395299145299145</v>
      </c>
      <c r="G9" s="65" t="n">
        <v>13921.1</v>
      </c>
      <c r="H9" s="66" t="n">
        <v>3586.96086486487</v>
      </c>
      <c r="I9" s="63" t="n">
        <v>2551.77587722703</v>
      </c>
    </row>
    <row r="10" customFormat="false" ht="15" hidden="false" customHeight="true" outlineLevel="0" collapsed="false">
      <c r="B10" s="62" t="s">
        <v>354</v>
      </c>
      <c r="C10" s="63" t="n">
        <v>0</v>
      </c>
      <c r="D10" s="30"/>
      <c r="E10" s="30"/>
      <c r="F10" s="64" t="n">
        <v>0</v>
      </c>
      <c r="G10" s="65" t="n">
        <v>0</v>
      </c>
      <c r="H10" s="66"/>
      <c r="I10" s="63"/>
    </row>
    <row r="11" customFormat="false" ht="15" hidden="false" customHeight="true" outlineLevel="0" collapsed="false">
      <c r="B11" s="67" t="s">
        <v>355</v>
      </c>
      <c r="C11" s="68" t="n">
        <v>334</v>
      </c>
      <c r="G11" s="68" t="n">
        <v>14708.91</v>
      </c>
    </row>
    <row r="12" customFormat="false" ht="12" hidden="false" customHeight="true" outlineLevel="0" collapsed="false"/>
    <row r="13" customFormat="false" ht="21.75" hidden="false" customHeight="true" outlineLevel="0" collapsed="false">
      <c r="B13" s="69" t="s">
        <v>356</v>
      </c>
      <c r="C13" s="69"/>
      <c r="D13" s="69"/>
      <c r="E13" s="69"/>
      <c r="F13" s="69"/>
      <c r="G13" s="69"/>
      <c r="H13" s="69"/>
      <c r="I13" s="69"/>
      <c r="J13" s="69"/>
      <c r="K13" s="69"/>
      <c r="L13" s="69"/>
      <c r="M13" s="69"/>
      <c r="N13" s="69"/>
    </row>
    <row r="14" customFormat="false" ht="15" hidden="false" customHeight="true" outlineLevel="0" collapsed="false">
      <c r="B14" s="62" t="s">
        <v>357</v>
      </c>
      <c r="C14" s="70" t="n">
        <v>115</v>
      </c>
      <c r="D14" s="71" t="s">
        <v>358</v>
      </c>
      <c r="E14" s="71"/>
      <c r="F14" s="71"/>
      <c r="G14" s="71"/>
      <c r="H14" s="71"/>
      <c r="I14" s="71"/>
      <c r="J14" s="71"/>
      <c r="K14" s="71"/>
      <c r="L14" s="71"/>
      <c r="M14" s="71"/>
      <c r="N14" s="71"/>
    </row>
    <row r="15" customFormat="false" ht="15" hidden="false" customHeight="true" outlineLevel="0" collapsed="false">
      <c r="B15" s="62" t="s">
        <v>359</v>
      </c>
      <c r="C15" s="24" t="n">
        <v>0.2</v>
      </c>
      <c r="D15" s="71" t="s">
        <v>360</v>
      </c>
      <c r="E15" s="71"/>
      <c r="F15" s="71"/>
      <c r="G15" s="71"/>
      <c r="H15" s="71"/>
      <c r="I15" s="71"/>
      <c r="J15" s="71"/>
      <c r="K15" s="71"/>
      <c r="L15" s="71"/>
      <c r="M15" s="71"/>
      <c r="N15" s="71"/>
    </row>
    <row r="16" customFormat="false" ht="15" hidden="false" customHeight="true" outlineLevel="0" collapsed="false">
      <c r="B16" s="62" t="s">
        <v>361</v>
      </c>
      <c r="C16" s="26" t="n">
        <v>1.55</v>
      </c>
      <c r="D16" s="71" t="s">
        <v>362</v>
      </c>
      <c r="E16" s="71"/>
      <c r="F16" s="71"/>
      <c r="G16" s="71"/>
      <c r="H16" s="71"/>
      <c r="I16" s="71"/>
      <c r="J16" s="71"/>
      <c r="K16" s="71"/>
      <c r="L16" s="71"/>
      <c r="M16" s="71"/>
      <c r="N16" s="71"/>
    </row>
    <row r="17" customFormat="false" ht="12" hidden="false" customHeight="true" outlineLevel="0" collapsed="false"/>
    <row r="18" customFormat="false" ht="42" hidden="false" customHeight="true" outlineLevel="0" collapsed="false">
      <c r="B18" s="61" t="s">
        <v>344</v>
      </c>
      <c r="C18" s="61" t="s">
        <v>363</v>
      </c>
      <c r="D18" s="61" t="s">
        <v>364</v>
      </c>
      <c r="E18" s="61" t="s">
        <v>365</v>
      </c>
      <c r="F18" s="61" t="s">
        <v>366</v>
      </c>
      <c r="G18" s="61" t="s">
        <v>367</v>
      </c>
      <c r="H18" s="61" t="s">
        <v>368</v>
      </c>
      <c r="I18" s="61" t="s">
        <v>369</v>
      </c>
      <c r="J18" s="61" t="s">
        <v>370</v>
      </c>
      <c r="K18" s="61" t="s">
        <v>371</v>
      </c>
    </row>
    <row r="19" customFormat="false" ht="15" hidden="false" customHeight="true" outlineLevel="0" collapsed="false">
      <c r="B19" s="62" t="s">
        <v>351</v>
      </c>
      <c r="C19" s="26" t="n">
        <v>14.36</v>
      </c>
      <c r="D19" s="30" t="n">
        <f aca="false">C19*C15</f>
        <v>2.872</v>
      </c>
      <c r="E19" s="66" t="n">
        <f aca="false">D19*C14</f>
        <v>330.28</v>
      </c>
      <c r="F19" s="72" t="n">
        <f aca="false">E19*C16</f>
        <v>511.934</v>
      </c>
      <c r="G19" s="26" t="n">
        <v>1.2</v>
      </c>
      <c r="H19" s="26" t="n">
        <v>1.4</v>
      </c>
      <c r="I19" s="66" t="n">
        <f aca="false">F19</f>
        <v>511.934</v>
      </c>
      <c r="J19" s="66" t="n">
        <f aca="false">F19*G19</f>
        <v>614.3208</v>
      </c>
      <c r="K19" s="66" t="n">
        <f aca="false">F19*H19</f>
        <v>716.7076</v>
      </c>
    </row>
    <row r="20" customFormat="false" ht="15" hidden="false" customHeight="true" outlineLevel="0" collapsed="false">
      <c r="B20" s="62" t="s">
        <v>352</v>
      </c>
      <c r="C20" s="26" t="n">
        <v>27.48</v>
      </c>
      <c r="D20" s="30" t="n">
        <f aca="false">C20*C15</f>
        <v>5.496</v>
      </c>
      <c r="E20" s="66" t="n">
        <f aca="false">D20*C14</f>
        <v>632.04</v>
      </c>
      <c r="F20" s="72" t="n">
        <f aca="false">E20*C16</f>
        <v>979.662</v>
      </c>
      <c r="G20" s="26" t="n">
        <v>1.25</v>
      </c>
      <c r="H20" s="26" t="n">
        <v>1.5</v>
      </c>
      <c r="I20" s="66" t="n">
        <f aca="false">F20</f>
        <v>979.662</v>
      </c>
      <c r="J20" s="66" t="n">
        <f aca="false">F20*G20</f>
        <v>1224.5775</v>
      </c>
      <c r="K20" s="66" t="n">
        <f aca="false">F20*H20</f>
        <v>1469.493</v>
      </c>
    </row>
    <row r="21" customFormat="false" ht="15" hidden="false" customHeight="true" outlineLevel="0" collapsed="false">
      <c r="B21" s="62" t="s">
        <v>353</v>
      </c>
      <c r="C21" s="26" t="n">
        <v>68.48</v>
      </c>
      <c r="D21" s="30" t="n">
        <f aca="false">C21*C15</f>
        <v>13.696</v>
      </c>
      <c r="E21" s="66" t="n">
        <f aca="false">D21*C14</f>
        <v>1575.04</v>
      </c>
      <c r="F21" s="72" t="n">
        <f aca="false">E21*C16</f>
        <v>2441.312</v>
      </c>
      <c r="G21" s="26" t="n">
        <v>1.3</v>
      </c>
      <c r="H21" s="26" t="n">
        <v>1.55</v>
      </c>
      <c r="I21" s="66" t="n">
        <f aca="false">F21</f>
        <v>2441.312</v>
      </c>
      <c r="J21" s="66" t="n">
        <f aca="false">F21*G21</f>
        <v>3173.7056</v>
      </c>
      <c r="K21" s="66" t="n">
        <f aca="false">F21*H21</f>
        <v>3784.0336</v>
      </c>
    </row>
    <row r="22" customFormat="false" ht="15" hidden="false" customHeight="true" outlineLevel="0" collapsed="false">
      <c r="B22" s="62" t="s">
        <v>354</v>
      </c>
      <c r="C22" s="26" t="n">
        <v>140</v>
      </c>
      <c r="D22" s="30" t="n">
        <f aca="false">C22*C15</f>
        <v>28</v>
      </c>
      <c r="E22" s="66" t="n">
        <f aca="false">D22*C14</f>
        <v>3220</v>
      </c>
      <c r="F22" s="72" t="n">
        <f aca="false">E22*C16</f>
        <v>4991</v>
      </c>
      <c r="G22" s="26" t="n">
        <v>1.35</v>
      </c>
      <c r="H22" s="26" t="n">
        <v>1.6</v>
      </c>
      <c r="I22" s="66" t="n">
        <f aca="false">F22</f>
        <v>4991</v>
      </c>
      <c r="J22" s="66" t="n">
        <f aca="false">F22*G22</f>
        <v>6737.85</v>
      </c>
      <c r="K22" s="66" t="n">
        <f aca="false">F22*H22</f>
        <v>7985.6</v>
      </c>
    </row>
    <row r="23" customFormat="false" ht="12" hidden="false" customHeight="true" outlineLevel="0" collapsed="false"/>
    <row r="24" customFormat="false" ht="21.75" hidden="false" customHeight="true" outlineLevel="0" collapsed="false">
      <c r="B24" s="69" t="s">
        <v>372</v>
      </c>
      <c r="C24" s="69"/>
      <c r="D24" s="69"/>
      <c r="E24" s="69"/>
      <c r="F24" s="69"/>
      <c r="G24" s="69"/>
      <c r="H24" s="69"/>
      <c r="I24" s="69"/>
      <c r="J24" s="69"/>
      <c r="K24" s="69"/>
      <c r="L24" s="69"/>
      <c r="M24" s="69"/>
      <c r="N24" s="69"/>
    </row>
    <row r="25" customFormat="false" ht="15" hidden="false" customHeight="true" outlineLevel="0" collapsed="false">
      <c r="B25" s="73" t="s">
        <v>373</v>
      </c>
      <c r="C25" s="73" t="s">
        <v>351</v>
      </c>
      <c r="D25" s="73" t="s">
        <v>352</v>
      </c>
      <c r="E25" s="73" t="s">
        <v>353</v>
      </c>
      <c r="F25" s="73" t="s">
        <v>354</v>
      </c>
      <c r="G25" s="73" t="s">
        <v>374</v>
      </c>
    </row>
    <row r="26" customFormat="false" ht="15" hidden="false" customHeight="true" outlineLevel="0" collapsed="false">
      <c r="B26" s="74" t="s">
        <v>375</v>
      </c>
      <c r="C26" s="75" t="n">
        <v>0.264957264957265</v>
      </c>
      <c r="D26" s="75" t="n">
        <v>0.33974358974359</v>
      </c>
      <c r="E26" s="75" t="n">
        <v>0.395299145299145</v>
      </c>
      <c r="F26" s="75" t="n">
        <v>0</v>
      </c>
      <c r="G26" s="64" t="n">
        <f aca="false">SUM(C26:F26)</f>
        <v>1</v>
      </c>
    </row>
    <row r="27" customFormat="false" ht="15" hidden="false" customHeight="true" outlineLevel="0" collapsed="false">
      <c r="B27" s="62" t="s">
        <v>376</v>
      </c>
      <c r="C27" s="24" t="n">
        <v>0.15</v>
      </c>
      <c r="D27" s="24" t="n">
        <v>0.4</v>
      </c>
      <c r="E27" s="24" t="n">
        <v>0.4</v>
      </c>
      <c r="F27" s="24" t="n">
        <v>0.05</v>
      </c>
      <c r="G27" s="64" t="n">
        <f aca="false">SUM(C27:F27)</f>
        <v>1</v>
      </c>
    </row>
    <row r="28" customFormat="false" ht="15" hidden="false" customHeight="true" outlineLevel="0" collapsed="false">
      <c r="B28" s="62" t="s">
        <v>377</v>
      </c>
      <c r="C28" s="24" t="n">
        <v>0.1</v>
      </c>
      <c r="D28" s="24" t="n">
        <v>0.4</v>
      </c>
      <c r="E28" s="24" t="n">
        <v>0.4</v>
      </c>
      <c r="F28" s="24" t="n">
        <v>0.1</v>
      </c>
      <c r="G28" s="64" t="n">
        <f aca="false">SUM(C28:F28)</f>
        <v>1</v>
      </c>
    </row>
    <row r="29" customFormat="false" ht="15" hidden="false" customHeight="true" outlineLevel="0" collapsed="false">
      <c r="B29" s="74" t="s">
        <v>378</v>
      </c>
      <c r="C29" s="64" t="n">
        <f aca="false">(C27+C28)/2</f>
        <v>0.125</v>
      </c>
      <c r="D29" s="64" t="n">
        <f aca="false">(D27+D28)/2</f>
        <v>0.4</v>
      </c>
      <c r="E29" s="64" t="n">
        <f aca="false">(E27+E28)/2</f>
        <v>0.4</v>
      </c>
      <c r="F29" s="64" t="n">
        <f aca="false">(F27+F28)/2</f>
        <v>0.075</v>
      </c>
      <c r="G29" s="64" t="n">
        <f aca="false">SUM(C29:F29)</f>
        <v>1</v>
      </c>
    </row>
    <row r="30" customFormat="false" ht="12.75" hidden="false" customHeight="true" outlineLevel="0" collapsed="false">
      <c r="B30" s="76" t="s">
        <v>379</v>
      </c>
      <c r="C30" s="77" t="n">
        <f aca="false">C26</f>
        <v>0.264957264957265</v>
      </c>
      <c r="D30" s="77" t="n">
        <f aca="false">D26</f>
        <v>0.33974358974359</v>
      </c>
      <c r="E30" s="77" t="n">
        <f aca="false">E26</f>
        <v>0.395299145299145</v>
      </c>
      <c r="F30" s="77" t="n">
        <f aca="false">F26</f>
        <v>0</v>
      </c>
      <c r="G30" s="78" t="n">
        <f aca="false">SUM(C30:F30)</f>
        <v>1</v>
      </c>
      <c r="H30" s="79" t="s">
        <v>380</v>
      </c>
    </row>
    <row r="31" customFormat="false" ht="21.75" hidden="false" customHeight="true" outlineLevel="0" collapsed="false">
      <c r="B31" s="69" t="s">
        <v>381</v>
      </c>
      <c r="C31" s="69"/>
      <c r="D31" s="69"/>
      <c r="E31" s="69"/>
      <c r="F31" s="69"/>
      <c r="G31" s="69"/>
      <c r="H31" s="69"/>
      <c r="I31" s="69"/>
      <c r="J31" s="69"/>
      <c r="K31" s="69"/>
      <c r="L31" s="69"/>
      <c r="M31" s="69"/>
      <c r="N31" s="69"/>
    </row>
    <row r="32" customFormat="false" ht="15" hidden="false" customHeight="true" outlineLevel="0" collapsed="false">
      <c r="B32" s="73" t="s">
        <v>382</v>
      </c>
      <c r="C32" s="73" t="s">
        <v>383</v>
      </c>
      <c r="D32" s="73" t="s">
        <v>384</v>
      </c>
      <c r="E32" s="73" t="s">
        <v>385</v>
      </c>
      <c r="F32" s="73" t="s">
        <v>374</v>
      </c>
    </row>
    <row r="33" customFormat="false" ht="15" hidden="false" customHeight="true" outlineLevel="0" collapsed="false">
      <c r="B33" s="62" t="s">
        <v>386</v>
      </c>
      <c r="C33" s="24" t="n">
        <v>0.4</v>
      </c>
      <c r="D33" s="24" t="n">
        <v>0.5</v>
      </c>
      <c r="E33" s="24" t="n">
        <v>0.1</v>
      </c>
      <c r="F33" s="64" t="n">
        <f aca="false">SUM(C33:E33)</f>
        <v>1</v>
      </c>
    </row>
    <row r="34" customFormat="false" ht="15" hidden="false" customHeight="true" outlineLevel="0" collapsed="false">
      <c r="B34" s="62" t="s">
        <v>387</v>
      </c>
      <c r="C34" s="24" t="n">
        <v>0.3</v>
      </c>
      <c r="D34" s="24" t="n">
        <v>0.55</v>
      </c>
      <c r="E34" s="24" t="n">
        <v>0.15</v>
      </c>
      <c r="F34" s="64" t="n">
        <f aca="false">SUM(C34:E34)</f>
        <v>1</v>
      </c>
    </row>
    <row r="35" customFormat="false" ht="15" hidden="false" customHeight="true" outlineLevel="0" collapsed="false">
      <c r="B35" s="62" t="s">
        <v>388</v>
      </c>
      <c r="C35" s="24" t="n">
        <v>0.25</v>
      </c>
      <c r="D35" s="24" t="n">
        <v>0.6</v>
      </c>
      <c r="E35" s="24" t="n">
        <v>0.15</v>
      </c>
      <c r="F35" s="64" t="n">
        <f aca="false">SUM(C35:E35)</f>
        <v>1</v>
      </c>
    </row>
    <row r="36" customFormat="false" ht="15" hidden="false" customHeight="true" outlineLevel="0" collapsed="false">
      <c r="B36" s="62" t="s">
        <v>389</v>
      </c>
      <c r="C36" s="24" t="n">
        <v>0.2</v>
      </c>
      <c r="D36" s="24" t="n">
        <v>0.6</v>
      </c>
      <c r="E36" s="24" t="n">
        <v>0.2</v>
      </c>
      <c r="F36" s="64" t="n">
        <f aca="false">SUM(C36:E36)</f>
        <v>1</v>
      </c>
    </row>
    <row r="37" customFormat="false" ht="15" hidden="false" customHeight="true" outlineLevel="0" collapsed="false">
      <c r="B37" s="62" t="s">
        <v>390</v>
      </c>
      <c r="C37" s="24" t="n">
        <v>0.2</v>
      </c>
      <c r="D37" s="24" t="n">
        <v>0.6</v>
      </c>
      <c r="E37" s="24" t="n">
        <v>0.2</v>
      </c>
      <c r="F37" s="64" t="n">
        <f aca="false">SUM(C37:E37)</f>
        <v>1</v>
      </c>
    </row>
    <row r="38" customFormat="false" ht="12" hidden="false" customHeight="true" outlineLevel="0" collapsed="false"/>
    <row r="39" customFormat="false" ht="21.75" hidden="false" customHeight="true" outlineLevel="0" collapsed="false">
      <c r="B39" s="69" t="s">
        <v>391</v>
      </c>
      <c r="C39" s="69"/>
      <c r="D39" s="69"/>
      <c r="E39" s="69"/>
      <c r="F39" s="69"/>
      <c r="G39" s="69"/>
      <c r="H39" s="69"/>
      <c r="I39" s="69"/>
      <c r="J39" s="69"/>
      <c r="K39" s="69"/>
      <c r="L39" s="69"/>
      <c r="M39" s="69"/>
      <c r="N39" s="69"/>
    </row>
    <row r="40" customFormat="false" ht="30" hidden="false" customHeight="true" outlineLevel="0" collapsed="false">
      <c r="B40" s="61" t="s">
        <v>382</v>
      </c>
      <c r="C40" s="61" t="s">
        <v>392</v>
      </c>
      <c r="D40" s="61" t="s">
        <v>393</v>
      </c>
      <c r="E40" s="61" t="s">
        <v>394</v>
      </c>
      <c r="F40" s="61" t="s">
        <v>395</v>
      </c>
      <c r="G40" s="61" t="s">
        <v>396</v>
      </c>
    </row>
    <row r="41" customFormat="false" ht="15" hidden="false" customHeight="true" outlineLevel="0" collapsed="false">
      <c r="B41" s="62" t="s">
        <v>386</v>
      </c>
      <c r="C41" s="80" t="s">
        <v>397</v>
      </c>
      <c r="D41" s="66" t="n">
        <f aca="false">C27*I19+D27*I20+E27*I21+F27*I22</f>
        <v>1694.7297</v>
      </c>
      <c r="E41" s="66" t="n">
        <f aca="false">C27*J19+D27*J20+E27*J21+F27*J22</f>
        <v>2188.35386</v>
      </c>
      <c r="F41" s="66" t="n">
        <f aca="false">C27*K19+D27*K20+E27*K21+F27*K22</f>
        <v>2608.19678</v>
      </c>
      <c r="G41" s="72" t="n">
        <f aca="false">(D41*C33+E41*D33+F41*E33)*C96</f>
        <v>2032.888488</v>
      </c>
    </row>
    <row r="42" customFormat="false" ht="15" hidden="false" customHeight="true" outlineLevel="0" collapsed="false">
      <c r="B42" s="62" t="s">
        <v>387</v>
      </c>
      <c r="C42" s="80" t="s">
        <v>398</v>
      </c>
      <c r="D42" s="66" t="n">
        <f aca="false">C29*I19+D29*I20+E29*I21+F29*I22</f>
        <v>1806.70635</v>
      </c>
      <c r="E42" s="66" t="n">
        <f aca="false">C29*J19+D29*J20+E29*J21+F29*J22</f>
        <v>2341.44209</v>
      </c>
      <c r="F42" s="66" t="n">
        <f aca="false">C29*K19+D29*K20+E29*K21+F29*K22</f>
        <v>2789.91909</v>
      </c>
      <c r="G42" s="72" t="n">
        <f aca="false">(D42*C34+E42*D34+F42*E34)*D96</f>
        <v>2360.7075639</v>
      </c>
    </row>
    <row r="43" customFormat="false" ht="15" hidden="false" customHeight="true" outlineLevel="0" collapsed="false">
      <c r="B43" s="62" t="s">
        <v>388</v>
      </c>
      <c r="C43" s="80" t="s">
        <v>399</v>
      </c>
      <c r="D43" s="66" t="n">
        <f aca="false">C28*I19+D28*I20+E28*I21+F28*I22</f>
        <v>1918.683</v>
      </c>
      <c r="E43" s="66" t="n">
        <f aca="false">C28*J19+D28*J20+E28*J21+F28*J22</f>
        <v>2494.53032</v>
      </c>
      <c r="F43" s="66" t="n">
        <f aca="false">C28*K19+D28*K20+E28*K21+F28*K22</f>
        <v>2971.6414</v>
      </c>
      <c r="G43" s="72" t="n">
        <f aca="false">(D43*C35+E43*D35+F43*E35)*E96</f>
        <v>2670.40400508</v>
      </c>
    </row>
    <row r="44" customFormat="false" ht="15" hidden="false" customHeight="true" outlineLevel="0" collapsed="false">
      <c r="B44" s="62" t="s">
        <v>389</v>
      </c>
      <c r="C44" s="80" t="s">
        <v>399</v>
      </c>
      <c r="D44" s="66" t="n">
        <f aca="false">C28*I19+D28*I20+E28*I21+F28*I22</f>
        <v>1918.683</v>
      </c>
      <c r="E44" s="66" t="n">
        <f aca="false">C28*J19+D28*J20+E28*J21+F28*J22</f>
        <v>2494.53032</v>
      </c>
      <c r="F44" s="66" t="n">
        <f aca="false">C28*K19+D28*K20+E28*K21+F28*K22</f>
        <v>2971.6414</v>
      </c>
      <c r="G44" s="72" t="n">
        <f aca="false">(D44*C36+E44*D36+F44*E36)*F96</f>
        <v>2864.870753724</v>
      </c>
    </row>
    <row r="45" customFormat="false" ht="15" hidden="false" customHeight="true" outlineLevel="0" collapsed="false">
      <c r="B45" s="62" t="s">
        <v>390</v>
      </c>
      <c r="C45" s="80" t="s">
        <v>399</v>
      </c>
      <c r="D45" s="66" t="n">
        <f aca="false">C28*I19+D28*I20+E28*I21+F28*I22</f>
        <v>1918.683</v>
      </c>
      <c r="E45" s="66" t="n">
        <f aca="false">C28*J19+D28*J20+E28*J21+F28*J22</f>
        <v>2494.53032</v>
      </c>
      <c r="F45" s="66" t="n">
        <f aca="false">C28*K19+D28*K20+E28*K21+F28*K22</f>
        <v>2971.6414</v>
      </c>
      <c r="G45" s="72" t="n">
        <f aca="false">(D45*C37+E45*D37+F45*E37)*G96</f>
        <v>3008.1142914102</v>
      </c>
    </row>
    <row r="46" customFormat="false" ht="12" hidden="false" customHeight="true" outlineLevel="0" collapsed="false"/>
    <row r="47" customFormat="false" ht="21.75" hidden="false" customHeight="true" outlineLevel="0" collapsed="false">
      <c r="B47" s="60" t="s">
        <v>400</v>
      </c>
      <c r="C47" s="60"/>
      <c r="D47" s="60"/>
      <c r="E47" s="60"/>
      <c r="F47" s="60"/>
      <c r="G47" s="60"/>
      <c r="H47" s="60"/>
      <c r="I47" s="60"/>
      <c r="J47" s="60"/>
      <c r="K47" s="60"/>
      <c r="L47" s="60"/>
      <c r="M47" s="60"/>
      <c r="N47" s="60"/>
    </row>
    <row r="48" customFormat="false" ht="15" hidden="false" customHeight="true" outlineLevel="0" collapsed="false">
      <c r="B48" s="73" t="s">
        <v>401</v>
      </c>
      <c r="C48" s="73" t="s">
        <v>386</v>
      </c>
      <c r="D48" s="73" t="s">
        <v>387</v>
      </c>
      <c r="E48" s="73" t="s">
        <v>388</v>
      </c>
      <c r="F48" s="73" t="s">
        <v>389</v>
      </c>
      <c r="G48" s="73" t="s">
        <v>390</v>
      </c>
      <c r="H48" s="73" t="s">
        <v>218</v>
      </c>
    </row>
    <row r="49" customFormat="false" ht="15" hidden="false" customHeight="true" outlineLevel="0" collapsed="false">
      <c r="B49" s="62" t="s">
        <v>402</v>
      </c>
      <c r="C49" s="81" t="n">
        <v>0</v>
      </c>
      <c r="D49" s="81" t="n">
        <v>12</v>
      </c>
      <c r="E49" s="81" t="n">
        <v>12</v>
      </c>
      <c r="F49" s="81" t="n">
        <v>12</v>
      </c>
      <c r="G49" s="81" t="n">
        <v>12</v>
      </c>
      <c r="H49" s="74" t="s">
        <v>403</v>
      </c>
    </row>
    <row r="50" customFormat="false" ht="15" hidden="false" customHeight="true" outlineLevel="0" collapsed="false">
      <c r="B50" s="62" t="s">
        <v>404</v>
      </c>
      <c r="C50" s="81" t="n">
        <v>8</v>
      </c>
      <c r="D50" s="81" t="n">
        <v>8</v>
      </c>
      <c r="E50" s="81" t="n">
        <v>8</v>
      </c>
      <c r="F50" s="81" t="n">
        <v>8</v>
      </c>
      <c r="G50" s="81" t="n">
        <v>8</v>
      </c>
      <c r="H50" s="74" t="s">
        <v>405</v>
      </c>
    </row>
    <row r="51" customFormat="false" ht="15" hidden="false" customHeight="true" outlineLevel="0" collapsed="false">
      <c r="B51" s="62" t="s">
        <v>406</v>
      </c>
      <c r="C51" s="25" t="n">
        <v>1</v>
      </c>
      <c r="D51" s="25" t="n">
        <v>2</v>
      </c>
      <c r="E51" s="25" t="n">
        <v>3</v>
      </c>
      <c r="F51" s="25" t="n">
        <v>3</v>
      </c>
      <c r="G51" s="25" t="n">
        <v>3</v>
      </c>
      <c r="H51" s="74" t="s">
        <v>407</v>
      </c>
    </row>
    <row r="52" customFormat="false" ht="15" hidden="false" customHeight="true" outlineLevel="0" collapsed="false">
      <c r="B52" s="62" t="s">
        <v>408</v>
      </c>
      <c r="C52" s="82" t="n">
        <f aca="false">C84</f>
        <v>10</v>
      </c>
      <c r="D52" s="82" t="n">
        <f aca="false">D84</f>
        <v>10</v>
      </c>
      <c r="E52" s="82" t="n">
        <f aca="false">E84</f>
        <v>10</v>
      </c>
      <c r="F52" s="82" t="n">
        <f aca="false">F84</f>
        <v>10</v>
      </c>
      <c r="G52" s="82" t="n">
        <f aca="false">G84</f>
        <v>10</v>
      </c>
      <c r="H52" s="83" t="s">
        <v>409</v>
      </c>
    </row>
    <row r="53" customFormat="false" ht="15" hidden="false" customHeight="true" outlineLevel="0" collapsed="false">
      <c r="B53" s="62" t="s">
        <v>410</v>
      </c>
      <c r="C53" s="26" t="n">
        <v>1</v>
      </c>
      <c r="D53" s="26" t="n">
        <v>1.3</v>
      </c>
      <c r="E53" s="26" t="n">
        <v>1.8</v>
      </c>
      <c r="F53" s="26" t="n">
        <v>1.9</v>
      </c>
      <c r="G53" s="26" t="n">
        <v>1.9</v>
      </c>
      <c r="H53" s="74" t="s">
        <v>411</v>
      </c>
    </row>
    <row r="54" customFormat="false" ht="15" hidden="false" customHeight="true" outlineLevel="0" collapsed="false">
      <c r="B54" s="74" t="s">
        <v>412</v>
      </c>
      <c r="C54" s="26" t="n">
        <v>20.83</v>
      </c>
      <c r="D54" s="26" t="n">
        <v>20.83</v>
      </c>
      <c r="E54" s="26" t="n">
        <v>20.83</v>
      </c>
      <c r="F54" s="26" t="n">
        <v>20.83</v>
      </c>
      <c r="G54" s="26" t="n">
        <v>20.83</v>
      </c>
      <c r="H54" s="74" t="s">
        <v>413</v>
      </c>
    </row>
    <row r="55" customFormat="false" ht="15" hidden="false" customHeight="true" outlineLevel="0" collapsed="false">
      <c r="B55" s="74" t="s">
        <v>414</v>
      </c>
      <c r="C55" s="63" t="n">
        <f aca="false">C50*C51*C52*C54*C49</f>
        <v>0</v>
      </c>
      <c r="D55" s="63" t="n">
        <f aca="false">D50*D51*D52*D54*D49</f>
        <v>39993.6</v>
      </c>
      <c r="E55" s="63" t="n">
        <f aca="false">E50*E51*E52*E54*E49</f>
        <v>59990.4</v>
      </c>
      <c r="F55" s="63" t="n">
        <f aca="false">F50*F51*F52*F54*F49</f>
        <v>59990.4</v>
      </c>
      <c r="G55" s="63" t="n">
        <f aca="false">G50*G51*G52*G54*G49</f>
        <v>59990.4</v>
      </c>
    </row>
    <row r="56" customFormat="false" ht="15" hidden="false" customHeight="true" outlineLevel="0" collapsed="false">
      <c r="B56" s="74" t="s">
        <v>415</v>
      </c>
      <c r="C56" s="64" t="n">
        <f aca="false">E27+F27</f>
        <v>0.45</v>
      </c>
      <c r="D56" s="64" t="n">
        <f aca="false">E29+F29</f>
        <v>0.475</v>
      </c>
      <c r="E56" s="64" t="n">
        <f aca="false">E28+F28</f>
        <v>0.5</v>
      </c>
      <c r="F56" s="64" t="n">
        <f aca="false">E28+F28</f>
        <v>0.5</v>
      </c>
      <c r="G56" s="64" t="n">
        <f aca="false">E28+F28</f>
        <v>0.5</v>
      </c>
    </row>
    <row r="57" customFormat="false" ht="15" hidden="false" customHeight="true" outlineLevel="0" collapsed="false">
      <c r="B57" s="62" t="s">
        <v>416</v>
      </c>
      <c r="C57" s="84" t="n">
        <f aca="false">C55*((1-C56)+C56*C53)</f>
        <v>0</v>
      </c>
      <c r="D57" s="84" t="n">
        <f aca="false">D55*((1-D56)+D56*D53)</f>
        <v>45692.688</v>
      </c>
      <c r="E57" s="84" t="n">
        <f aca="false">E55*((1-E56)+E56*E53)</f>
        <v>83986.56</v>
      </c>
      <c r="F57" s="84" t="n">
        <f aca="false">F55*((1-F56)+F56*F53)</f>
        <v>86986.08</v>
      </c>
      <c r="G57" s="84" t="n">
        <f aca="false">G55*((1-G56)+G56*G53)</f>
        <v>86986.08</v>
      </c>
    </row>
    <row r="58" customFormat="false" ht="15" hidden="false" customHeight="true" outlineLevel="0" collapsed="false">
      <c r="B58" s="74" t="s">
        <v>396</v>
      </c>
      <c r="C58" s="66" t="n">
        <f aca="false">G41</f>
        <v>2032.888488</v>
      </c>
      <c r="D58" s="66" t="n">
        <f aca="false">G42</f>
        <v>2360.7075639</v>
      </c>
      <c r="E58" s="66" t="n">
        <f aca="false">G43</f>
        <v>2670.40400508</v>
      </c>
      <c r="F58" s="66" t="n">
        <f aca="false">G44</f>
        <v>2864.870753724</v>
      </c>
      <c r="G58" s="66" t="n">
        <f aca="false">G45</f>
        <v>3008.1142914102</v>
      </c>
    </row>
    <row r="59" customFormat="false" ht="21.75" hidden="false" customHeight="true" outlineLevel="0" collapsed="false">
      <c r="B59" s="85" t="s">
        <v>417</v>
      </c>
      <c r="C59" s="86" t="n">
        <f aca="false">C57*C58</f>
        <v>0</v>
      </c>
      <c r="D59" s="86" t="n">
        <f aca="false">D57*D58</f>
        <v>107867074.176523</v>
      </c>
      <c r="E59" s="86" t="n">
        <f aca="false">E57*E58</f>
        <v>224278046.196892</v>
      </c>
      <c r="F59" s="86" t="n">
        <f aca="false">F57*F58</f>
        <v>249203876.573096</v>
      </c>
      <c r="G59" s="86" t="n">
        <f aca="false">G57*G58</f>
        <v>261664070.401751</v>
      </c>
    </row>
    <row r="60" customFormat="false" ht="12" hidden="false" customHeight="true" outlineLevel="0" collapsed="false"/>
    <row r="61" customFormat="false" ht="21.75" hidden="false" customHeight="true" outlineLevel="0" collapsed="false">
      <c r="B61" s="87" t="s">
        <v>418</v>
      </c>
      <c r="C61" s="87"/>
      <c r="D61" s="87"/>
      <c r="E61" s="87"/>
      <c r="F61" s="87"/>
      <c r="G61" s="87"/>
      <c r="H61" s="87"/>
      <c r="I61" s="87"/>
      <c r="J61" s="87"/>
      <c r="K61" s="87"/>
      <c r="L61" s="87"/>
      <c r="M61" s="87"/>
      <c r="N61" s="87"/>
    </row>
    <row r="62" customFormat="false" ht="27.75" hidden="false" customHeight="true" outlineLevel="0" collapsed="false">
      <c r="B62" s="88" t="s">
        <v>419</v>
      </c>
      <c r="C62" s="89" t="s">
        <v>420</v>
      </c>
      <c r="D62" s="89"/>
      <c r="E62" s="89"/>
      <c r="F62" s="89"/>
      <c r="G62" s="89"/>
      <c r="H62" s="89"/>
      <c r="I62" s="89"/>
      <c r="J62" s="89"/>
      <c r="K62" s="89"/>
      <c r="L62" s="89"/>
      <c r="M62" s="89"/>
      <c r="N62" s="89"/>
    </row>
    <row r="63" customFormat="false" ht="27.75" hidden="false" customHeight="true" outlineLevel="0" collapsed="false">
      <c r="B63" s="88" t="s">
        <v>419</v>
      </c>
      <c r="C63" s="89" t="s">
        <v>421</v>
      </c>
      <c r="D63" s="89"/>
      <c r="E63" s="89"/>
      <c r="F63" s="89"/>
      <c r="G63" s="89"/>
      <c r="H63" s="89"/>
      <c r="I63" s="89"/>
      <c r="J63" s="89"/>
      <c r="K63" s="89"/>
      <c r="L63" s="89"/>
      <c r="M63" s="89"/>
      <c r="N63" s="89"/>
    </row>
    <row r="64" customFormat="false" ht="27.75" hidden="false" customHeight="true" outlineLevel="0" collapsed="false">
      <c r="B64" s="88" t="s">
        <v>419</v>
      </c>
      <c r="C64" s="89" t="s">
        <v>422</v>
      </c>
      <c r="D64" s="89"/>
      <c r="E64" s="89"/>
      <c r="F64" s="89"/>
      <c r="G64" s="89"/>
      <c r="H64" s="89"/>
      <c r="I64" s="89"/>
      <c r="J64" s="89"/>
      <c r="K64" s="89"/>
      <c r="L64" s="89"/>
      <c r="M64" s="89"/>
      <c r="N64" s="89"/>
    </row>
    <row r="65" customFormat="false" ht="27.75" hidden="false" customHeight="true" outlineLevel="0" collapsed="false">
      <c r="B65" s="88" t="s">
        <v>419</v>
      </c>
      <c r="C65" s="89" t="s">
        <v>423</v>
      </c>
      <c r="D65" s="89"/>
      <c r="E65" s="89"/>
      <c r="F65" s="89"/>
      <c r="G65" s="89"/>
      <c r="H65" s="89"/>
      <c r="I65" s="89"/>
      <c r="J65" s="89"/>
      <c r="K65" s="89"/>
      <c r="L65" s="89"/>
      <c r="M65" s="89"/>
      <c r="N65" s="89"/>
    </row>
    <row r="66" customFormat="false" ht="27.75" hidden="false" customHeight="true" outlineLevel="0" collapsed="false">
      <c r="B66" s="88" t="s">
        <v>419</v>
      </c>
      <c r="C66" s="89" t="s">
        <v>424</v>
      </c>
      <c r="D66" s="89"/>
      <c r="E66" s="89"/>
      <c r="F66" s="89"/>
      <c r="G66" s="89"/>
      <c r="H66" s="89"/>
      <c r="I66" s="89"/>
      <c r="J66" s="89"/>
      <c r="K66" s="89"/>
      <c r="L66" s="89"/>
      <c r="M66" s="89"/>
      <c r="N66" s="89"/>
    </row>
    <row r="67" customFormat="false" ht="27.75" hidden="false" customHeight="true" outlineLevel="0" collapsed="false">
      <c r="B67" s="88" t="s">
        <v>419</v>
      </c>
      <c r="C67" s="89" t="s">
        <v>425</v>
      </c>
      <c r="D67" s="89"/>
      <c r="E67" s="89"/>
      <c r="F67" s="89"/>
      <c r="G67" s="89"/>
      <c r="H67" s="89"/>
      <c r="I67" s="89"/>
      <c r="J67" s="89"/>
      <c r="K67" s="89"/>
      <c r="L67" s="89"/>
      <c r="M67" s="89"/>
      <c r="N67" s="89"/>
    </row>
    <row r="68" customFormat="false" ht="27.75" hidden="false" customHeight="true" outlineLevel="0" collapsed="false">
      <c r="B68" s="88" t="s">
        <v>419</v>
      </c>
      <c r="C68" s="89" t="s">
        <v>426</v>
      </c>
      <c r="D68" s="89"/>
      <c r="E68" s="89"/>
      <c r="F68" s="89"/>
      <c r="G68" s="89"/>
      <c r="H68" s="89"/>
      <c r="I68" s="89"/>
      <c r="J68" s="89"/>
      <c r="K68" s="89"/>
      <c r="L68" s="89"/>
      <c r="M68" s="89"/>
      <c r="N68" s="89"/>
    </row>
    <row r="69" customFormat="false" ht="27.75" hidden="false" customHeight="true" outlineLevel="0" collapsed="false">
      <c r="B69" s="88" t="s">
        <v>419</v>
      </c>
      <c r="C69" s="89" t="s">
        <v>427</v>
      </c>
      <c r="D69" s="89"/>
      <c r="E69" s="89"/>
      <c r="F69" s="89"/>
      <c r="G69" s="89"/>
      <c r="H69" s="89"/>
      <c r="I69" s="89"/>
      <c r="J69" s="89"/>
      <c r="K69" s="89"/>
      <c r="L69" s="89"/>
      <c r="M69" s="89"/>
      <c r="N69" s="89"/>
    </row>
    <row r="70" customFormat="false" ht="27.75" hidden="false" customHeight="true" outlineLevel="0" collapsed="false">
      <c r="B70" s="88" t="s">
        <v>419</v>
      </c>
      <c r="C70" s="89" t="s">
        <v>428</v>
      </c>
      <c r="D70" s="89"/>
      <c r="E70" s="89"/>
      <c r="F70" s="89"/>
      <c r="G70" s="89"/>
      <c r="H70" s="89"/>
      <c r="I70" s="89"/>
      <c r="J70" s="89"/>
      <c r="K70" s="89"/>
      <c r="L70" s="89"/>
      <c r="M70" s="89"/>
      <c r="N70" s="89"/>
    </row>
    <row r="71" customFormat="false" ht="27.75" hidden="false" customHeight="true" outlineLevel="0" collapsed="false">
      <c r="B71" s="88" t="s">
        <v>419</v>
      </c>
      <c r="C71" s="89" t="s">
        <v>429</v>
      </c>
      <c r="D71" s="89"/>
      <c r="E71" s="89"/>
      <c r="F71" s="89"/>
      <c r="G71" s="89"/>
      <c r="H71" s="89"/>
      <c r="I71" s="89"/>
      <c r="J71" s="89"/>
      <c r="K71" s="89"/>
      <c r="L71" s="89"/>
      <c r="M71" s="89"/>
      <c r="N71" s="89"/>
    </row>
    <row r="72" customFormat="false" ht="12" hidden="false" customHeight="true" outlineLevel="0" collapsed="false"/>
    <row r="73" customFormat="false" ht="19.5" hidden="false" customHeight="true" outlineLevel="0" collapsed="false">
      <c r="B73" s="90" t="s">
        <v>430</v>
      </c>
      <c r="C73" s="90"/>
      <c r="D73" s="90"/>
      <c r="E73" s="90"/>
      <c r="F73" s="90"/>
      <c r="G73" s="90"/>
      <c r="H73" s="90"/>
    </row>
    <row r="74" customFormat="false" ht="15.75" hidden="false" customHeight="true" outlineLevel="0" collapsed="false">
      <c r="B74" s="91" t="s">
        <v>431</v>
      </c>
      <c r="C74" s="91" t="s">
        <v>386</v>
      </c>
      <c r="D74" s="91" t="s">
        <v>387</v>
      </c>
      <c r="E74" s="91" t="s">
        <v>388</v>
      </c>
      <c r="F74" s="91" t="s">
        <v>389</v>
      </c>
      <c r="G74" s="91" t="s">
        <v>390</v>
      </c>
      <c r="H74" s="91" t="s">
        <v>432</v>
      </c>
    </row>
    <row r="75" customFormat="false" ht="15" hidden="false" customHeight="true" outlineLevel="0" collapsed="false">
      <c r="B75" s="92" t="s">
        <v>433</v>
      </c>
      <c r="C75" s="93" t="n">
        <v>14</v>
      </c>
      <c r="D75" s="93" t="n">
        <v>14</v>
      </c>
      <c r="E75" s="93" t="n">
        <v>14</v>
      </c>
      <c r="F75" s="93" t="n">
        <v>14</v>
      </c>
      <c r="G75" s="93" t="n">
        <v>14</v>
      </c>
      <c r="H75" s="94" t="s">
        <v>434</v>
      </c>
    </row>
    <row r="76" customFormat="false" ht="15" hidden="false" customHeight="true" outlineLevel="0" collapsed="false">
      <c r="B76" s="92" t="s">
        <v>435</v>
      </c>
      <c r="C76" s="93" t="n">
        <v>14</v>
      </c>
      <c r="D76" s="93" t="n">
        <v>14</v>
      </c>
      <c r="E76" s="93" t="n">
        <v>14</v>
      </c>
      <c r="F76" s="93" t="n">
        <v>14</v>
      </c>
      <c r="G76" s="93" t="n">
        <v>14</v>
      </c>
      <c r="H76" s="94" t="s">
        <v>434</v>
      </c>
    </row>
    <row r="77" customFormat="false" ht="15" hidden="false" customHeight="true" outlineLevel="0" collapsed="false">
      <c r="B77" s="92" t="s">
        <v>436</v>
      </c>
      <c r="C77" s="93" t="n">
        <v>6</v>
      </c>
      <c r="D77" s="93" t="n">
        <v>6</v>
      </c>
      <c r="E77" s="93" t="n">
        <v>6</v>
      </c>
      <c r="F77" s="93" t="n">
        <v>6</v>
      </c>
      <c r="G77" s="93" t="n">
        <v>6</v>
      </c>
      <c r="H77" s="94" t="s">
        <v>437</v>
      </c>
    </row>
    <row r="78" customFormat="false" ht="15" hidden="false" customHeight="true" outlineLevel="0" collapsed="false">
      <c r="B78" s="92" t="s">
        <v>438</v>
      </c>
      <c r="C78" s="93" t="n">
        <v>6</v>
      </c>
      <c r="D78" s="93" t="n">
        <v>6</v>
      </c>
      <c r="E78" s="93" t="n">
        <v>6</v>
      </c>
      <c r="F78" s="93" t="n">
        <v>6</v>
      </c>
      <c r="G78" s="93" t="n">
        <v>6</v>
      </c>
      <c r="H78" s="94" t="s">
        <v>437</v>
      </c>
    </row>
    <row r="79" customFormat="false" ht="15.75" hidden="false" customHeight="true" outlineLevel="0" collapsed="false">
      <c r="B79" s="95" t="s">
        <v>439</v>
      </c>
      <c r="C79" s="95"/>
      <c r="D79" s="95"/>
      <c r="E79" s="95"/>
      <c r="F79" s="95"/>
      <c r="G79" s="95"/>
      <c r="H79" s="95"/>
    </row>
    <row r="80" customFormat="false" ht="15" hidden="false" customHeight="true" outlineLevel="0" collapsed="false">
      <c r="B80" s="92" t="s">
        <v>440</v>
      </c>
      <c r="C80" s="96" t="n">
        <v>4</v>
      </c>
      <c r="D80" s="96" t="n">
        <v>4</v>
      </c>
      <c r="E80" s="96" t="n">
        <v>4</v>
      </c>
      <c r="F80" s="96" t="n">
        <v>4</v>
      </c>
      <c r="G80" s="96" t="n">
        <v>4</v>
      </c>
      <c r="H80" s="94" t="s">
        <v>441</v>
      </c>
    </row>
    <row r="81" customFormat="false" ht="15" hidden="false" customHeight="true" outlineLevel="0" collapsed="false">
      <c r="B81" s="92" t="s">
        <v>442</v>
      </c>
      <c r="C81" s="96" t="n">
        <v>4</v>
      </c>
      <c r="D81" s="96" t="n">
        <v>4</v>
      </c>
      <c r="E81" s="96" t="n">
        <v>4</v>
      </c>
      <c r="F81" s="96" t="n">
        <v>4</v>
      </c>
      <c r="G81" s="96" t="n">
        <v>4</v>
      </c>
      <c r="H81" s="94" t="s">
        <v>443</v>
      </c>
    </row>
    <row r="82" customFormat="false" ht="15" hidden="false" customHeight="true" outlineLevel="0" collapsed="false">
      <c r="B82" s="97" t="s">
        <v>444</v>
      </c>
      <c r="C82" s="98" t="n">
        <f aca="false">C80+C81</f>
        <v>8</v>
      </c>
      <c r="D82" s="98" t="n">
        <f aca="false">D80+D81</f>
        <v>8</v>
      </c>
      <c r="E82" s="98" t="n">
        <f aca="false">E80+E81</f>
        <v>8</v>
      </c>
      <c r="F82" s="98" t="n">
        <f aca="false">F80+F81</f>
        <v>8</v>
      </c>
      <c r="G82" s="98" t="n">
        <f aca="false">G80+G81</f>
        <v>8</v>
      </c>
      <c r="H82" s="99" t="s">
        <v>445</v>
      </c>
    </row>
    <row r="83" customFormat="false" ht="15.75" hidden="false" customHeight="true" outlineLevel="0" collapsed="false">
      <c r="B83" s="95" t="s">
        <v>446</v>
      </c>
      <c r="C83" s="95"/>
      <c r="D83" s="95"/>
      <c r="E83" s="95"/>
      <c r="F83" s="95"/>
      <c r="G83" s="95"/>
      <c r="H83" s="95"/>
    </row>
    <row r="84" customFormat="false" ht="15" hidden="false" customHeight="true" outlineLevel="0" collapsed="false">
      <c r="B84" s="100" t="s">
        <v>447</v>
      </c>
      <c r="C84" s="101" t="n">
        <f aca="false">(C80*C75+C81*C77)/C82</f>
        <v>10</v>
      </c>
      <c r="D84" s="101" t="n">
        <f aca="false">(D80*D75+D81*D77)/D82</f>
        <v>10</v>
      </c>
      <c r="E84" s="101" t="n">
        <f aca="false">(E80*E75+E81*E77)/E82</f>
        <v>10</v>
      </c>
      <c r="F84" s="101" t="n">
        <f aca="false">(F80*F75+F81*F77)/F82</f>
        <v>10</v>
      </c>
      <c r="G84" s="101" t="n">
        <f aca="false">(G80*G75+G81*G77)/G82</f>
        <v>10</v>
      </c>
      <c r="H84" s="94" t="s">
        <v>448</v>
      </c>
    </row>
    <row r="85" customFormat="false" ht="15" hidden="false" customHeight="true" outlineLevel="0" collapsed="false">
      <c r="B85" s="102" t="s">
        <v>449</v>
      </c>
      <c r="C85" s="103" t="n">
        <f aca="false">C50*C51*C84*C54*C49</f>
        <v>0</v>
      </c>
      <c r="D85" s="103" t="n">
        <f aca="false">D50*D51*D84*D54*D49</f>
        <v>39993.6</v>
      </c>
      <c r="E85" s="103" t="n">
        <f aca="false">E50*E51*E84*E54*E49</f>
        <v>59990.4</v>
      </c>
      <c r="F85" s="103" t="n">
        <f aca="false">F50*F51*F84*F54*F49</f>
        <v>59990.4</v>
      </c>
      <c r="G85" s="103" t="n">
        <f aca="false">G50*G51*G84*G54*G49</f>
        <v>59990.4</v>
      </c>
      <c r="H85" s="94" t="s">
        <v>450</v>
      </c>
    </row>
    <row r="86" customFormat="false" ht="15" hidden="false" customHeight="true" outlineLevel="0" collapsed="false">
      <c r="B86" s="104" t="s">
        <v>451</v>
      </c>
      <c r="C86" s="93" t="n">
        <f aca="false">C82*C51*C84*C54*C49</f>
        <v>0</v>
      </c>
      <c r="D86" s="93" t="n">
        <f aca="false">D82*D51*D84*D54*D49</f>
        <v>39993.6</v>
      </c>
      <c r="E86" s="93" t="n">
        <f aca="false">E82*E51*E84*E54*E49</f>
        <v>59990.4</v>
      </c>
      <c r="F86" s="93" t="n">
        <f aca="false">F82*F51*F84*F54*F49</f>
        <v>59990.4</v>
      </c>
      <c r="G86" s="93" t="n">
        <f aca="false">G82*G51*G84*G54*G49</f>
        <v>59990.4</v>
      </c>
      <c r="H86" s="94" t="s">
        <v>452</v>
      </c>
    </row>
    <row r="87" customFormat="false" ht="15" hidden="false" customHeight="true" outlineLevel="0" collapsed="false">
      <c r="B87" s="102" t="s">
        <v>453</v>
      </c>
      <c r="C87" s="105" t="n">
        <v>4250</v>
      </c>
      <c r="D87" s="105" t="n">
        <v>37000</v>
      </c>
      <c r="E87" s="105" t="n">
        <v>60000</v>
      </c>
      <c r="F87" s="105" t="n">
        <v>60000</v>
      </c>
      <c r="G87" s="105" t="n">
        <v>60000</v>
      </c>
      <c r="H87" s="94" t="s">
        <v>454</v>
      </c>
    </row>
    <row r="88" customFormat="false" ht="15" hidden="false" customHeight="true" outlineLevel="0" collapsed="false">
      <c r="B88" s="106" t="s">
        <v>455</v>
      </c>
      <c r="C88" s="107" t="n">
        <f aca="false">C86-C87</f>
        <v>-4250</v>
      </c>
      <c r="D88" s="107" t="n">
        <f aca="false">D86-D87</f>
        <v>2993.6</v>
      </c>
      <c r="E88" s="107" t="n">
        <f aca="false">E86-E87</f>
        <v>-9.60000000000582</v>
      </c>
      <c r="F88" s="107" t="n">
        <f aca="false">F86-F87</f>
        <v>-9.60000000000582</v>
      </c>
      <c r="G88" s="107" t="n">
        <f aca="false">G86-G87</f>
        <v>-9.60000000000582</v>
      </c>
      <c r="H88" s="99" t="s">
        <v>456</v>
      </c>
    </row>
    <row r="89" customFormat="false" ht="31.5" hidden="false" customHeight="true" outlineLevel="0" collapsed="false">
      <c r="B89" s="108" t="s">
        <v>457</v>
      </c>
      <c r="C89" s="108"/>
      <c r="D89" s="108"/>
      <c r="E89" s="108"/>
      <c r="F89" s="108"/>
      <c r="G89" s="108"/>
      <c r="H89" s="108"/>
    </row>
    <row r="90" customFormat="false" ht="24.75" hidden="false" customHeight="true" outlineLevel="0" collapsed="false">
      <c r="B90" s="109" t="s">
        <v>458</v>
      </c>
      <c r="C90" s="109"/>
      <c r="D90" s="109"/>
      <c r="E90" s="109"/>
      <c r="F90" s="109"/>
      <c r="G90" s="109"/>
      <c r="H90" s="109"/>
    </row>
    <row r="91" customFormat="false" ht="12" hidden="false" customHeight="true" outlineLevel="0" collapsed="false"/>
    <row r="92" customFormat="false" ht="15" hidden="false" customHeight="true" outlineLevel="0" collapsed="false">
      <c r="B92" s="110" t="s">
        <v>459</v>
      </c>
    </row>
    <row r="93" customFormat="false" ht="15" hidden="false" customHeight="true" outlineLevel="0" collapsed="false">
      <c r="B93" s="110" t="s">
        <v>460</v>
      </c>
      <c r="C93" s="78" t="n">
        <v>0.05</v>
      </c>
      <c r="D93" s="1" t="s">
        <v>461</v>
      </c>
    </row>
    <row r="94" customFormat="false" ht="15" hidden="false" customHeight="true" outlineLevel="0" collapsed="false">
      <c r="B94" s="110" t="s">
        <v>462</v>
      </c>
      <c r="C94" s="111" t="n">
        <v>0.1</v>
      </c>
      <c r="D94" s="112" t="s">
        <v>387</v>
      </c>
      <c r="E94" s="112" t="s">
        <v>388</v>
      </c>
      <c r="F94" s="112" t="s">
        <v>389</v>
      </c>
      <c r="G94" s="112" t="s">
        <v>390</v>
      </c>
      <c r="H94" s="1" t="s">
        <v>218</v>
      </c>
    </row>
    <row r="95" customFormat="false" ht="15" hidden="false" customHeight="true" outlineLevel="0" collapsed="false">
      <c r="B95" s="110" t="s">
        <v>357</v>
      </c>
      <c r="C95" s="44" t="n">
        <f aca="false">$C$14</f>
        <v>115</v>
      </c>
      <c r="D95" s="44" t="n">
        <f aca="false">C95*(1+$C$93)</f>
        <v>120.75</v>
      </c>
      <c r="E95" s="44" t="n">
        <f aca="false">D95*(1+$C$93)</f>
        <v>126.7875</v>
      </c>
      <c r="F95" s="44" t="n">
        <f aca="false">E95*(1+$C$93)</f>
        <v>133.126875</v>
      </c>
      <c r="G95" s="44" t="n">
        <f aca="false">F95*(1+$C$93)</f>
        <v>139.78321875</v>
      </c>
      <c r="H95" s="1" t="s">
        <v>463</v>
      </c>
    </row>
    <row r="96" customFormat="false" ht="15" hidden="false" customHeight="true" outlineLevel="0" collapsed="false">
      <c r="B96" s="110" t="s">
        <v>464</v>
      </c>
      <c r="C96" s="113" t="n">
        <f aca="false">C95/$C$95</f>
        <v>1</v>
      </c>
      <c r="D96" s="113" t="n">
        <f aca="false">D95/$C$95</f>
        <v>1.05</v>
      </c>
      <c r="E96" s="113" t="n">
        <f aca="false">E95/$C$95</f>
        <v>1.1025</v>
      </c>
      <c r="F96" s="113" t="n">
        <f aca="false">F95/$C$95</f>
        <v>1.157625</v>
      </c>
      <c r="G96" s="113" t="n">
        <f aca="false">G95/$C$95</f>
        <v>1.21550625</v>
      </c>
      <c r="H96" s="1" t="s">
        <v>465</v>
      </c>
    </row>
    <row r="97" customFormat="false" ht="15" hidden="false" customHeight="true" outlineLevel="0" collapsed="false">
      <c r="B97" s="110" t="s">
        <v>466</v>
      </c>
      <c r="C97" s="44" t="n">
        <v>55</v>
      </c>
      <c r="D97" s="44" t="n">
        <f aca="false">C97*(1+$C$93)</f>
        <v>57.75</v>
      </c>
      <c r="E97" s="44" t="n">
        <f aca="false">D97*(1+$C$93)</f>
        <v>60.6375</v>
      </c>
      <c r="F97" s="44" t="n">
        <f aca="false">E97*(1+$C$93)</f>
        <v>63.669375</v>
      </c>
      <c r="G97" s="44" t="n">
        <f aca="false">F97*(1+$C$93)</f>
        <v>66.85284375</v>
      </c>
      <c r="H97" s="1" t="s">
        <v>467</v>
      </c>
    </row>
    <row r="98" customFormat="false" ht="15" hidden="false" customHeight="true" outlineLevel="0" collapsed="false">
      <c r="B98" s="110" t="s">
        <v>468</v>
      </c>
      <c r="C98" s="44" t="n">
        <v>63</v>
      </c>
      <c r="D98" s="44" t="n">
        <f aca="false">C98*(1+$C$93)</f>
        <v>66.15</v>
      </c>
      <c r="E98" s="44" t="n">
        <f aca="false">D98*(1+$C$93)</f>
        <v>69.4575</v>
      </c>
      <c r="F98" s="44" t="n">
        <f aca="false">E98*(1+$C$93)</f>
        <v>72.930375</v>
      </c>
      <c r="G98" s="44" t="n">
        <f aca="false">F98*(1+$C$93)</f>
        <v>76.57689375</v>
      </c>
    </row>
    <row r="99" customFormat="false" ht="15" hidden="false" customHeight="true" outlineLevel="0" collapsed="false">
      <c r="B99" s="110" t="s">
        <v>469</v>
      </c>
      <c r="C99" s="44" t="n">
        <v>73</v>
      </c>
      <c r="D99" s="44" t="n">
        <f aca="false">C99*(1+$C$93)</f>
        <v>76.65</v>
      </c>
      <c r="E99" s="44" t="n">
        <f aca="false">D99*(1+$C$93)</f>
        <v>80.4825</v>
      </c>
      <c r="F99" s="44" t="n">
        <f aca="false">E99*(1+$C$93)</f>
        <v>84.506625</v>
      </c>
      <c r="G99" s="44" t="n">
        <f aca="false">F99*(1+$C$93)</f>
        <v>88.73195625</v>
      </c>
    </row>
    <row r="100" customFormat="false" ht="12" hidden="false" customHeight="true" outlineLevel="0" collapsed="false"/>
    <row r="101" customFormat="false" ht="15" hidden="false" customHeight="true" outlineLevel="0" collapsed="false">
      <c r="B101" s="110" t="s">
        <v>470</v>
      </c>
    </row>
    <row r="102" customFormat="false" ht="15" hidden="false" customHeight="true" outlineLevel="0" collapsed="false">
      <c r="B102" s="110" t="s">
        <v>471</v>
      </c>
      <c r="C102" s="114" t="n">
        <v>13</v>
      </c>
      <c r="D102" s="1" t="s">
        <v>472</v>
      </c>
    </row>
    <row r="103" customFormat="false" ht="15" hidden="false" customHeight="true" outlineLevel="0" collapsed="false">
      <c r="B103" s="110" t="s">
        <v>473</v>
      </c>
      <c r="C103" s="114" t="n">
        <v>3</v>
      </c>
      <c r="D103" s="1" t="s">
        <v>474</v>
      </c>
    </row>
    <row r="104" customFormat="false" ht="15" hidden="false" customHeight="true" outlineLevel="0" collapsed="false">
      <c r="B104" s="110" t="s">
        <v>475</v>
      </c>
      <c r="C104" s="1" t="s">
        <v>476</v>
      </c>
      <c r="D104" s="1" t="s">
        <v>477</v>
      </c>
    </row>
    <row r="105" customFormat="false" ht="15" hidden="false" customHeight="true" outlineLevel="0" collapsed="false">
      <c r="B105" s="110" t="s">
        <v>478</v>
      </c>
      <c r="C105" s="1" t="s">
        <v>479</v>
      </c>
      <c r="D105" s="1" t="s">
        <v>480</v>
      </c>
    </row>
    <row r="106" customFormat="false" ht="15" hidden="false" customHeight="true" outlineLevel="0" collapsed="false">
      <c r="B106" s="110" t="s">
        <v>481</v>
      </c>
      <c r="C106" s="1" t="s">
        <v>482</v>
      </c>
      <c r="D106" s="1" t="s">
        <v>483</v>
      </c>
    </row>
    <row r="107" customFormat="false" ht="12" hidden="false" customHeight="true" outlineLevel="0" collapsed="false"/>
    <row r="108" customFormat="false" ht="15" hidden="false" customHeight="true" outlineLevel="0" collapsed="false">
      <c r="B108" s="110" t="s">
        <v>484</v>
      </c>
    </row>
    <row r="109" customFormat="false" ht="15" hidden="false" customHeight="true" outlineLevel="0" collapsed="false">
      <c r="B109" s="4" t="s">
        <v>485</v>
      </c>
      <c r="C109" s="4" t="s">
        <v>486</v>
      </c>
      <c r="D109" s="4"/>
      <c r="E109" s="4" t="s">
        <v>218</v>
      </c>
    </row>
    <row r="110" customFormat="false" ht="15" hidden="false" customHeight="true" outlineLevel="0" collapsed="false">
      <c r="B110" s="115" t="s">
        <v>487</v>
      </c>
      <c r="C110" s="44" t="n">
        <f aca="false">$C$112/$C$113</f>
        <v>1495.7264957265</v>
      </c>
      <c r="D110" s="44"/>
      <c r="E110" s="1" t="s">
        <v>488</v>
      </c>
    </row>
    <row r="111" customFormat="false" ht="15" hidden="false" customHeight="true" outlineLevel="0" collapsed="false">
      <c r="B111" s="115" t="s">
        <v>489</v>
      </c>
      <c r="C111" s="44" t="n">
        <f aca="false">C110*(1+$C$114)^2</f>
        <v>1744.61538461538</v>
      </c>
      <c r="D111" s="44"/>
      <c r="E111" s="1" t="s">
        <v>490</v>
      </c>
    </row>
    <row r="112" customFormat="false" ht="15" hidden="false" customHeight="true" outlineLevel="0" collapsed="false">
      <c r="B112" s="115" t="s">
        <v>491</v>
      </c>
      <c r="C112" s="44" t="n">
        <v>700000</v>
      </c>
      <c r="D112" s="44"/>
    </row>
    <row r="113" customFormat="false" ht="15" hidden="false" customHeight="true" outlineLevel="0" collapsed="false">
      <c r="B113" s="115" t="s">
        <v>492</v>
      </c>
      <c r="C113" s="1" t="n">
        <v>468</v>
      </c>
      <c r="E113" s="1" t="s">
        <v>493</v>
      </c>
    </row>
    <row r="114" customFormat="false" ht="15" hidden="false" customHeight="true" outlineLevel="0" collapsed="false">
      <c r="B114" s="115" t="s">
        <v>494</v>
      </c>
      <c r="C114" s="116" t="n">
        <v>0.08</v>
      </c>
      <c r="E114" s="1" t="s">
        <v>495</v>
      </c>
    </row>
    <row r="115" customFormat="false" ht="15" hidden="false" customHeight="true" outlineLevel="0" collapsed="false">
      <c r="B115" s="115" t="s">
        <v>496</v>
      </c>
      <c r="C115" s="44" t="n">
        <f aca="false">'Spool Pricing &amp; Mix'!G41</f>
        <v>2032.888488</v>
      </c>
      <c r="E115" s="1" t="s">
        <v>497</v>
      </c>
    </row>
    <row r="116" customFormat="false" ht="15" hidden="false" customHeight="true" outlineLevel="0" collapsed="false">
      <c r="B116" s="115" t="s">
        <v>498</v>
      </c>
      <c r="C116" s="44" t="n">
        <f aca="false">'Spool Pricing &amp; Mix'!G42</f>
        <v>2360.7075639</v>
      </c>
      <c r="E116" s="1" t="s">
        <v>499</v>
      </c>
    </row>
    <row r="117" customFormat="false" ht="15" hidden="false" customHeight="true" outlineLevel="0" collapsed="false">
      <c r="B117" s="110" t="s">
        <v>500</v>
      </c>
      <c r="C117" s="78" t="n">
        <f aca="false">C115/C111-1</f>
        <v>0.165235905820106</v>
      </c>
      <c r="E117" s="1" t="s">
        <v>501</v>
      </c>
    </row>
    <row r="118" customFormat="false" ht="15" hidden="false" customHeight="true" outlineLevel="0" collapsed="false">
      <c r="B118" s="110" t="s">
        <v>502</v>
      </c>
      <c r="C118" s="78" t="n">
        <f aca="false">C116/C111-1</f>
        <v>0.353139256203704</v>
      </c>
    </row>
    <row r="119" customFormat="false" ht="12" hidden="false" customHeight="true" outlineLevel="0" collapsed="false"/>
    <row r="120" customFormat="false" ht="15" hidden="false" customHeight="true" outlineLevel="0" collapsed="false">
      <c r="B120" s="117" t="s">
        <v>503</v>
      </c>
      <c r="C120" s="117"/>
      <c r="D120" s="117"/>
      <c r="E120" s="117"/>
      <c r="F120" s="117"/>
      <c r="G120" s="117"/>
      <c r="H120" s="117"/>
      <c r="I120" s="117"/>
      <c r="J120" s="117"/>
      <c r="K120" s="117"/>
      <c r="L120" s="117"/>
      <c r="M120" s="117"/>
      <c r="N120" s="117"/>
    </row>
    <row r="121" customFormat="false" ht="15" hidden="false" customHeight="true" outlineLevel="0" collapsed="false">
      <c r="B121" s="15"/>
      <c r="C121" s="15"/>
      <c r="D121" s="15"/>
      <c r="E121" s="15"/>
      <c r="F121" s="15"/>
      <c r="G121" s="15"/>
      <c r="H121" s="15"/>
    </row>
    <row r="122" customFormat="false" ht="15" hidden="false" customHeight="true" outlineLevel="0" collapsed="false">
      <c r="B122" s="118" t="s">
        <v>401</v>
      </c>
      <c r="C122" s="118" t="s">
        <v>386</v>
      </c>
      <c r="D122" s="118" t="s">
        <v>387</v>
      </c>
      <c r="E122" s="118" t="s">
        <v>388</v>
      </c>
      <c r="F122" s="118" t="s">
        <v>389</v>
      </c>
      <c r="G122" s="118" t="s">
        <v>390</v>
      </c>
      <c r="H122" s="118" t="s">
        <v>218</v>
      </c>
    </row>
    <row r="123" customFormat="false" ht="15" hidden="false" customHeight="true" outlineLevel="0" collapsed="false">
      <c r="B123" s="15" t="s">
        <v>504</v>
      </c>
      <c r="C123" s="119" t="n">
        <f aca="false">MAX(0,1-C125-C127-C129)</f>
        <v>1</v>
      </c>
      <c r="D123" s="119" t="n">
        <f aca="false">MAX(0,1-D125-D127-D129)</f>
        <v>1</v>
      </c>
      <c r="E123" s="119" t="n">
        <f aca="false">MAX(0,1-E125-E127-E129)</f>
        <v>1</v>
      </c>
      <c r="F123" s="119" t="n">
        <f aca="false">MAX(0,1-F125-F127-F129)</f>
        <v>1</v>
      </c>
      <c r="G123" s="119" t="n">
        <f aca="false">MAX(0,1-G125-G127-G129)</f>
        <v>1</v>
      </c>
      <c r="H123" s="15" t="s">
        <v>505</v>
      </c>
    </row>
    <row r="124" customFormat="false" ht="15" hidden="false" customHeight="true" outlineLevel="0" collapsed="false">
      <c r="B124" s="15" t="s">
        <v>506</v>
      </c>
      <c r="C124" s="120" t="s">
        <v>507</v>
      </c>
      <c r="D124" s="120" t="s">
        <v>507</v>
      </c>
      <c r="E124" s="120" t="s">
        <v>507</v>
      </c>
      <c r="F124" s="120" t="s">
        <v>507</v>
      </c>
      <c r="G124" s="120" t="s">
        <v>507</v>
      </c>
      <c r="H124" s="15" t="s">
        <v>508</v>
      </c>
    </row>
    <row r="125" customFormat="false" ht="15" hidden="false" customHeight="true" outlineLevel="0" collapsed="false">
      <c r="B125" s="15" t="s">
        <v>509</v>
      </c>
      <c r="C125" s="119" t="n">
        <f aca="false">IF(C124="Y",0.25,0)</f>
        <v>0</v>
      </c>
      <c r="D125" s="119" t="n">
        <f aca="false">IF(D124="Y",0.25,0)</f>
        <v>0</v>
      </c>
      <c r="E125" s="119" t="n">
        <f aca="false">IF(E124="Y",0.25,0)</f>
        <v>0</v>
      </c>
      <c r="F125" s="119" t="n">
        <f aca="false">IF(F124="Y",0.25,0)</f>
        <v>0</v>
      </c>
      <c r="G125" s="119" t="n">
        <f aca="false">IF(G124="Y",0.25,0)</f>
        <v>0</v>
      </c>
      <c r="H125" s="15" t="s">
        <v>510</v>
      </c>
    </row>
    <row r="126" customFormat="false" ht="15" hidden="false" customHeight="true" outlineLevel="0" collapsed="false">
      <c r="B126" s="15" t="s">
        <v>511</v>
      </c>
      <c r="C126" s="120" t="s">
        <v>507</v>
      </c>
      <c r="D126" s="120" t="s">
        <v>507</v>
      </c>
      <c r="E126" s="120" t="s">
        <v>507</v>
      </c>
      <c r="F126" s="120" t="s">
        <v>507</v>
      </c>
      <c r="G126" s="120" t="s">
        <v>507</v>
      </c>
      <c r="H126" s="15" t="s">
        <v>512</v>
      </c>
    </row>
    <row r="127" customFormat="false" ht="15" hidden="false" customHeight="true" outlineLevel="0" collapsed="false">
      <c r="B127" s="15" t="s">
        <v>513</v>
      </c>
      <c r="C127" s="119" t="n">
        <f aca="false">IF(C126="Y",0.25,0)</f>
        <v>0</v>
      </c>
      <c r="D127" s="119" t="n">
        <f aca="false">IF(D126="Y",0.25,0)</f>
        <v>0</v>
      </c>
      <c r="E127" s="119" t="n">
        <f aca="false">IF(E126="Y",0.25,0)</f>
        <v>0</v>
      </c>
      <c r="F127" s="119" t="n">
        <f aca="false">IF(F126="Y",0.25,0)</f>
        <v>0</v>
      </c>
      <c r="G127" s="119" t="n">
        <f aca="false">IF(G126="Y",0.25,0)</f>
        <v>0</v>
      </c>
      <c r="H127" s="15" t="s">
        <v>514</v>
      </c>
    </row>
    <row r="128" customFormat="false" ht="15" hidden="false" customHeight="true" outlineLevel="0" collapsed="false">
      <c r="B128" s="15" t="s">
        <v>515</v>
      </c>
      <c r="C128" s="120" t="s">
        <v>507</v>
      </c>
      <c r="D128" s="120" t="s">
        <v>507</v>
      </c>
      <c r="E128" s="120" t="s">
        <v>507</v>
      </c>
      <c r="F128" s="120" t="s">
        <v>507</v>
      </c>
      <c r="G128" s="120" t="s">
        <v>507</v>
      </c>
      <c r="H128" s="15" t="s">
        <v>516</v>
      </c>
    </row>
    <row r="129" customFormat="false" ht="15" hidden="false" customHeight="true" outlineLevel="0" collapsed="false">
      <c r="B129" s="15" t="s">
        <v>517</v>
      </c>
      <c r="C129" s="119" t="n">
        <f aca="false">IF(C128="Y",0.2,0)</f>
        <v>0</v>
      </c>
      <c r="D129" s="119" t="n">
        <f aca="false">IF(D128="Y",0.2,0)</f>
        <v>0</v>
      </c>
      <c r="E129" s="119" t="n">
        <f aca="false">IF(E128="Y",0.2,0)</f>
        <v>0</v>
      </c>
      <c r="F129" s="119" t="n">
        <f aca="false">IF(F128="Y",0.2,0)</f>
        <v>0</v>
      </c>
      <c r="G129" s="119" t="n">
        <f aca="false">IF(G128="Y",0.2,0)</f>
        <v>0</v>
      </c>
      <c r="H129" s="15" t="s">
        <v>518</v>
      </c>
    </row>
    <row r="130" customFormat="false" ht="15" hidden="false" customHeight="true" outlineLevel="0" collapsed="false">
      <c r="B130" s="15"/>
      <c r="C130" s="15"/>
      <c r="D130" s="15"/>
      <c r="E130" s="15"/>
      <c r="F130" s="15"/>
      <c r="G130" s="15"/>
      <c r="H130" s="15"/>
    </row>
    <row r="131" customFormat="false" ht="15" hidden="false" customHeight="true" outlineLevel="0" collapsed="false">
      <c r="B131" s="121" t="s">
        <v>519</v>
      </c>
      <c r="C131" s="121"/>
      <c r="D131" s="121"/>
      <c r="E131" s="121"/>
      <c r="F131" s="121"/>
      <c r="G131" s="121"/>
      <c r="H131" s="121"/>
      <c r="I131" s="121"/>
      <c r="J131" s="121"/>
      <c r="K131" s="121"/>
      <c r="L131" s="121"/>
      <c r="M131" s="121"/>
      <c r="N131" s="121"/>
    </row>
    <row r="132" customFormat="false" ht="15" hidden="false" customHeight="true" outlineLevel="0" collapsed="false">
      <c r="B132" s="122" t="s">
        <v>520</v>
      </c>
      <c r="C132" s="122" t="s">
        <v>386</v>
      </c>
      <c r="D132" s="122" t="s">
        <v>387</v>
      </c>
      <c r="E132" s="122" t="s">
        <v>388</v>
      </c>
      <c r="F132" s="122" t="s">
        <v>389</v>
      </c>
      <c r="G132" s="122" t="s">
        <v>390</v>
      </c>
      <c r="H132" s="122" t="s">
        <v>218</v>
      </c>
    </row>
    <row r="133" customFormat="false" ht="15" hidden="false" customHeight="true" outlineLevel="0" collapsed="false">
      <c r="B133" s="15" t="s">
        <v>521</v>
      </c>
      <c r="C133" s="123" t="n">
        <f aca="false">C57</f>
        <v>0</v>
      </c>
      <c r="D133" s="123" t="n">
        <f aca="false">D57</f>
        <v>45692.688</v>
      </c>
      <c r="E133" s="123" t="n">
        <f aca="false">E57</f>
        <v>83986.56</v>
      </c>
      <c r="F133" s="123" t="n">
        <f aca="false">F57</f>
        <v>86986.08</v>
      </c>
      <c r="G133" s="123" t="n">
        <f aca="false">G57</f>
        <v>86986.08</v>
      </c>
      <c r="H133" s="15" t="s">
        <v>522</v>
      </c>
    </row>
    <row r="134" customFormat="false" ht="15" hidden="false" customHeight="true" outlineLevel="0" collapsed="false">
      <c r="B134" s="15" t="s">
        <v>523</v>
      </c>
      <c r="C134" s="123" t="n">
        <f aca="false">C133*C123</f>
        <v>0</v>
      </c>
      <c r="D134" s="123" t="n">
        <f aca="false">D133*D123</f>
        <v>45692.688</v>
      </c>
      <c r="E134" s="123" t="n">
        <f aca="false">E133*E123</f>
        <v>83986.56</v>
      </c>
      <c r="F134" s="123" t="n">
        <f aca="false">F133*F123</f>
        <v>86986.08</v>
      </c>
      <c r="G134" s="123" t="n">
        <f aca="false">G133*G123</f>
        <v>86986.08</v>
      </c>
      <c r="H134" s="15" t="s">
        <v>524</v>
      </c>
    </row>
    <row r="135" customFormat="false" ht="15" hidden="false" customHeight="true" outlineLevel="0" collapsed="false">
      <c r="B135" s="15" t="s">
        <v>525</v>
      </c>
      <c r="C135" s="123" t="n">
        <f aca="false">C133*C125</f>
        <v>0</v>
      </c>
      <c r="D135" s="123" t="n">
        <f aca="false">D133*D125</f>
        <v>0</v>
      </c>
      <c r="E135" s="123" t="n">
        <f aca="false">E133*E125</f>
        <v>0</v>
      </c>
      <c r="F135" s="123" t="n">
        <f aca="false">F133*F125</f>
        <v>0</v>
      </c>
      <c r="G135" s="123" t="n">
        <f aca="false">G133*G125</f>
        <v>0</v>
      </c>
      <c r="H135" s="15"/>
    </row>
    <row r="136" customFormat="false" ht="15" hidden="false" customHeight="true" outlineLevel="0" collapsed="false">
      <c r="B136" s="15" t="s">
        <v>526</v>
      </c>
      <c r="C136" s="123" t="n">
        <f aca="false">C133*C127</f>
        <v>0</v>
      </c>
      <c r="D136" s="123" t="n">
        <f aca="false">D133*D127</f>
        <v>0</v>
      </c>
      <c r="E136" s="123" t="n">
        <f aca="false">E133*E127</f>
        <v>0</v>
      </c>
      <c r="F136" s="123" t="n">
        <f aca="false">F133*F127</f>
        <v>0</v>
      </c>
      <c r="G136" s="123" t="n">
        <f aca="false">G133*G127</f>
        <v>0</v>
      </c>
      <c r="H136" s="15"/>
    </row>
    <row r="137" customFormat="false" ht="15" hidden="false" customHeight="true" outlineLevel="0" collapsed="false">
      <c r="B137" s="15" t="s">
        <v>527</v>
      </c>
      <c r="C137" s="123" t="n">
        <f aca="false">C133*C129</f>
        <v>0</v>
      </c>
      <c r="D137" s="123" t="n">
        <f aca="false">D133*D129</f>
        <v>0</v>
      </c>
      <c r="E137" s="123" t="n">
        <f aca="false">E133*E129</f>
        <v>0</v>
      </c>
      <c r="F137" s="123" t="n">
        <f aca="false">F133*F129</f>
        <v>0</v>
      </c>
      <c r="G137" s="123" t="n">
        <f aca="false">G133*G129</f>
        <v>0</v>
      </c>
      <c r="H137" s="15"/>
    </row>
    <row r="138" customFormat="false" ht="15" hidden="false" customHeight="true" outlineLevel="0" collapsed="false">
      <c r="B138" s="15" t="s">
        <v>528</v>
      </c>
      <c r="C138" s="124" t="n">
        <f aca="false">C134+C135+C136+C137</f>
        <v>0</v>
      </c>
      <c r="D138" s="124" t="n">
        <f aca="false">D134+D135+D136+D137</f>
        <v>45692.688</v>
      </c>
      <c r="E138" s="124" t="n">
        <f aca="false">E134+E135+E136+E137</f>
        <v>83986.56</v>
      </c>
      <c r="F138" s="124" t="n">
        <f aca="false">F134+F135+F136+F137</f>
        <v>86986.08</v>
      </c>
      <c r="G138" s="124" t="n">
        <f aca="false">G134+G135+G136+G137</f>
        <v>86986.08</v>
      </c>
      <c r="H138" s="15" t="s">
        <v>529</v>
      </c>
    </row>
    <row r="139" customFormat="false" ht="15" hidden="false" customHeight="true" outlineLevel="0" collapsed="false">
      <c r="B139" s="15"/>
      <c r="C139" s="15"/>
      <c r="D139" s="15"/>
      <c r="E139" s="15"/>
      <c r="F139" s="15"/>
      <c r="G139" s="15"/>
      <c r="H139" s="15"/>
    </row>
    <row r="140" customFormat="false" ht="15" hidden="false" customHeight="true" outlineLevel="0" collapsed="false">
      <c r="B140" s="121" t="s">
        <v>530</v>
      </c>
      <c r="C140" s="121"/>
      <c r="D140" s="121"/>
      <c r="E140" s="121"/>
      <c r="F140" s="121"/>
      <c r="G140" s="121"/>
      <c r="H140" s="121"/>
      <c r="I140" s="121"/>
      <c r="J140" s="121"/>
      <c r="K140" s="121"/>
      <c r="L140" s="121"/>
      <c r="M140" s="121"/>
      <c r="N140" s="121"/>
    </row>
    <row r="141" customFormat="false" ht="15" hidden="false" customHeight="true" outlineLevel="0" collapsed="false">
      <c r="B141" s="118" t="s">
        <v>520</v>
      </c>
      <c r="C141" s="118" t="s">
        <v>531</v>
      </c>
      <c r="D141" s="118" t="s">
        <v>532</v>
      </c>
      <c r="E141" s="118" t="s">
        <v>533</v>
      </c>
      <c r="F141" s="118" t="s">
        <v>534</v>
      </c>
      <c r="G141" s="118" t="s">
        <v>535</v>
      </c>
      <c r="H141" s="118" t="s">
        <v>536</v>
      </c>
    </row>
    <row r="142" customFormat="false" ht="15" hidden="false" customHeight="true" outlineLevel="0" collapsed="false">
      <c r="B142" s="15" t="s">
        <v>537</v>
      </c>
      <c r="C142" s="125" t="n">
        <v>0.1</v>
      </c>
      <c r="D142" s="126" t="n">
        <f aca="false">C58*(1-$C$142)</f>
        <v>1829.5996392</v>
      </c>
      <c r="E142" s="126" t="n">
        <f aca="false">D58*(1-$C$142)</f>
        <v>2124.63680751</v>
      </c>
      <c r="F142" s="126" t="n">
        <f aca="false">E58*(1-$C$142)</f>
        <v>2403.363604572</v>
      </c>
      <c r="G142" s="126" t="n">
        <f aca="false">F58*(1-$C$142)</f>
        <v>2578.3836783516</v>
      </c>
      <c r="H142" s="126" t="n">
        <f aca="false">G58*(1-$C$142)</f>
        <v>2707.30286226918</v>
      </c>
    </row>
    <row r="143" customFormat="false" ht="15" hidden="false" customHeight="true" outlineLevel="0" collapsed="false">
      <c r="B143" s="15" t="s">
        <v>538</v>
      </c>
      <c r="C143" s="125" t="n">
        <v>0</v>
      </c>
      <c r="D143" s="126" t="n">
        <f aca="false">C58*(1-$C$143)</f>
        <v>2032.888488</v>
      </c>
      <c r="E143" s="126" t="n">
        <f aca="false">D58*(1-$C$143)</f>
        <v>2360.7075639</v>
      </c>
      <c r="F143" s="126" t="n">
        <f aca="false">E58*(1-$C$143)</f>
        <v>2670.40400508</v>
      </c>
      <c r="G143" s="126" t="n">
        <f aca="false">F58*(1-$C$143)</f>
        <v>2864.870753724</v>
      </c>
      <c r="H143" s="126" t="n">
        <f aca="false">G58*(1-$C$143)</f>
        <v>3008.1142914102</v>
      </c>
    </row>
    <row r="144" customFormat="false" ht="15" hidden="false" customHeight="true" outlineLevel="0" collapsed="false">
      <c r="B144" s="15" t="s">
        <v>539</v>
      </c>
      <c r="C144" s="125" t="n">
        <v>0</v>
      </c>
      <c r="D144" s="126" t="n">
        <f aca="false">C58*(1-$C$144)</f>
        <v>2032.888488</v>
      </c>
      <c r="E144" s="126" t="n">
        <f aca="false">D58*(1-$C$144)</f>
        <v>2360.7075639</v>
      </c>
      <c r="F144" s="126" t="n">
        <f aca="false">E58*(1-$C$144)</f>
        <v>2670.40400508</v>
      </c>
      <c r="G144" s="126" t="n">
        <f aca="false">F58*(1-$C$144)</f>
        <v>2864.870753724</v>
      </c>
      <c r="H144" s="126" t="n">
        <f aca="false">G58*(1-$C$144)</f>
        <v>3008.1142914102</v>
      </c>
    </row>
    <row r="145" customFormat="false" ht="15" hidden="false" customHeight="true" outlineLevel="0" collapsed="false">
      <c r="B145" s="15" t="s">
        <v>540</v>
      </c>
      <c r="C145" s="125" t="n">
        <v>0.05</v>
      </c>
      <c r="D145" s="126" t="n">
        <f aca="false">C58*(1-$C$145)</f>
        <v>1931.2440636</v>
      </c>
      <c r="E145" s="126" t="n">
        <f aca="false">D58*(1-$C$145)</f>
        <v>2242.672185705</v>
      </c>
      <c r="F145" s="126" t="n">
        <f aca="false">E58*(1-$C$145)</f>
        <v>2536.883804826</v>
      </c>
      <c r="G145" s="126" t="n">
        <f aca="false">F58*(1-$C$145)</f>
        <v>2721.6272160378</v>
      </c>
      <c r="H145" s="126" t="n">
        <f aca="false">G58*(1-$C$145)</f>
        <v>2857.70857683969</v>
      </c>
    </row>
    <row r="146" customFormat="false" ht="15" hidden="false" customHeight="true" outlineLevel="0" collapsed="false">
      <c r="B146" s="15"/>
      <c r="C146" s="15"/>
      <c r="D146" s="15"/>
      <c r="E146" s="15"/>
      <c r="F146" s="15"/>
      <c r="G146" s="15"/>
      <c r="H146" s="15"/>
    </row>
    <row r="147" customFormat="false" ht="15" hidden="false" customHeight="true" outlineLevel="0" collapsed="false">
      <c r="B147" s="121" t="s">
        <v>541</v>
      </c>
      <c r="C147" s="121"/>
      <c r="D147" s="121"/>
      <c r="E147" s="121"/>
      <c r="F147" s="121"/>
      <c r="G147" s="121"/>
      <c r="H147" s="121"/>
      <c r="I147" s="121"/>
      <c r="J147" s="121"/>
      <c r="K147" s="121"/>
      <c r="L147" s="121"/>
      <c r="M147" s="121"/>
      <c r="N147" s="121"/>
    </row>
    <row r="148" customFormat="false" ht="15" hidden="false" customHeight="true" outlineLevel="0" collapsed="false">
      <c r="B148" s="122" t="s">
        <v>520</v>
      </c>
      <c r="C148" s="122" t="s">
        <v>386</v>
      </c>
      <c r="D148" s="122" t="s">
        <v>387</v>
      </c>
      <c r="E148" s="122" t="s">
        <v>388</v>
      </c>
      <c r="F148" s="122" t="s">
        <v>389</v>
      </c>
      <c r="G148" s="122" t="s">
        <v>390</v>
      </c>
      <c r="H148" s="122" t="s">
        <v>218</v>
      </c>
    </row>
    <row r="149" customFormat="false" ht="15" hidden="false" customHeight="true" outlineLevel="0" collapsed="false">
      <c r="B149" s="15" t="s">
        <v>542</v>
      </c>
      <c r="C149" s="126" t="n">
        <f aca="false">C134*D142</f>
        <v>0</v>
      </c>
      <c r="D149" s="126" t="n">
        <f aca="false">D134*E142</f>
        <v>97080366.7588705</v>
      </c>
      <c r="E149" s="126" t="n">
        <f aca="false">E134*F142</f>
        <v>201850241.577203</v>
      </c>
      <c r="F149" s="126" t="n">
        <f aca="false">F134*G142</f>
        <v>224283488.915787</v>
      </c>
      <c r="G149" s="126" t="n">
        <f aca="false">G134*H142</f>
        <v>235497663.361576</v>
      </c>
      <c r="H149" s="15"/>
    </row>
    <row r="150" customFormat="false" ht="15" hidden="false" customHeight="true" outlineLevel="0" collapsed="false">
      <c r="B150" s="15" t="s">
        <v>543</v>
      </c>
      <c r="C150" s="126" t="n">
        <f aca="false">C135*D143</f>
        <v>0</v>
      </c>
      <c r="D150" s="126" t="n">
        <f aca="false">D135*E143</f>
        <v>0</v>
      </c>
      <c r="E150" s="126" t="n">
        <f aca="false">E135*F143</f>
        <v>0</v>
      </c>
      <c r="F150" s="126" t="n">
        <f aca="false">F135*G143</f>
        <v>0</v>
      </c>
      <c r="G150" s="126" t="n">
        <f aca="false">G135*H143</f>
        <v>0</v>
      </c>
      <c r="H150" s="15"/>
    </row>
    <row r="151" customFormat="false" ht="15" hidden="false" customHeight="true" outlineLevel="0" collapsed="false">
      <c r="B151" s="15" t="s">
        <v>544</v>
      </c>
      <c r="C151" s="126" t="n">
        <f aca="false">C136*D144</f>
        <v>0</v>
      </c>
      <c r="D151" s="126" t="n">
        <f aca="false">D136*E144</f>
        <v>0</v>
      </c>
      <c r="E151" s="126" t="n">
        <f aca="false">E136*F144</f>
        <v>0</v>
      </c>
      <c r="F151" s="126" t="n">
        <f aca="false">F136*G144</f>
        <v>0</v>
      </c>
      <c r="G151" s="126" t="n">
        <f aca="false">G136*H144</f>
        <v>0</v>
      </c>
      <c r="H151" s="15"/>
    </row>
    <row r="152" customFormat="false" ht="15" hidden="false" customHeight="true" outlineLevel="0" collapsed="false">
      <c r="B152" s="15" t="s">
        <v>545</v>
      </c>
      <c r="C152" s="126" t="n">
        <f aca="false">C137*D145</f>
        <v>0</v>
      </c>
      <c r="D152" s="126" t="n">
        <f aca="false">D137*E145</f>
        <v>0</v>
      </c>
      <c r="E152" s="126" t="n">
        <f aca="false">E137*F145</f>
        <v>0</v>
      </c>
      <c r="F152" s="126" t="n">
        <f aca="false">F137*G145</f>
        <v>0</v>
      </c>
      <c r="G152" s="126" t="n">
        <f aca="false">G137*H145</f>
        <v>0</v>
      </c>
      <c r="H152" s="15"/>
    </row>
    <row r="153" customFormat="false" ht="15" hidden="false" customHeight="true" outlineLevel="0" collapsed="false">
      <c r="B153" s="15" t="s">
        <v>546</v>
      </c>
      <c r="C153" s="127" t="n">
        <f aca="false">SUM(C149:C152)</f>
        <v>0</v>
      </c>
      <c r="D153" s="127" t="n">
        <f aca="false">SUM(D149:D152)</f>
        <v>97080366.7588705</v>
      </c>
      <c r="E153" s="127" t="n">
        <f aca="false">SUM(E149:E152)</f>
        <v>201850241.577203</v>
      </c>
      <c r="F153" s="127" t="n">
        <f aca="false">SUM(F149:F152)</f>
        <v>224283488.915787</v>
      </c>
      <c r="G153" s="127" t="n">
        <f aca="false">SUM(G149:G152)</f>
        <v>235497663.361576</v>
      </c>
      <c r="H153" s="15"/>
    </row>
    <row r="154" customFormat="false" ht="15" hidden="false" customHeight="true" outlineLevel="0" collapsed="false">
      <c r="B154" s="15" t="s">
        <v>547</v>
      </c>
      <c r="C154" s="128" t="n">
        <f aca="false">C153-C59</f>
        <v>0</v>
      </c>
      <c r="D154" s="128" t="n">
        <f aca="false">D153-D59</f>
        <v>-10786707.4176523</v>
      </c>
      <c r="E154" s="128" t="n">
        <f aca="false">E153-E59</f>
        <v>-22427804.6196892</v>
      </c>
      <c r="F154" s="128" t="n">
        <f aca="false">F153-F59</f>
        <v>-24920387.6573096</v>
      </c>
      <c r="G154" s="128" t="n">
        <f aca="false">G153-G59</f>
        <v>-26166407.0401751</v>
      </c>
      <c r="H154" s="15" t="s">
        <v>548</v>
      </c>
    </row>
    <row r="155" customFormat="false" ht="12" hidden="false" customHeight="true" outlineLevel="0" collapsed="false"/>
    <row r="156" customFormat="false" ht="15" hidden="false" customHeight="true" outlineLevel="0" collapsed="false">
      <c r="B156" s="129" t="s">
        <v>549</v>
      </c>
      <c r="C156" s="129"/>
      <c r="D156" s="129"/>
      <c r="E156" s="129"/>
      <c r="F156" s="129"/>
      <c r="G156" s="129"/>
      <c r="H156" s="129"/>
      <c r="I156" s="129"/>
      <c r="J156" s="129"/>
      <c r="K156" s="129"/>
      <c r="L156" s="129"/>
      <c r="M156" s="129"/>
      <c r="N156" s="129"/>
    </row>
    <row r="157" customFormat="false" ht="12" hidden="false" customHeight="true" outlineLevel="0" collapsed="false"/>
    <row r="158" customFormat="false" ht="12.75" hidden="false" customHeight="true" outlineLevel="0" collapsed="false">
      <c r="B158" s="118" t="s">
        <v>401</v>
      </c>
      <c r="C158" s="118" t="s">
        <v>386</v>
      </c>
      <c r="D158" s="118" t="s">
        <v>387</v>
      </c>
      <c r="E158" s="118" t="s">
        <v>388</v>
      </c>
      <c r="F158" s="118" t="s">
        <v>389</v>
      </c>
      <c r="G158" s="118" t="s">
        <v>390</v>
      </c>
      <c r="H158" s="118" t="s">
        <v>218</v>
      </c>
    </row>
    <row r="159" customFormat="false" ht="12" hidden="false" customHeight="true" outlineLevel="0" collapsed="false">
      <c r="B159" s="1" t="s">
        <v>550</v>
      </c>
      <c r="C159" s="114" t="n">
        <f aca="false">C80</f>
        <v>4</v>
      </c>
      <c r="D159" s="114" t="n">
        <f aca="false">D80</f>
        <v>4</v>
      </c>
      <c r="E159" s="114" t="n">
        <f aca="false">E80</f>
        <v>4</v>
      </c>
      <c r="F159" s="114" t="n">
        <f aca="false">F80</f>
        <v>4</v>
      </c>
      <c r="G159" s="114" t="n">
        <f aca="false">G80</f>
        <v>4</v>
      </c>
      <c r="H159" s="1" t="s">
        <v>551</v>
      </c>
    </row>
    <row r="160" customFormat="false" ht="12" hidden="false" customHeight="true" outlineLevel="0" collapsed="false">
      <c r="B160" s="1" t="s">
        <v>552</v>
      </c>
      <c r="C160" s="114" t="n">
        <f aca="false">C81</f>
        <v>4</v>
      </c>
      <c r="D160" s="114" t="n">
        <f aca="false">D81</f>
        <v>4</v>
      </c>
      <c r="E160" s="114" t="n">
        <f aca="false">E81</f>
        <v>4</v>
      </c>
      <c r="F160" s="114" t="n">
        <f aca="false">F81</f>
        <v>4</v>
      </c>
      <c r="G160" s="114" t="n">
        <f aca="false">G81</f>
        <v>4</v>
      </c>
      <c r="H160" s="1" t="s">
        <v>553</v>
      </c>
    </row>
    <row r="161" customFormat="false" ht="12" hidden="false" customHeight="true" outlineLevel="0" collapsed="false">
      <c r="B161" s="1" t="s">
        <v>554</v>
      </c>
      <c r="C161" s="114" t="n">
        <f aca="false">$C$75</f>
        <v>14</v>
      </c>
      <c r="D161" s="114" t="n">
        <f aca="false">$C$75</f>
        <v>14</v>
      </c>
      <c r="E161" s="114" t="n">
        <f aca="false">$C$75</f>
        <v>14</v>
      </c>
      <c r="F161" s="114" t="n">
        <f aca="false">$C$75</f>
        <v>14</v>
      </c>
      <c r="G161" s="114" t="n">
        <f aca="false">$C$75</f>
        <v>14</v>
      </c>
      <c r="H161" s="1" t="s">
        <v>555</v>
      </c>
    </row>
    <row r="162" customFormat="false" ht="12" hidden="false" customHeight="true" outlineLevel="0" collapsed="false">
      <c r="B162" s="1" t="s">
        <v>556</v>
      </c>
      <c r="C162" s="114" t="n">
        <f aca="false">$C$77</f>
        <v>6</v>
      </c>
      <c r="D162" s="114" t="n">
        <f aca="false">$C$77</f>
        <v>6</v>
      </c>
      <c r="E162" s="114" t="n">
        <f aca="false">$C$77</f>
        <v>6</v>
      </c>
      <c r="F162" s="114" t="n">
        <f aca="false">$C$77</f>
        <v>6</v>
      </c>
      <c r="G162" s="114" t="n">
        <f aca="false">$C$77</f>
        <v>6</v>
      </c>
      <c r="H162" s="1" t="s">
        <v>557</v>
      </c>
    </row>
    <row r="163" customFormat="false" ht="12" hidden="false" customHeight="true" outlineLevel="0" collapsed="false">
      <c r="B163" s="1" t="s">
        <v>558</v>
      </c>
      <c r="C163" s="114" t="n">
        <f aca="false">C51</f>
        <v>1</v>
      </c>
      <c r="D163" s="114" t="n">
        <f aca="false">D51</f>
        <v>2</v>
      </c>
      <c r="E163" s="114" t="n">
        <f aca="false">E51</f>
        <v>3</v>
      </c>
      <c r="F163" s="114" t="n">
        <f aca="false">F51</f>
        <v>3</v>
      </c>
      <c r="G163" s="114" t="n">
        <f aca="false">G51</f>
        <v>3</v>
      </c>
    </row>
    <row r="164" customFormat="false" ht="12" hidden="false" customHeight="true" outlineLevel="0" collapsed="false">
      <c r="B164" s="1" t="s">
        <v>402</v>
      </c>
      <c r="C164" s="114" t="n">
        <f aca="false">C49</f>
        <v>0</v>
      </c>
      <c r="D164" s="114" t="n">
        <f aca="false">D49</f>
        <v>12</v>
      </c>
      <c r="E164" s="114" t="n">
        <f aca="false">E49</f>
        <v>12</v>
      </c>
      <c r="F164" s="114" t="n">
        <f aca="false">F49</f>
        <v>12</v>
      </c>
      <c r="G164" s="114" t="n">
        <f aca="false">G49</f>
        <v>12</v>
      </c>
    </row>
    <row r="165" customFormat="false" ht="12" hidden="false" customHeight="true" outlineLevel="0" collapsed="false">
      <c r="B165" s="1" t="s">
        <v>412</v>
      </c>
      <c r="C165" s="130" t="n">
        <f aca="false">$C$54</f>
        <v>20.83</v>
      </c>
      <c r="D165" s="130" t="n">
        <f aca="false">$C$54</f>
        <v>20.83</v>
      </c>
      <c r="E165" s="130" t="n">
        <f aca="false">$C$54</f>
        <v>20.83</v>
      </c>
      <c r="F165" s="130" t="n">
        <f aca="false">$C$54</f>
        <v>20.83</v>
      </c>
      <c r="G165" s="130" t="n">
        <f aca="false">$C$54</f>
        <v>20.83</v>
      </c>
    </row>
    <row r="166" customFormat="false" ht="12" hidden="false" customHeight="true" outlineLevel="0" collapsed="false">
      <c r="B166" s="1" t="s">
        <v>559</v>
      </c>
      <c r="C166" s="78" t="n">
        <f aca="false">$C$30+$D$30</f>
        <v>0.604700854700855</v>
      </c>
      <c r="D166" s="78" t="n">
        <f aca="false">$C$30+$D$30</f>
        <v>0.604700854700855</v>
      </c>
      <c r="E166" s="78" t="n">
        <f aca="false">$C$30+$D$30</f>
        <v>0.604700854700855</v>
      </c>
      <c r="F166" s="78" t="n">
        <f aca="false">$C$30+$D$30</f>
        <v>0.604700854700855</v>
      </c>
      <c r="G166" s="78" t="n">
        <f aca="false">$C$30+$D$30</f>
        <v>0.604700854700855</v>
      </c>
    </row>
    <row r="167" customFormat="false" ht="12" hidden="false" customHeight="true" outlineLevel="0" collapsed="false">
      <c r="B167" s="1" t="s">
        <v>560</v>
      </c>
      <c r="C167" s="78" t="n">
        <f aca="false">$E$30+$F$30</f>
        <v>0.395299145299145</v>
      </c>
      <c r="D167" s="78" t="n">
        <f aca="false">$E$30+$F$30</f>
        <v>0.395299145299145</v>
      </c>
      <c r="E167" s="78" t="n">
        <f aca="false">$E$30+$F$30</f>
        <v>0.395299145299145</v>
      </c>
      <c r="F167" s="78" t="n">
        <f aca="false">$E$30+$F$30</f>
        <v>0.395299145299145</v>
      </c>
      <c r="G167" s="78" t="n">
        <f aca="false">$E$30+$F$30</f>
        <v>0.395299145299145</v>
      </c>
    </row>
    <row r="168" customFormat="false" ht="12" hidden="false" customHeight="true" outlineLevel="0" collapsed="false">
      <c r="B168" s="1" t="s">
        <v>561</v>
      </c>
      <c r="C168" s="40" t="n">
        <f aca="false">IF(C166=0,0,(C159*C161*C163*C164*C165)/C166)</f>
        <v>0</v>
      </c>
      <c r="D168" s="40" t="n">
        <f aca="false">IF(D166=0,0,(D159*D161*D163*D164*D165)/D166)</f>
        <v>46296.4783038869</v>
      </c>
      <c r="E168" s="40" t="n">
        <f aca="false">IF(E166=0,0,(E159*E161*E163*E164*E165)/E166)</f>
        <v>69444.7174558304</v>
      </c>
      <c r="F168" s="40" t="n">
        <f aca="false">IF(F166=0,0,(F159*F161*F163*F164*F165)/F166)</f>
        <v>69444.7174558304</v>
      </c>
      <c r="G168" s="40" t="n">
        <f aca="false">IF(G166=0,0,(G159*G161*G163*G164*G165)/G166)</f>
        <v>69444.7174558304</v>
      </c>
      <c r="H168" s="1" t="s">
        <v>562</v>
      </c>
    </row>
    <row r="169" customFormat="false" ht="12" hidden="false" customHeight="true" outlineLevel="0" collapsed="false">
      <c r="B169" s="1" t="s">
        <v>563</v>
      </c>
      <c r="C169" s="40" t="n">
        <f aca="false">IF(C167=0,9999999,(C160*C162*C163*C164*C165)/C167)</f>
        <v>0</v>
      </c>
      <c r="D169" s="40" t="n">
        <f aca="false">IF(D167=0,9999999,(D160*D162*D163*D164*D165)/D167)</f>
        <v>30351.8996756757</v>
      </c>
      <c r="E169" s="40" t="n">
        <f aca="false">IF(E167=0,9999999,(E160*E162*E163*E164*E165)/E167)</f>
        <v>45527.8495135135</v>
      </c>
      <c r="F169" s="40" t="n">
        <f aca="false">IF(F167=0,9999999,(F160*F162*F163*F164*F165)/F167)</f>
        <v>45527.8495135135</v>
      </c>
      <c r="G169" s="40" t="n">
        <f aca="false">IF(G167=0,9999999,(G160*G162*G163*G164*G165)/G167)</f>
        <v>45527.8495135135</v>
      </c>
      <c r="H169" s="1" t="s">
        <v>564</v>
      </c>
    </row>
    <row r="170" customFormat="false" ht="14.25" hidden="false" customHeight="true" outlineLevel="0" collapsed="false">
      <c r="B170" s="131" t="s">
        <v>565</v>
      </c>
      <c r="C170" s="132" t="n">
        <f aca="false">MIN(C168,C169)</f>
        <v>0</v>
      </c>
      <c r="D170" s="132" t="n">
        <f aca="false">MIN(D168,D169)</f>
        <v>30351.8996756757</v>
      </c>
      <c r="E170" s="132" t="n">
        <f aca="false">MIN(E168,E169)</f>
        <v>45527.8495135135</v>
      </c>
      <c r="F170" s="132" t="n">
        <f aca="false">MIN(F168,F169)</f>
        <v>45527.8495135135</v>
      </c>
      <c r="G170" s="132" t="n">
        <f aca="false">MIN(G168,G169)</f>
        <v>45527.8495135135</v>
      </c>
      <c r="H170" s="1" t="s">
        <v>566</v>
      </c>
    </row>
    <row r="171" customFormat="false" ht="12" hidden="false" customHeight="true" outlineLevel="0" collapsed="false">
      <c r="B171" s="1" t="s">
        <v>567</v>
      </c>
      <c r="C171" s="78" t="n">
        <f aca="false">$E$30+$F$30</f>
        <v>0.395299145299145</v>
      </c>
      <c r="D171" s="78" t="n">
        <f aca="false">$E$30+$F$30</f>
        <v>0.395299145299145</v>
      </c>
      <c r="E171" s="78" t="n">
        <f aca="false">$E$30+$F$30</f>
        <v>0.395299145299145</v>
      </c>
      <c r="F171" s="78" t="n">
        <f aca="false">$E$30+$F$30</f>
        <v>0.395299145299145</v>
      </c>
      <c r="G171" s="78" t="n">
        <f aca="false">$E$30+$F$30</f>
        <v>0.395299145299145</v>
      </c>
    </row>
    <row r="172" customFormat="false" ht="12" hidden="false" customHeight="true" outlineLevel="0" collapsed="false">
      <c r="B172" s="1" t="s">
        <v>568</v>
      </c>
      <c r="C172" s="130" t="n">
        <f aca="false">C53</f>
        <v>1</v>
      </c>
      <c r="D172" s="130" t="n">
        <f aca="false">D53</f>
        <v>1.3</v>
      </c>
      <c r="E172" s="130" t="n">
        <f aca="false">E53</f>
        <v>1.8</v>
      </c>
      <c r="F172" s="130" t="n">
        <f aca="false">F53</f>
        <v>1.9</v>
      </c>
      <c r="G172" s="130" t="n">
        <f aca="false">G53</f>
        <v>1.9</v>
      </c>
      <c r="H172" s="1" t="s">
        <v>569</v>
      </c>
    </row>
    <row r="173" customFormat="false" ht="15" hidden="false" customHeight="true" outlineLevel="0" collapsed="false">
      <c r="B173" s="133" t="s">
        <v>570</v>
      </c>
      <c r="C173" s="134" t="n">
        <f aca="false">C170*((1-C171)+C171*C172)</f>
        <v>0</v>
      </c>
      <c r="D173" s="134" t="n">
        <f aca="false">D170*((1-D171)+D171*D172)</f>
        <v>33951.3236756757</v>
      </c>
      <c r="E173" s="134" t="n">
        <f aca="false">E170*((1-E171)+E171*E172)</f>
        <v>59925.5455135135</v>
      </c>
      <c r="F173" s="134" t="n">
        <f aca="false">F170*((1-F171)+F171*F172)</f>
        <v>61725.2575135135</v>
      </c>
      <c r="G173" s="134" t="n">
        <f aca="false">G170*((1-G171)+G171*G172)</f>
        <v>61725.2575135135</v>
      </c>
      <c r="H173" s="1" t="s">
        <v>571</v>
      </c>
    </row>
    <row r="174" customFormat="false" ht="12" hidden="false" customHeight="true" outlineLevel="0" collapsed="false"/>
    <row r="175" customFormat="false" ht="12.75" hidden="false" customHeight="true" outlineLevel="0" collapsed="false">
      <c r="B175" s="1" t="s">
        <v>572</v>
      </c>
      <c r="C175" s="135" t="n">
        <f aca="false">C57</f>
        <v>0</v>
      </c>
      <c r="D175" s="135" t="n">
        <f aca="false">D57</f>
        <v>45692.688</v>
      </c>
      <c r="E175" s="135" t="n">
        <f aca="false">E57</f>
        <v>83986.56</v>
      </c>
      <c r="F175" s="135" t="n">
        <f aca="false">F57</f>
        <v>86986.08</v>
      </c>
      <c r="G175" s="135" t="n">
        <f aca="false">G57</f>
        <v>86986.08</v>
      </c>
    </row>
    <row r="176" customFormat="false" ht="12.75" hidden="false" customHeight="true" outlineLevel="0" collapsed="false">
      <c r="B176" s="1" t="s">
        <v>573</v>
      </c>
      <c r="C176" s="136" t="n">
        <f aca="false">IF(C173=0,0,C175/C173-1)</f>
        <v>0</v>
      </c>
      <c r="D176" s="136" t="n">
        <f aca="false">IF(D173=0,0,D175/D173-1)</f>
        <v>0.345829353709009</v>
      </c>
      <c r="E176" s="136" t="n">
        <f aca="false">IF(E173=0,0,E175/E173-1)</f>
        <v>0.401515151515151</v>
      </c>
      <c r="F176" s="136" t="n">
        <f aca="false">IF(F173=0,0,F175/F173-1)</f>
        <v>0.409246125558181</v>
      </c>
      <c r="G176" s="136" t="n">
        <f aca="false">IF(G173=0,0,G175/G173-1)</f>
        <v>0.409246125558181</v>
      </c>
      <c r="H176" s="1" t="s">
        <v>574</v>
      </c>
    </row>
    <row r="177" customFormat="false" ht="12" hidden="false" customHeight="true" outlineLevel="0" collapsed="false"/>
    <row r="178" customFormat="false" ht="14.25" hidden="false" customHeight="true" outlineLevel="0" collapsed="false">
      <c r="B178" s="137" t="s">
        <v>575</v>
      </c>
      <c r="C178" s="138" t="n">
        <f aca="false">C173*D142</f>
        <v>0</v>
      </c>
      <c r="D178" s="138" t="n">
        <f aca="false">D173*E142</f>
        <v>72134231.9450263</v>
      </c>
      <c r="E178" s="138" t="n">
        <f aca="false">E173*F142</f>
        <v>144022875.071301</v>
      </c>
      <c r="F178" s="138" t="n">
        <f aca="false">F173*G142</f>
        <v>159151396.514893</v>
      </c>
      <c r="G178" s="138" t="n">
        <f aca="false">G173*H142</f>
        <v>167108966.340638</v>
      </c>
      <c r="H178" s="1" t="s">
        <v>576</v>
      </c>
    </row>
    <row r="179" customFormat="false" ht="12" hidden="false" customHeight="true" outlineLevel="0" collapsed="false"/>
    <row r="180" customFormat="false" ht="15" hidden="false" customHeight="true" outlineLevel="0" collapsed="false">
      <c r="B180" s="139" t="s">
        <v>577</v>
      </c>
      <c r="C180" s="139"/>
      <c r="D180" s="139"/>
      <c r="E180" s="139"/>
      <c r="F180" s="139"/>
      <c r="G180" s="139"/>
      <c r="H180" s="139"/>
      <c r="I180" s="139"/>
      <c r="J180" s="139"/>
      <c r="K180" s="139"/>
      <c r="L180" s="139"/>
      <c r="M180" s="139"/>
      <c r="N180" s="139"/>
    </row>
    <row r="181" customFormat="false" ht="12" hidden="false" customHeight="true" outlineLevel="0" collapsed="false"/>
    <row r="182" customFormat="false" ht="12.75" hidden="false" customHeight="true" outlineLevel="0" collapsed="false">
      <c r="B182" s="118" t="s">
        <v>401</v>
      </c>
      <c r="C182" s="118" t="s">
        <v>486</v>
      </c>
      <c r="D182" s="118" t="s">
        <v>218</v>
      </c>
    </row>
    <row r="183" customFormat="false" ht="14.25" hidden="false" customHeight="true" outlineLevel="0" collapsed="false">
      <c r="B183" s="1" t="s">
        <v>578</v>
      </c>
      <c r="C183" s="140" t="n">
        <v>1.6</v>
      </c>
      <c r="D183" s="1" t="s">
        <v>579</v>
      </c>
    </row>
    <row r="184" customFormat="false" ht="14.25" hidden="false" customHeight="true" outlineLevel="0" collapsed="false">
      <c r="B184" s="1" t="s">
        <v>580</v>
      </c>
      <c r="C184" s="140" t="n">
        <v>1.9</v>
      </c>
      <c r="D184" s="1" t="s">
        <v>581</v>
      </c>
    </row>
    <row r="185" customFormat="false" ht="14.25" hidden="false" customHeight="true" outlineLevel="0" collapsed="false">
      <c r="B185" s="1" t="s">
        <v>582</v>
      </c>
      <c r="C185" s="140" t="n">
        <v>3</v>
      </c>
    </row>
    <row r="186" customFormat="false" ht="14.25" hidden="false" customHeight="true" outlineLevel="0" collapsed="false">
      <c r="B186" s="1" t="s">
        <v>583</v>
      </c>
      <c r="C186" s="140" t="n">
        <v>12</v>
      </c>
    </row>
    <row r="187" customFormat="false" ht="12" hidden="false" customHeight="true" outlineLevel="0" collapsed="false"/>
    <row r="188" customFormat="false" ht="12" hidden="false" customHeight="true" outlineLevel="0" collapsed="false">
      <c r="B188" s="1" t="s">
        <v>584</v>
      </c>
      <c r="C188" s="40" t="n">
        <f aca="false">4*14*$C$183*$C$185*$C$54*$C$186</f>
        <v>67189.248</v>
      </c>
      <c r="D188" s="1" t="s">
        <v>585</v>
      </c>
    </row>
    <row r="189" customFormat="false" ht="12" hidden="false" customHeight="true" outlineLevel="0" collapsed="false">
      <c r="B189" s="1" t="s">
        <v>586</v>
      </c>
      <c r="C189" s="40" t="n">
        <f aca="false">4*6*$C$184*$C$185*$C$54*$C$186</f>
        <v>34194.528</v>
      </c>
      <c r="D189" s="1" t="s">
        <v>587</v>
      </c>
    </row>
    <row r="190" customFormat="false" ht="12" hidden="false" customHeight="true" outlineLevel="0" collapsed="false">
      <c r="B190" s="1" t="s">
        <v>588</v>
      </c>
      <c r="C190" s="40" t="n">
        <f aca="false">C188/($C$30+$D$30)</f>
        <v>111111.547929329</v>
      </c>
      <c r="D190" s="1" t="s">
        <v>589</v>
      </c>
    </row>
    <row r="191" customFormat="false" ht="12" hidden="false" customHeight="true" outlineLevel="0" collapsed="false">
      <c r="B191" s="1" t="s">
        <v>590</v>
      </c>
      <c r="C191" s="40" t="n">
        <f aca="false">C189/($E$30+$F$30)</f>
        <v>86502.9140756757</v>
      </c>
      <c r="D191" s="1" t="s">
        <v>591</v>
      </c>
    </row>
    <row r="192" customFormat="false" ht="18" hidden="false" customHeight="true" outlineLevel="0" collapsed="false">
      <c r="B192" s="141" t="s">
        <v>592</v>
      </c>
      <c r="C192" s="142" t="n">
        <f aca="false">MIN(C190,C191)</f>
        <v>86502.9140756757</v>
      </c>
    </row>
    <row r="193" customFormat="false" ht="14.25" hidden="false" customHeight="true" outlineLevel="0" collapsed="false">
      <c r="B193" s="1" t="s">
        <v>593</v>
      </c>
      <c r="C193" s="138" t="n">
        <f aca="false">C192*D142</f>
        <v>158265700.382605</v>
      </c>
    </row>
    <row r="194" customFormat="false" ht="14.25" hidden="false" customHeight="true" outlineLevel="0" collapsed="false">
      <c r="B194" s="1" t="s">
        <v>594</v>
      </c>
      <c r="C194" s="138" t="n">
        <f aca="false">C192*E142</f>
        <v>183787275.202056</v>
      </c>
    </row>
    <row r="195" customFormat="false" ht="12" hidden="false" customHeight="true" outlineLevel="0" collapsed="false"/>
    <row r="196" customFormat="false" ht="14.25" hidden="false" customHeight="true" outlineLevel="0" collapsed="false">
      <c r="B196" s="143" t="s">
        <v>595</v>
      </c>
      <c r="C196" s="143"/>
      <c r="D196" s="143"/>
      <c r="E196" s="143"/>
      <c r="F196" s="143"/>
      <c r="G196" s="143"/>
      <c r="H196" s="143"/>
      <c r="I196" s="143"/>
      <c r="J196" s="143"/>
      <c r="K196" s="143"/>
      <c r="L196" s="143"/>
      <c r="M196" s="143"/>
      <c r="N196" s="143"/>
    </row>
    <row r="197" customFormat="false" ht="12.75" hidden="false" customHeight="true" outlineLevel="0" collapsed="false">
      <c r="B197" s="122" t="s">
        <v>596</v>
      </c>
      <c r="C197" s="122" t="s">
        <v>597</v>
      </c>
      <c r="D197" s="122" t="s">
        <v>598</v>
      </c>
      <c r="E197" s="122" t="s">
        <v>599</v>
      </c>
      <c r="F197" s="122" t="s">
        <v>600</v>
      </c>
    </row>
    <row r="198" customFormat="false" ht="12" hidden="false" customHeight="true" outlineLevel="0" collapsed="false">
      <c r="B198" s="1" t="n">
        <v>4</v>
      </c>
      <c r="C198" s="40" t="n">
        <f aca="false">4*6*$C$184*$C$185*$C$54*$C$186</f>
        <v>34194.528</v>
      </c>
      <c r="D198" s="40" t="n">
        <f aca="false">4*6*$C$184*$C$185*$C$54*$C$186/($E$30+$F$30)</f>
        <v>86502.9140756757</v>
      </c>
      <c r="E198" s="144" t="n">
        <f aca="false">D198-C188/($C$30+$D$30)</f>
        <v>-24608.6338536529</v>
      </c>
      <c r="F198" s="1" t="str">
        <f aca="false">IF(D198&lt;C188/($C$30+$D$30),"Hvy","SB")</f>
        <v>Hvy</v>
      </c>
    </row>
    <row r="199" customFormat="false" ht="12" hidden="false" customHeight="true" outlineLevel="0" collapsed="false">
      <c r="B199" s="1" t="n">
        <v>5</v>
      </c>
      <c r="C199" s="40" t="n">
        <f aca="false">5*6*$C$184*$C$185*$C$54*$C$186</f>
        <v>42743.16</v>
      </c>
      <c r="D199" s="40" t="n">
        <f aca="false">5*6*$C$184*$C$185*$C$54*$C$186/($E$30+$F$30)</f>
        <v>108128.642594595</v>
      </c>
      <c r="E199" s="144" t="n">
        <f aca="false">D199-C188/($C$30+$D$30)</f>
        <v>-2982.90533473389</v>
      </c>
      <c r="F199" s="1" t="str">
        <f aca="false">IF(D199&lt;C188/($C$30+$D$30),"Hvy","SB")</f>
        <v>Hvy</v>
      </c>
    </row>
    <row r="200" customFormat="false" ht="12" hidden="false" customHeight="true" outlineLevel="0" collapsed="false">
      <c r="B200" s="1" t="n">
        <v>6</v>
      </c>
      <c r="C200" s="40" t="n">
        <f aca="false">6*6*$C$184*$C$185*$C$54*$C$186</f>
        <v>51291.792</v>
      </c>
      <c r="D200" s="40" t="n">
        <f aca="false">6*6*$C$184*$C$185*$C$54*$C$186/($E$30+$F$30)</f>
        <v>129754.371113514</v>
      </c>
      <c r="E200" s="144" t="n">
        <f aca="false">D200-C188/($C$30+$D$30)</f>
        <v>18642.8231841851</v>
      </c>
      <c r="F200" s="1" t="str">
        <f aca="false">IF(D200&lt;C188/($C$30+$D$30),"Hvy","SB")</f>
        <v>SB</v>
      </c>
    </row>
    <row r="201" customFormat="false" ht="12" hidden="false" customHeight="true" outlineLevel="0" collapsed="false">
      <c r="B201" s="1" t="n">
        <v>7</v>
      </c>
      <c r="C201" s="40" t="n">
        <f aca="false">7*6*$C$184*$C$185*$C$54*$C$186</f>
        <v>59840.424</v>
      </c>
      <c r="D201" s="40" t="n">
        <f aca="false">7*6*$C$184*$C$185*$C$54*$C$186/($E$30+$F$30)</f>
        <v>151380.099632433</v>
      </c>
      <c r="E201" s="144" t="n">
        <f aca="false">D201-C188/($C$30+$D$30)</f>
        <v>40268.551703104</v>
      </c>
      <c r="F201" s="1" t="str">
        <f aca="false">IF(D201&lt;C188/($C$30+$D$30),"Hvy","SB")</f>
        <v>SB</v>
      </c>
    </row>
    <row r="202" customFormat="false" ht="12" hidden="false" customHeight="true" outlineLevel="0" collapsed="false">
      <c r="B202" s="1" t="n">
        <v>8</v>
      </c>
      <c r="C202" s="40" t="n">
        <f aca="false">8*6*$C$184*$C$185*$C$54*$C$186</f>
        <v>68389.056</v>
      </c>
      <c r="D202" s="40" t="n">
        <f aca="false">8*6*$C$184*$C$185*$C$54*$C$186/($E$30+$F$30)</f>
        <v>173005.828151351</v>
      </c>
      <c r="E202" s="144" t="n">
        <f aca="false">D202-C188/($C$30+$D$30)</f>
        <v>61894.2802220229</v>
      </c>
      <c r="F202" s="1" t="str">
        <f aca="false">IF(D202&lt;C188/($C$30+$D$30),"Hvy","SB")</f>
        <v>SB</v>
      </c>
    </row>
    <row r="203" customFormat="false" ht="12" hidden="false" customHeight="true" outlineLevel="0" collapsed="false"/>
    <row r="204" customFormat="false" ht="12" hidden="false" customHeight="true" outlineLevel="0" collapsed="false"/>
    <row r="205" customFormat="false" ht="15" hidden="false" customHeight="true" outlineLevel="0" collapsed="false">
      <c r="B205" s="139" t="s">
        <v>601</v>
      </c>
      <c r="C205" s="139"/>
      <c r="D205" s="139"/>
      <c r="E205" s="139"/>
      <c r="F205" s="139"/>
      <c r="G205" s="139"/>
      <c r="H205" s="139"/>
      <c r="I205" s="139"/>
      <c r="J205" s="139"/>
      <c r="K205" s="139"/>
      <c r="L205" s="139"/>
      <c r="M205" s="139"/>
      <c r="N205" s="139"/>
    </row>
    <row r="206" customFormat="false" ht="12" hidden="false" customHeight="true" outlineLevel="0" collapsed="false"/>
    <row r="207" customFormat="false" ht="12.75" hidden="false" customHeight="true" outlineLevel="0" collapsed="false">
      <c r="B207" s="122" t="s">
        <v>602</v>
      </c>
      <c r="C207" s="122" t="s">
        <v>486</v>
      </c>
      <c r="D207" s="122" t="s">
        <v>218</v>
      </c>
    </row>
    <row r="208" customFormat="false" ht="14.25" hidden="false" customHeight="true" outlineLevel="0" collapsed="false">
      <c r="B208" s="1" t="s">
        <v>603</v>
      </c>
      <c r="C208" s="145" t="n">
        <v>1500000</v>
      </c>
      <c r="D208" s="1" t="s">
        <v>604</v>
      </c>
    </row>
    <row r="209" customFormat="false" ht="14.25" hidden="false" customHeight="true" outlineLevel="0" collapsed="false">
      <c r="B209" s="1" t="s">
        <v>605</v>
      </c>
      <c r="C209" s="140" t="n">
        <v>8</v>
      </c>
      <c r="D209" s="1" t="s">
        <v>606</v>
      </c>
    </row>
    <row r="210" customFormat="false" ht="15" hidden="false" customHeight="true" outlineLevel="0" collapsed="false">
      <c r="B210" s="1" t="s">
        <v>607</v>
      </c>
      <c r="C210" s="146" t="n">
        <f aca="false">C208*C209</f>
        <v>12000000</v>
      </c>
    </row>
    <row r="211" customFormat="false" ht="12" hidden="false" customHeight="true" outlineLevel="0" collapsed="false"/>
    <row r="212" customFormat="false" ht="12" hidden="false" customHeight="true" outlineLevel="0" collapsed="false">
      <c r="B212" s="1" t="s">
        <v>608</v>
      </c>
      <c r="C212" s="40" t="n">
        <f aca="false">E173</f>
        <v>59925.5455135135</v>
      </c>
    </row>
    <row r="213" customFormat="false" ht="12" hidden="false" customHeight="true" outlineLevel="0" collapsed="false">
      <c r="B213" s="1" t="s">
        <v>609</v>
      </c>
      <c r="C213" s="40" t="n">
        <f aca="false">C192</f>
        <v>86502.9140756757</v>
      </c>
    </row>
    <row r="214" customFormat="false" ht="14.25" hidden="false" customHeight="true" outlineLevel="0" collapsed="false">
      <c r="B214" s="1" t="s">
        <v>610</v>
      </c>
      <c r="C214" s="132" t="n">
        <f aca="false">C213-C212</f>
        <v>26577.3685621622</v>
      </c>
    </row>
    <row r="215" customFormat="false" ht="12" hidden="false" customHeight="true" outlineLevel="0" collapsed="false"/>
    <row r="216" customFormat="false" ht="12" hidden="false" customHeight="true" outlineLevel="0" collapsed="false">
      <c r="B216" s="1" t="s">
        <v>611</v>
      </c>
      <c r="C216" s="44" t="n">
        <f aca="false">F142</f>
        <v>2403.363604572</v>
      </c>
    </row>
    <row r="217" customFormat="false" ht="14.25" hidden="false" customHeight="true" outlineLevel="0" collapsed="false">
      <c r="B217" s="1" t="s">
        <v>612</v>
      </c>
      <c r="C217" s="125" t="n">
        <v>0.35</v>
      </c>
      <c r="D217" s="1" t="s">
        <v>613</v>
      </c>
    </row>
    <row r="218" customFormat="false" ht="12" hidden="false" customHeight="true" outlineLevel="0" collapsed="false">
      <c r="B218" s="1" t="s">
        <v>614</v>
      </c>
      <c r="C218" s="147" t="n">
        <f aca="false">C216*C217</f>
        <v>841.1772616002</v>
      </c>
    </row>
    <row r="219" customFormat="false" ht="15" hidden="false" customHeight="true" outlineLevel="0" collapsed="false">
      <c r="B219" s="1" t="s">
        <v>615</v>
      </c>
      <c r="C219" s="148" t="n">
        <f aca="false">C214*C218</f>
        <v>22356278.1076588</v>
      </c>
    </row>
    <row r="220" customFormat="false" ht="18" hidden="false" customHeight="true" outlineLevel="0" collapsed="false">
      <c r="B220" s="141" t="s">
        <v>616</v>
      </c>
      <c r="C220" s="149" t="n">
        <f aca="false">C210/C219</f>
        <v>0.536761975415265</v>
      </c>
    </row>
    <row r="221" customFormat="false" ht="15" hidden="false" customHeight="true" outlineLevel="0" collapsed="false">
      <c r="B221" s="1" t="s">
        <v>617</v>
      </c>
      <c r="C221" s="150" t="n">
        <f aca="false">C220*12</f>
        <v>6.44114370498318</v>
      </c>
    </row>
    <row r="222" customFormat="false" ht="12" hidden="false" customHeight="true" outlineLevel="0" collapsed="false">
      <c r="B222" s="1" t="s">
        <v>618</v>
      </c>
      <c r="C222" s="151" t="n">
        <f aca="false">C208/(C219/C209)*12</f>
        <v>6.44114370498318</v>
      </c>
      <c r="D222" s="1" t="s">
        <v>619</v>
      </c>
    </row>
    <row r="223" customFormat="false" ht="12" hidden="false" customHeight="true" outlineLevel="0" collapsed="false"/>
    <row r="224" customFormat="false" ht="14.25" hidden="false" customHeight="true" outlineLevel="0" collapsed="false">
      <c r="B224" s="1" t="s">
        <v>620</v>
      </c>
      <c r="C224" s="127" t="n">
        <f aca="false">C214*C216</f>
        <v>63875080.3075966</v>
      </c>
    </row>
    <row r="225" customFormat="false" ht="12" hidden="false" customHeight="true" outlineLevel="0" collapsed="false">
      <c r="B225" s="1" t="s">
        <v>621</v>
      </c>
      <c r="C225" s="44" t="n">
        <f aca="false">(C192-D173)*D142+(C192-E173)*F142+(C192-F173)*G142+(C192-G173)*H142</f>
        <v>290990376.941568</v>
      </c>
    </row>
    <row r="226" customFormat="false" ht="12" hidden="false" customHeight="true" outlineLevel="0" collapsed="false"/>
    <row r="227" customFormat="false" ht="14.25" hidden="false" customHeight="true" outlineLevel="0" collapsed="false">
      <c r="B227" s="143" t="s">
        <v>622</v>
      </c>
      <c r="C227" s="143"/>
      <c r="D227" s="143"/>
      <c r="E227" s="143"/>
      <c r="F227" s="143"/>
      <c r="G227" s="143"/>
      <c r="H227" s="143"/>
      <c r="I227" s="143"/>
      <c r="J227" s="143"/>
      <c r="K227" s="143"/>
      <c r="L227" s="143"/>
      <c r="M227" s="143"/>
      <c r="N227" s="143"/>
    </row>
    <row r="228" customFormat="false" ht="12.75" hidden="false" customHeight="true" outlineLevel="0" collapsed="false">
      <c r="B228" s="122" t="s">
        <v>623</v>
      </c>
      <c r="C228" s="122" t="s">
        <v>624</v>
      </c>
      <c r="D228" s="122" t="s">
        <v>625</v>
      </c>
      <c r="E228" s="122" t="s">
        <v>626</v>
      </c>
      <c r="F228" s="122" t="s">
        <v>627</v>
      </c>
    </row>
    <row r="229" customFormat="false" ht="12" hidden="false" customHeight="true" outlineLevel="0" collapsed="false">
      <c r="B229" s="44" t="n">
        <v>1000000</v>
      </c>
      <c r="C229" s="152" t="n">
        <f aca="false">(1000000*$C$209)/($C$214*$C$216*0.25)*12</f>
        <v>6.01173412465097</v>
      </c>
      <c r="D229" s="152" t="n">
        <f aca="false">(1000000*$C$209)/($C$214*$C$216*0.3)*12</f>
        <v>5.00977843720914</v>
      </c>
      <c r="E229" s="152" t="n">
        <f aca="false">(1000000*$C$209)/($C$214*$C$216*0.35)*12</f>
        <v>4.29409580332212</v>
      </c>
      <c r="F229" s="152" t="n">
        <f aca="false">(1000000*$C$209)/($C$214*$C$216*0.4)*12</f>
        <v>3.75733382790686</v>
      </c>
    </row>
    <row r="230" customFormat="false" ht="12" hidden="false" customHeight="true" outlineLevel="0" collapsed="false">
      <c r="B230" s="44" t="n">
        <v>1250000</v>
      </c>
      <c r="C230" s="152" t="n">
        <f aca="false">(1250000*$C$209)/($C$214*$C$216*0.25)*12</f>
        <v>7.51466765581371</v>
      </c>
      <c r="D230" s="152" t="n">
        <f aca="false">(1250000*$C$209)/($C$214*$C$216*0.3)*12</f>
        <v>6.26222304651143</v>
      </c>
      <c r="E230" s="152" t="n">
        <f aca="false">(1250000*$C$209)/($C$214*$C$216*0.35)*12</f>
        <v>5.36761975415265</v>
      </c>
      <c r="F230" s="152" t="n">
        <f aca="false">(1250000*$C$209)/($C$214*$C$216*0.4)*12</f>
        <v>4.69666728488357</v>
      </c>
    </row>
    <row r="231" customFormat="false" ht="14.25" hidden="false" customHeight="true" outlineLevel="0" collapsed="false">
      <c r="B231" s="153" t="n">
        <v>1500000</v>
      </c>
      <c r="C231" s="152" t="n">
        <f aca="false">(1500000*$C$209)/($C$214*$C$216*0.25)*12</f>
        <v>9.01760118697646</v>
      </c>
      <c r="D231" s="152" t="n">
        <f aca="false">(1500000*$C$209)/($C$214*$C$216*0.3)*12</f>
        <v>7.51466765581371</v>
      </c>
      <c r="E231" s="152" t="n">
        <f aca="false">(1500000*$C$209)/($C$214*$C$216*0.35)*12</f>
        <v>6.44114370498318</v>
      </c>
      <c r="F231" s="152" t="n">
        <f aca="false">(1500000*$C$209)/($C$214*$C$216*0.4)*12</f>
        <v>5.63600074186028</v>
      </c>
    </row>
    <row r="232" customFormat="false" ht="12" hidden="false" customHeight="true" outlineLevel="0" collapsed="false">
      <c r="B232" s="44" t="n">
        <v>1750000</v>
      </c>
      <c r="C232" s="152" t="n">
        <f aca="false">(1750000*$C$209)/($C$214*$C$216*0.25)*12</f>
        <v>10.5205347181392</v>
      </c>
      <c r="D232" s="152" t="n">
        <f aca="false">(1750000*$C$209)/($C$214*$C$216*0.3)*12</f>
        <v>8.767112265116</v>
      </c>
      <c r="E232" s="152" t="n">
        <f aca="false">(1750000*$C$209)/($C$214*$C$216*0.35)*12</f>
        <v>7.51466765581371</v>
      </c>
      <c r="F232" s="152" t="n">
        <f aca="false">(1750000*$C$209)/($C$214*$C$216*0.4)*12</f>
        <v>6.575334198837</v>
      </c>
    </row>
    <row r="233" customFormat="false" ht="12" hidden="false" customHeight="true" outlineLevel="0" collapsed="false">
      <c r="B233" s="44" t="n">
        <v>2000000</v>
      </c>
      <c r="C233" s="152" t="n">
        <f aca="false">(2000000*$C$209)/($C$214*$C$216*0.25)*12</f>
        <v>12.0234682493019</v>
      </c>
      <c r="D233" s="152" t="n">
        <f aca="false">(2000000*$C$209)/($C$214*$C$216*0.3)*12</f>
        <v>10.0195568744183</v>
      </c>
      <c r="E233" s="152" t="n">
        <f aca="false">(2000000*$C$209)/($C$214*$C$216*0.35)*12</f>
        <v>8.58819160664424</v>
      </c>
      <c r="F233" s="152" t="n">
        <f aca="false">(2000000*$C$209)/($C$214*$C$216*0.4)*12</f>
        <v>7.51466765581371</v>
      </c>
    </row>
    <row r="234" customFormat="false" ht="12" hidden="false" customHeight="true" outlineLevel="0" collapsed="false"/>
    <row r="235" customFormat="false" ht="12" hidden="false" customHeight="true" outlineLevel="0" collapsed="false"/>
    <row r="236" customFormat="false" ht="12" hidden="false" customHeight="true" outlineLevel="0" collapsed="false"/>
    <row r="237" customFormat="false" ht="12" hidden="false" customHeight="true" outlineLevel="0" collapsed="false"/>
    <row r="238" customFormat="false" ht="12" hidden="false" customHeight="true" outlineLevel="0" collapsed="false"/>
    <row r="239" customFormat="false" ht="12" hidden="false" customHeight="true" outlineLevel="0" collapsed="false"/>
    <row r="240" customFormat="false" ht="15" hidden="false" customHeight="true" outlineLevel="0" collapsed="false">
      <c r="B240" s="129" t="s">
        <v>628</v>
      </c>
      <c r="C240" s="129"/>
      <c r="D240" s="129"/>
      <c r="E240" s="129"/>
      <c r="F240" s="129"/>
      <c r="G240" s="129"/>
      <c r="H240" s="129"/>
      <c r="I240" s="129"/>
      <c r="J240" s="129"/>
      <c r="K240" s="129"/>
      <c r="L240" s="129"/>
      <c r="M240" s="129"/>
      <c r="N240" s="129"/>
    </row>
    <row r="241" customFormat="false" ht="12" hidden="false" customHeight="true" outlineLevel="0" collapsed="false"/>
    <row r="242" customFormat="false" ht="12.75" hidden="false" customHeight="true" outlineLevel="0" collapsed="false">
      <c r="B242" s="118" t="s">
        <v>629</v>
      </c>
      <c r="C242" s="118" t="s">
        <v>630</v>
      </c>
      <c r="D242" s="118" t="s">
        <v>631</v>
      </c>
      <c r="E242" s="118" t="s">
        <v>632</v>
      </c>
      <c r="F242" s="118" t="s">
        <v>633</v>
      </c>
      <c r="G242" s="118" t="s">
        <v>634</v>
      </c>
    </row>
    <row r="243" customFormat="false" ht="49.5" hidden="false" customHeight="true" outlineLevel="0" collapsed="false">
      <c r="B243" s="154" t="s">
        <v>635</v>
      </c>
      <c r="C243" s="155" t="s">
        <v>636</v>
      </c>
      <c r="D243" s="155" t="s">
        <v>636</v>
      </c>
      <c r="E243" s="155" t="s">
        <v>636</v>
      </c>
      <c r="F243" s="155" t="s">
        <v>637</v>
      </c>
      <c r="G243" s="155" t="s">
        <v>637</v>
      </c>
    </row>
    <row r="244" customFormat="false" ht="49.5" hidden="false" customHeight="true" outlineLevel="0" collapsed="false">
      <c r="B244" s="154" t="s">
        <v>638</v>
      </c>
      <c r="C244" s="155" t="s">
        <v>639</v>
      </c>
      <c r="D244" s="155" t="s">
        <v>639</v>
      </c>
      <c r="E244" s="155" t="s">
        <v>640</v>
      </c>
      <c r="F244" s="155" t="s">
        <v>641</v>
      </c>
      <c r="G244" s="155" t="s">
        <v>641</v>
      </c>
    </row>
    <row r="245" customFormat="false" ht="49.5" hidden="false" customHeight="true" outlineLevel="0" collapsed="false">
      <c r="B245" s="154" t="s">
        <v>642</v>
      </c>
      <c r="C245" s="155" t="s">
        <v>643</v>
      </c>
      <c r="D245" s="155" t="s">
        <v>644</v>
      </c>
      <c r="E245" s="155" t="s">
        <v>645</v>
      </c>
      <c r="F245" s="155" t="s">
        <v>646</v>
      </c>
      <c r="G245" s="155" t="s">
        <v>647</v>
      </c>
    </row>
    <row r="246" customFormat="false" ht="49.5" hidden="false" customHeight="true" outlineLevel="0" collapsed="false">
      <c r="B246" s="154" t="s">
        <v>648</v>
      </c>
      <c r="C246" s="155" t="s">
        <v>649</v>
      </c>
      <c r="D246" s="155" t="s">
        <v>650</v>
      </c>
      <c r="E246" s="155" t="s">
        <v>651</v>
      </c>
      <c r="F246" s="155" t="s">
        <v>652</v>
      </c>
      <c r="G246" s="155" t="s">
        <v>653</v>
      </c>
    </row>
    <row r="247" customFormat="false" ht="49.5" hidden="false" customHeight="true" outlineLevel="0" collapsed="false">
      <c r="B247" s="154" t="s">
        <v>654</v>
      </c>
      <c r="C247" s="155" t="s">
        <v>655</v>
      </c>
      <c r="D247" s="155" t="s">
        <v>656</v>
      </c>
      <c r="E247" s="155" t="s">
        <v>657</v>
      </c>
      <c r="F247" s="155" t="s">
        <v>658</v>
      </c>
      <c r="G247" s="155" t="s">
        <v>659</v>
      </c>
    </row>
    <row r="248" customFormat="false" ht="49.5" hidden="false" customHeight="true" outlineLevel="0" collapsed="false">
      <c r="B248" s="154" t="s">
        <v>660</v>
      </c>
      <c r="C248" s="155" t="s">
        <v>661</v>
      </c>
      <c r="D248" s="155" t="s">
        <v>662</v>
      </c>
      <c r="E248" s="155" t="s">
        <v>662</v>
      </c>
      <c r="F248" s="155" t="s">
        <v>663</v>
      </c>
      <c r="G248" s="155" t="s">
        <v>664</v>
      </c>
    </row>
    <row r="249" customFormat="false" ht="49.5" hidden="false" customHeight="true" outlineLevel="0" collapsed="false">
      <c r="B249" s="154" t="s">
        <v>665</v>
      </c>
      <c r="C249" s="155" t="s">
        <v>666</v>
      </c>
      <c r="D249" s="155" t="s">
        <v>667</v>
      </c>
      <c r="E249" s="155" t="s">
        <v>667</v>
      </c>
      <c r="F249" s="155" t="s">
        <v>668</v>
      </c>
      <c r="G249" s="155" t="s">
        <v>669</v>
      </c>
    </row>
    <row r="250" customFormat="false" ht="49.5" hidden="false" customHeight="true" outlineLevel="0" collapsed="false">
      <c r="B250" s="154" t="s">
        <v>670</v>
      </c>
      <c r="C250" s="155" t="s">
        <v>671</v>
      </c>
      <c r="D250" s="155" t="s">
        <v>667</v>
      </c>
      <c r="E250" s="155" t="s">
        <v>667</v>
      </c>
      <c r="F250" s="155" t="s">
        <v>672</v>
      </c>
      <c r="G250" s="155" t="s">
        <v>673</v>
      </c>
    </row>
    <row r="251" customFormat="false" ht="49.5" hidden="false" customHeight="true" outlineLevel="0" collapsed="false">
      <c r="B251" s="154" t="s">
        <v>674</v>
      </c>
      <c r="C251" s="155" t="s">
        <v>675</v>
      </c>
      <c r="D251" s="155" t="s">
        <v>676</v>
      </c>
      <c r="E251" s="155" t="s">
        <v>676</v>
      </c>
      <c r="F251" s="155" t="s">
        <v>677</v>
      </c>
      <c r="G251" s="155" t="s">
        <v>678</v>
      </c>
    </row>
    <row r="252" customFormat="false" ht="49.5" hidden="false" customHeight="true" outlineLevel="0" collapsed="false">
      <c r="B252" s="154" t="s">
        <v>679</v>
      </c>
      <c r="C252" s="155" t="s">
        <v>680</v>
      </c>
      <c r="D252" s="155" t="s">
        <v>667</v>
      </c>
      <c r="E252" s="155" t="s">
        <v>667</v>
      </c>
      <c r="F252" s="155" t="s">
        <v>681</v>
      </c>
      <c r="G252" s="155" t="s">
        <v>682</v>
      </c>
    </row>
    <row r="253" customFormat="false" ht="49.5" hidden="false" customHeight="true" outlineLevel="0" collapsed="false">
      <c r="B253" s="154" t="s">
        <v>683</v>
      </c>
      <c r="C253" s="155" t="s">
        <v>684</v>
      </c>
      <c r="D253" s="155" t="s">
        <v>685</v>
      </c>
      <c r="E253" s="155" t="s">
        <v>686</v>
      </c>
      <c r="F253" s="155" t="s">
        <v>687</v>
      </c>
      <c r="G253" s="155" t="s">
        <v>688</v>
      </c>
    </row>
    <row r="254" customFormat="false" ht="49.5" hidden="false" customHeight="true" outlineLevel="0" collapsed="false">
      <c r="B254" s="154" t="s">
        <v>689</v>
      </c>
      <c r="C254" s="155" t="s">
        <v>690</v>
      </c>
      <c r="D254" s="155" t="s">
        <v>691</v>
      </c>
      <c r="E254" s="155" t="s">
        <v>692</v>
      </c>
      <c r="F254" s="155" t="s">
        <v>693</v>
      </c>
      <c r="G254" s="155" t="s">
        <v>694</v>
      </c>
    </row>
    <row r="255" customFormat="false" ht="49.5" hidden="false" customHeight="true" outlineLevel="0" collapsed="false">
      <c r="B255" s="154" t="s">
        <v>695</v>
      </c>
      <c r="C255" s="155" t="s">
        <v>696</v>
      </c>
      <c r="D255" s="155" t="s">
        <v>697</v>
      </c>
      <c r="E255" s="155" t="s">
        <v>698</v>
      </c>
      <c r="F255" s="155" t="s">
        <v>699</v>
      </c>
      <c r="G255" s="155" t="s">
        <v>700</v>
      </c>
    </row>
    <row r="256" customFormat="false" ht="60" hidden="false" customHeight="true" outlineLevel="0" collapsed="false">
      <c r="B256" s="154" t="s">
        <v>701</v>
      </c>
      <c r="C256" s="155" t="s">
        <v>702</v>
      </c>
      <c r="D256" s="155" t="s">
        <v>703</v>
      </c>
      <c r="E256" s="155" t="s">
        <v>704</v>
      </c>
      <c r="F256" s="155" t="s">
        <v>705</v>
      </c>
      <c r="G256" s="155" t="s">
        <v>706</v>
      </c>
    </row>
    <row r="257" customFormat="false" ht="14.25" hidden="false" customHeight="true" outlineLevel="0" collapsed="false">
      <c r="B257" s="143" t="s">
        <v>707</v>
      </c>
      <c r="C257" s="143"/>
      <c r="D257" s="143"/>
      <c r="E257" s="143"/>
      <c r="F257" s="143"/>
      <c r="G257" s="143"/>
    </row>
    <row r="258" customFormat="false" ht="105" hidden="false" customHeight="true" outlineLevel="0" collapsed="false">
      <c r="B258" s="156" t="s">
        <v>708</v>
      </c>
      <c r="C258" s="156"/>
      <c r="D258" s="156"/>
      <c r="E258" s="156"/>
      <c r="F258" s="156"/>
      <c r="G258" s="156"/>
    </row>
    <row r="259" customFormat="false" ht="12" hidden="false" customHeight="true" outlineLevel="0" collapsed="false"/>
    <row r="260" customFormat="false" ht="14.25" hidden="false" customHeight="true" outlineLevel="0" collapsed="false">
      <c r="B260" s="143" t="s">
        <v>709</v>
      </c>
      <c r="C260" s="143"/>
      <c r="D260" s="143"/>
      <c r="E260" s="143"/>
      <c r="F260" s="143"/>
      <c r="G260" s="143"/>
    </row>
    <row r="261" customFormat="false" ht="219.75" hidden="false" customHeight="true" outlineLevel="0" collapsed="false">
      <c r="B261" s="156" t="s">
        <v>710</v>
      </c>
      <c r="C261" s="156"/>
      <c r="D261" s="156"/>
      <c r="E261" s="156"/>
      <c r="F261" s="156"/>
      <c r="G261" s="156"/>
    </row>
    <row r="262" customFormat="false" ht="12" hidden="false" customHeight="true" outlineLevel="0" collapsed="false"/>
    <row r="263" customFormat="false" ht="14.25" hidden="false" customHeight="true" outlineLevel="0" collapsed="false">
      <c r="B263" s="157" t="s">
        <v>711</v>
      </c>
      <c r="C263" s="157"/>
      <c r="D263" s="157"/>
      <c r="E263" s="157"/>
      <c r="F263" s="157"/>
      <c r="G263" s="157"/>
    </row>
    <row r="264" customFormat="false" ht="12.75" hidden="false" customHeight="true" outlineLevel="0" collapsed="false">
      <c r="B264" s="122" t="s">
        <v>712</v>
      </c>
      <c r="C264" s="122" t="s">
        <v>713</v>
      </c>
      <c r="D264" s="122" t="s">
        <v>714</v>
      </c>
      <c r="E264" s="122" t="s">
        <v>715</v>
      </c>
      <c r="F264" s="122" t="s">
        <v>716</v>
      </c>
      <c r="G264" s="122" t="s">
        <v>717</v>
      </c>
    </row>
    <row r="265" customFormat="false" ht="45" hidden="false" customHeight="true" outlineLevel="0" collapsed="false">
      <c r="B265" s="155" t="s">
        <v>718</v>
      </c>
      <c r="C265" s="155" t="s">
        <v>719</v>
      </c>
      <c r="D265" s="155" t="n">
        <v>4</v>
      </c>
      <c r="E265" s="158" t="n">
        <v>950000</v>
      </c>
      <c r="F265" s="158" t="n">
        <f aca="false">D265*E265</f>
        <v>3800000</v>
      </c>
      <c r="G265" s="155" t="s">
        <v>720</v>
      </c>
    </row>
    <row r="266" customFormat="false" ht="45" hidden="false" customHeight="true" outlineLevel="0" collapsed="false">
      <c r="B266" s="155" t="s">
        <v>721</v>
      </c>
      <c r="C266" s="155" t="s">
        <v>722</v>
      </c>
      <c r="D266" s="155" t="n">
        <v>4</v>
      </c>
      <c r="E266" s="158" t="n">
        <v>1700000</v>
      </c>
      <c r="F266" s="158" t="n">
        <f aca="false">D266*E266</f>
        <v>6800000</v>
      </c>
      <c r="G266" s="155" t="s">
        <v>723</v>
      </c>
    </row>
    <row r="267" customFormat="false" ht="39" hidden="false" customHeight="true" outlineLevel="0" collapsed="false">
      <c r="B267" s="131" t="s">
        <v>724</v>
      </c>
      <c r="D267" s="110" t="n">
        <v>8</v>
      </c>
      <c r="F267" s="159" t="n">
        <f aca="false">SUM(F265:F266)</f>
        <v>10600000</v>
      </c>
      <c r="G267" s="160" t="s">
        <v>725</v>
      </c>
    </row>
    <row r="268" customFormat="false" ht="12" hidden="false" customHeight="true" outlineLevel="0" collapsed="false"/>
    <row r="269" customFormat="false" ht="14.25" hidden="false" customHeight="true" outlineLevel="0" collapsed="false">
      <c r="B269" s="161" t="s">
        <v>726</v>
      </c>
      <c r="C269" s="161"/>
      <c r="D269" s="161"/>
      <c r="E269" s="161"/>
      <c r="F269" s="161"/>
      <c r="G269" s="161"/>
    </row>
    <row r="270" customFormat="false" ht="34.5" hidden="false" customHeight="true" outlineLevel="0" collapsed="false">
      <c r="B270" s="155" t="s">
        <v>727</v>
      </c>
      <c r="C270" s="155"/>
      <c r="D270" s="155" t="n">
        <v>8</v>
      </c>
      <c r="E270" s="158" t="n">
        <v>950000</v>
      </c>
      <c r="F270" s="158" t="n">
        <f aca="false">D270*E270</f>
        <v>7600000</v>
      </c>
      <c r="G270" s="155" t="s">
        <v>728</v>
      </c>
    </row>
    <row r="271" customFormat="false" ht="34.5" hidden="false" customHeight="true" outlineLevel="0" collapsed="false">
      <c r="B271" s="155" t="s">
        <v>729</v>
      </c>
      <c r="C271" s="155"/>
      <c r="D271" s="155" t="n">
        <v>8</v>
      </c>
      <c r="E271" s="158" t="n">
        <v>1300000</v>
      </c>
      <c r="F271" s="158" t="n">
        <f aca="false">D271*E271</f>
        <v>10400000</v>
      </c>
      <c r="G271" s="155" t="s">
        <v>730</v>
      </c>
    </row>
    <row r="272" customFormat="false" ht="34.5" hidden="false" customHeight="true" outlineLevel="0" collapsed="false">
      <c r="B272" s="155" t="s">
        <v>731</v>
      </c>
      <c r="C272" s="155"/>
      <c r="D272" s="155" t="n">
        <v>8</v>
      </c>
      <c r="E272" s="158" t="n">
        <v>1700000</v>
      </c>
      <c r="F272" s="158" t="n">
        <f aca="false">D272*E272</f>
        <v>13600000</v>
      </c>
      <c r="G272" s="155" t="s">
        <v>732</v>
      </c>
    </row>
    <row r="273" customFormat="false" ht="12" hidden="false" customHeight="true" outlineLevel="0" collapsed="false"/>
    <row r="274" customFormat="false" ht="12" hidden="false" customHeight="true" outlineLevel="0" collapsed="false"/>
    <row r="275" customFormat="false" ht="12" hidden="false" customHeight="true" outlineLevel="0" collapsed="false"/>
    <row r="276" customFormat="false" ht="12" hidden="false" customHeight="true" outlineLevel="0" collapsed="false"/>
    <row r="277" customFormat="false" ht="12" hidden="false" customHeight="true" outlineLevel="0" collapsed="false"/>
    <row r="278" customFormat="false" ht="12" hidden="false" customHeight="true" outlineLevel="0" collapsed="false"/>
    <row r="279" customFormat="false" ht="12" hidden="false" customHeight="true" outlineLevel="0" collapsed="false"/>
  </sheetData>
  <mergeCells count="43">
    <mergeCell ref="B2:N2"/>
    <mergeCell ref="B3:N3"/>
    <mergeCell ref="B5:N5"/>
    <mergeCell ref="B13:N13"/>
    <mergeCell ref="D14:N14"/>
    <mergeCell ref="D15:N15"/>
    <mergeCell ref="D16:N16"/>
    <mergeCell ref="B24:N24"/>
    <mergeCell ref="B31:N31"/>
    <mergeCell ref="B39:N39"/>
    <mergeCell ref="B47:N47"/>
    <mergeCell ref="B61:N61"/>
    <mergeCell ref="C62:N62"/>
    <mergeCell ref="C63:N63"/>
    <mergeCell ref="C64:N64"/>
    <mergeCell ref="C65:N65"/>
    <mergeCell ref="C66:N66"/>
    <mergeCell ref="C67:N67"/>
    <mergeCell ref="C68:N68"/>
    <mergeCell ref="C69:N69"/>
    <mergeCell ref="C70:N70"/>
    <mergeCell ref="C71:N71"/>
    <mergeCell ref="B73:H73"/>
    <mergeCell ref="B79:H79"/>
    <mergeCell ref="B83:H83"/>
    <mergeCell ref="B89:H89"/>
    <mergeCell ref="B90:H90"/>
    <mergeCell ref="B120:N120"/>
    <mergeCell ref="B131:N131"/>
    <mergeCell ref="B140:N140"/>
    <mergeCell ref="B147:N147"/>
    <mergeCell ref="B156:N156"/>
    <mergeCell ref="B180:N180"/>
    <mergeCell ref="B196:N196"/>
    <mergeCell ref="B205:N205"/>
    <mergeCell ref="B227:N227"/>
    <mergeCell ref="B240:N240"/>
    <mergeCell ref="B257:G257"/>
    <mergeCell ref="B258:G258"/>
    <mergeCell ref="B260:G260"/>
    <mergeCell ref="B261:G261"/>
    <mergeCell ref="B263:G263"/>
    <mergeCell ref="B269:G269"/>
  </mergeCells>
  <printOptions headings="false" gridLines="false" gridLinesSet="true" horizontalCentered="false" verticalCentered="false"/>
  <pageMargins left="0.75" right="0.75" top="1" bottom="1"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286"/>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4" topLeftCell="B274" activePane="bottomRight" state="frozen"/>
      <selection pane="topLeft" activeCell="A1" activeCellId="0" sqref="A1"/>
      <selection pane="topRight" activeCell="B1" activeCellId="0" sqref="B1"/>
      <selection pane="bottomLeft" activeCell="A274" activeCellId="0" sqref="A274"/>
      <selection pane="bottomRight" activeCell="E9" activeCellId="0" sqref="E9"/>
    </sheetView>
  </sheetViews>
  <sheetFormatPr defaultColWidth="8.54296875" defaultRowHeight="15" customHeight="true" zeroHeight="false" outlineLevelRow="0" outlineLevelCol="0"/>
  <cols>
    <col collapsed="false" customWidth="true" hidden="false" outlineLevel="0" max="1" min="1" style="1" width="3"/>
    <col collapsed="false" customWidth="true" hidden="false" outlineLevel="0" max="2" min="2" style="1" width="4"/>
    <col collapsed="false" customWidth="true" hidden="false" outlineLevel="0" max="3" min="3" style="1" width="22"/>
    <col collapsed="false" customWidth="true" hidden="false" outlineLevel="0" max="4" min="4" style="1" width="70"/>
    <col collapsed="false" customWidth="true" hidden="false" outlineLevel="0" max="5" min="5" style="1" width="35"/>
    <col collapsed="false" customWidth="true" hidden="false" outlineLevel="0" max="7" min="6" style="1" width="13"/>
  </cols>
  <sheetData>
    <row r="1" customFormat="false" ht="15" hidden="false" customHeight="true" outlineLevel="0" collapsed="false">
      <c r="A1" s="162"/>
      <c r="B1" s="162"/>
      <c r="C1" s="162"/>
      <c r="D1" s="162"/>
      <c r="E1" s="162"/>
      <c r="F1" s="162"/>
      <c r="G1" s="162"/>
    </row>
    <row r="2" customFormat="false" ht="21.75" hidden="false" customHeight="true" outlineLevel="0" collapsed="false">
      <c r="A2" s="162"/>
      <c r="B2" s="163" t="s">
        <v>733</v>
      </c>
      <c r="C2" s="163"/>
      <c r="D2" s="163"/>
      <c r="E2" s="163"/>
      <c r="F2" s="162"/>
      <c r="G2" s="162"/>
    </row>
    <row r="3" customFormat="false" ht="15" hidden="false" customHeight="true" outlineLevel="0" collapsed="false">
      <c r="A3" s="162"/>
      <c r="B3" s="164" t="s">
        <v>734</v>
      </c>
      <c r="C3" s="164"/>
      <c r="D3" s="164"/>
      <c r="E3" s="164"/>
      <c r="F3" s="162"/>
      <c r="G3" s="162"/>
    </row>
    <row r="4" customFormat="false" ht="15" hidden="false" customHeight="true" outlineLevel="0" collapsed="false">
      <c r="A4" s="162"/>
      <c r="B4" s="162"/>
      <c r="C4" s="162"/>
      <c r="D4" s="162"/>
      <c r="E4" s="162"/>
      <c r="F4" s="162"/>
      <c r="G4" s="162"/>
    </row>
    <row r="5" customFormat="false" ht="21.75" hidden="false" customHeight="true" outlineLevel="0" collapsed="false">
      <c r="A5" s="162"/>
      <c r="B5" s="165" t="s">
        <v>735</v>
      </c>
      <c r="C5" s="165"/>
      <c r="D5" s="165"/>
      <c r="E5" s="165"/>
      <c r="F5" s="162"/>
      <c r="G5" s="162"/>
    </row>
    <row r="6" customFormat="false" ht="19.5" hidden="false" customHeight="true" outlineLevel="0" collapsed="false">
      <c r="A6" s="162"/>
      <c r="B6" s="166" t="s">
        <v>736</v>
      </c>
      <c r="C6" s="166" t="s">
        <v>737</v>
      </c>
      <c r="D6" s="166" t="s">
        <v>738</v>
      </c>
      <c r="E6" s="166" t="s">
        <v>58</v>
      </c>
      <c r="F6" s="162"/>
      <c r="G6" s="162"/>
    </row>
    <row r="7" customFormat="false" ht="42" hidden="false" customHeight="true" outlineLevel="0" collapsed="false">
      <c r="A7" s="162"/>
      <c r="B7" s="167" t="s">
        <v>739</v>
      </c>
      <c r="C7" s="167" t="s">
        <v>740</v>
      </c>
      <c r="D7" s="168" t="s">
        <v>741</v>
      </c>
      <c r="E7" s="168" t="s">
        <v>742</v>
      </c>
      <c r="F7" s="162"/>
      <c r="G7" s="162"/>
    </row>
    <row r="8" customFormat="false" ht="84" hidden="false" customHeight="true" outlineLevel="0" collapsed="false">
      <c r="A8" s="162"/>
      <c r="B8" s="167" t="s">
        <v>743</v>
      </c>
      <c r="C8" s="167" t="s">
        <v>744</v>
      </c>
      <c r="D8" s="168" t="s">
        <v>745</v>
      </c>
      <c r="E8" s="168" t="s">
        <v>742</v>
      </c>
      <c r="F8" s="162"/>
      <c r="G8" s="162"/>
    </row>
    <row r="9" customFormat="false" ht="55.5" hidden="false" customHeight="true" outlineLevel="0" collapsed="false">
      <c r="A9" s="162"/>
      <c r="B9" s="167" t="s">
        <v>746</v>
      </c>
      <c r="C9" s="167" t="s">
        <v>747</v>
      </c>
      <c r="D9" s="168" t="s">
        <v>748</v>
      </c>
      <c r="E9" s="168" t="s">
        <v>742</v>
      </c>
      <c r="F9" s="162"/>
      <c r="G9" s="162"/>
    </row>
    <row r="10" customFormat="false" ht="42" hidden="false" customHeight="true" outlineLevel="0" collapsed="false">
      <c r="A10" s="162"/>
      <c r="B10" s="167" t="s">
        <v>749</v>
      </c>
      <c r="C10" s="167" t="s">
        <v>750</v>
      </c>
      <c r="D10" s="168" t="s">
        <v>751</v>
      </c>
      <c r="E10" s="168" t="s">
        <v>742</v>
      </c>
      <c r="F10" s="162"/>
      <c r="G10" s="162"/>
    </row>
    <row r="11" customFormat="false" ht="55.5" hidden="false" customHeight="true" outlineLevel="0" collapsed="false">
      <c r="A11" s="162"/>
      <c r="B11" s="167" t="s">
        <v>752</v>
      </c>
      <c r="C11" s="167" t="s">
        <v>753</v>
      </c>
      <c r="D11" s="168" t="s">
        <v>754</v>
      </c>
      <c r="E11" s="168" t="s">
        <v>742</v>
      </c>
      <c r="F11" s="162"/>
      <c r="G11" s="162"/>
    </row>
    <row r="12" customFormat="false" ht="55.5" hidden="false" customHeight="true" outlineLevel="0" collapsed="false">
      <c r="A12" s="162"/>
      <c r="B12" s="167" t="s">
        <v>755</v>
      </c>
      <c r="C12" s="167" t="s">
        <v>756</v>
      </c>
      <c r="D12" s="168" t="s">
        <v>757</v>
      </c>
      <c r="E12" s="168" t="s">
        <v>742</v>
      </c>
      <c r="F12" s="162"/>
      <c r="G12" s="162"/>
    </row>
    <row r="13" customFormat="false" ht="15" hidden="false" customHeight="true" outlineLevel="0" collapsed="false">
      <c r="A13" s="162"/>
      <c r="B13" s="162"/>
      <c r="C13" s="162"/>
      <c r="D13" s="162"/>
      <c r="E13" s="162"/>
      <c r="F13" s="162"/>
      <c r="G13" s="162"/>
    </row>
    <row r="14" customFormat="false" ht="21.75" hidden="false" customHeight="true" outlineLevel="0" collapsed="false">
      <c r="A14" s="162"/>
      <c r="B14" s="165" t="s">
        <v>758</v>
      </c>
      <c r="C14" s="165"/>
      <c r="D14" s="165"/>
      <c r="E14" s="165"/>
      <c r="F14" s="162"/>
      <c r="G14" s="162"/>
    </row>
    <row r="15" customFormat="false" ht="19.5" hidden="false" customHeight="true" outlineLevel="0" collapsed="false">
      <c r="A15" s="162"/>
      <c r="B15" s="166" t="s">
        <v>736</v>
      </c>
      <c r="C15" s="166" t="s">
        <v>759</v>
      </c>
      <c r="D15" s="166" t="s">
        <v>760</v>
      </c>
      <c r="E15" s="166" t="s">
        <v>58</v>
      </c>
      <c r="F15" s="162"/>
      <c r="G15" s="162"/>
    </row>
    <row r="16" customFormat="false" ht="69.75" hidden="false" customHeight="true" outlineLevel="0" collapsed="false">
      <c r="A16" s="162"/>
      <c r="B16" s="167" t="s">
        <v>761</v>
      </c>
      <c r="C16" s="167" t="s">
        <v>762</v>
      </c>
      <c r="D16" s="168" t="s">
        <v>763</v>
      </c>
      <c r="E16" s="168" t="s">
        <v>764</v>
      </c>
      <c r="F16" s="162"/>
      <c r="G16" s="162"/>
    </row>
    <row r="17" customFormat="false" ht="55.5" hidden="false" customHeight="true" outlineLevel="0" collapsed="false">
      <c r="A17" s="162"/>
      <c r="B17" s="167" t="s">
        <v>765</v>
      </c>
      <c r="C17" s="167" t="s">
        <v>766</v>
      </c>
      <c r="D17" s="168" t="s">
        <v>767</v>
      </c>
      <c r="E17" s="168" t="s">
        <v>764</v>
      </c>
      <c r="F17" s="162"/>
      <c r="G17" s="162"/>
    </row>
    <row r="18" customFormat="false" ht="84" hidden="false" customHeight="true" outlineLevel="0" collapsed="false">
      <c r="A18" s="162"/>
      <c r="B18" s="167" t="s">
        <v>768</v>
      </c>
      <c r="C18" s="167" t="s">
        <v>769</v>
      </c>
      <c r="D18" s="168" t="s">
        <v>770</v>
      </c>
      <c r="E18" s="169" t="s">
        <v>771</v>
      </c>
      <c r="F18" s="162"/>
      <c r="G18" s="162"/>
    </row>
    <row r="19" customFormat="false" ht="84" hidden="false" customHeight="true" outlineLevel="0" collapsed="false">
      <c r="A19" s="162"/>
      <c r="B19" s="167" t="s">
        <v>772</v>
      </c>
      <c r="C19" s="167" t="s">
        <v>773</v>
      </c>
      <c r="D19" s="168" t="s">
        <v>774</v>
      </c>
      <c r="E19" s="168" t="s">
        <v>742</v>
      </c>
      <c r="F19" s="162"/>
      <c r="G19" s="162"/>
    </row>
    <row r="20" customFormat="false" ht="27.75" hidden="false" customHeight="true" outlineLevel="0" collapsed="false">
      <c r="A20" s="162"/>
      <c r="B20" s="167" t="s">
        <v>775</v>
      </c>
      <c r="C20" s="167" t="s">
        <v>776</v>
      </c>
      <c r="D20" s="168" t="s">
        <v>777</v>
      </c>
      <c r="E20" s="168" t="s">
        <v>764</v>
      </c>
      <c r="F20" s="162"/>
      <c r="G20" s="162"/>
    </row>
    <row r="21" customFormat="false" ht="42" hidden="false" customHeight="true" outlineLevel="0" collapsed="false">
      <c r="A21" s="162"/>
      <c r="B21" s="167" t="s">
        <v>778</v>
      </c>
      <c r="C21" s="167" t="s">
        <v>779</v>
      </c>
      <c r="D21" s="168" t="s">
        <v>780</v>
      </c>
      <c r="E21" s="168" t="s">
        <v>742</v>
      </c>
      <c r="F21" s="162"/>
      <c r="G21" s="162"/>
    </row>
    <row r="22" customFormat="false" ht="42" hidden="false" customHeight="true" outlineLevel="0" collapsed="false">
      <c r="A22" s="162"/>
      <c r="B22" s="167" t="s">
        <v>781</v>
      </c>
      <c r="C22" s="167" t="s">
        <v>782</v>
      </c>
      <c r="D22" s="168" t="s">
        <v>783</v>
      </c>
      <c r="E22" s="168" t="s">
        <v>742</v>
      </c>
      <c r="F22" s="162"/>
      <c r="G22" s="162"/>
    </row>
    <row r="23" customFormat="false" ht="15" hidden="false" customHeight="true" outlineLevel="0" collapsed="false">
      <c r="A23" s="162"/>
      <c r="B23" s="162"/>
      <c r="C23" s="162"/>
      <c r="D23" s="162"/>
      <c r="E23" s="162"/>
      <c r="F23" s="162"/>
      <c r="G23" s="162"/>
    </row>
    <row r="24" customFormat="false" ht="21.75" hidden="false" customHeight="true" outlineLevel="0" collapsed="false">
      <c r="A24" s="162"/>
      <c r="B24" s="165" t="s">
        <v>784</v>
      </c>
      <c r="C24" s="165"/>
      <c r="D24" s="165"/>
      <c r="E24" s="165"/>
      <c r="F24" s="162"/>
      <c r="G24" s="162"/>
    </row>
    <row r="25" customFormat="false" ht="19.5" hidden="false" customHeight="true" outlineLevel="0" collapsed="false">
      <c r="A25" s="162"/>
      <c r="B25" s="166" t="s">
        <v>736</v>
      </c>
      <c r="C25" s="166" t="s">
        <v>785</v>
      </c>
      <c r="D25" s="166" t="s">
        <v>786</v>
      </c>
      <c r="E25" s="166" t="s">
        <v>58</v>
      </c>
      <c r="F25" s="162"/>
      <c r="G25" s="162"/>
    </row>
    <row r="26" customFormat="false" ht="55.5" hidden="false" customHeight="true" outlineLevel="0" collapsed="false">
      <c r="A26" s="162"/>
      <c r="B26" s="167" t="s">
        <v>787</v>
      </c>
      <c r="C26" s="167" t="s">
        <v>788</v>
      </c>
      <c r="D26" s="168" t="s">
        <v>789</v>
      </c>
      <c r="E26" s="168" t="s">
        <v>742</v>
      </c>
      <c r="F26" s="162"/>
      <c r="G26" s="162"/>
    </row>
    <row r="27" customFormat="false" ht="84" hidden="false" customHeight="true" outlineLevel="0" collapsed="false">
      <c r="A27" s="162"/>
      <c r="B27" s="167" t="s">
        <v>790</v>
      </c>
      <c r="C27" s="167" t="s">
        <v>791</v>
      </c>
      <c r="D27" s="168" t="s">
        <v>792</v>
      </c>
      <c r="E27" s="168" t="s">
        <v>793</v>
      </c>
      <c r="F27" s="162"/>
      <c r="G27" s="162"/>
    </row>
    <row r="28" customFormat="false" ht="84" hidden="false" customHeight="true" outlineLevel="0" collapsed="false">
      <c r="A28" s="162"/>
      <c r="B28" s="167" t="s">
        <v>794</v>
      </c>
      <c r="C28" s="167" t="s">
        <v>795</v>
      </c>
      <c r="D28" s="168" t="s">
        <v>796</v>
      </c>
      <c r="E28" s="168" t="s">
        <v>797</v>
      </c>
      <c r="F28" s="162"/>
      <c r="G28" s="162"/>
    </row>
    <row r="29" customFormat="false" ht="69.75" hidden="false" customHeight="true" outlineLevel="0" collapsed="false">
      <c r="A29" s="162"/>
      <c r="B29" s="167" t="s">
        <v>798</v>
      </c>
      <c r="C29" s="167" t="s">
        <v>799</v>
      </c>
      <c r="D29" s="168" t="s">
        <v>800</v>
      </c>
      <c r="E29" s="168" t="s">
        <v>797</v>
      </c>
      <c r="F29" s="162"/>
      <c r="G29" s="162"/>
    </row>
    <row r="30" customFormat="false" ht="126" hidden="false" customHeight="true" outlineLevel="0" collapsed="false">
      <c r="A30" s="162"/>
      <c r="B30" s="167" t="s">
        <v>801</v>
      </c>
      <c r="C30" s="167" t="s">
        <v>802</v>
      </c>
      <c r="D30" s="168" t="s">
        <v>803</v>
      </c>
      <c r="E30" s="168" t="s">
        <v>804</v>
      </c>
      <c r="F30" s="162"/>
      <c r="G30" s="162"/>
    </row>
    <row r="31" customFormat="false" ht="42" hidden="false" customHeight="true" outlineLevel="0" collapsed="false">
      <c r="A31" s="162"/>
      <c r="B31" s="167" t="s">
        <v>805</v>
      </c>
      <c r="C31" s="167" t="s">
        <v>806</v>
      </c>
      <c r="D31" s="168" t="s">
        <v>807</v>
      </c>
      <c r="E31" s="168" t="s">
        <v>742</v>
      </c>
      <c r="F31" s="162"/>
      <c r="G31" s="162"/>
    </row>
    <row r="32" customFormat="false" ht="15" hidden="false" customHeight="true" outlineLevel="0" collapsed="false">
      <c r="A32" s="162"/>
      <c r="B32" s="162"/>
      <c r="C32" s="162"/>
      <c r="D32" s="162"/>
      <c r="E32" s="162"/>
      <c r="F32" s="162"/>
      <c r="G32" s="162"/>
    </row>
    <row r="33" customFormat="false" ht="21.75" hidden="false" customHeight="true" outlineLevel="0" collapsed="false">
      <c r="A33" s="162"/>
      <c r="B33" s="165" t="s">
        <v>808</v>
      </c>
      <c r="C33" s="165"/>
      <c r="D33" s="165"/>
      <c r="E33" s="165"/>
      <c r="F33" s="162"/>
      <c r="G33" s="162"/>
    </row>
    <row r="34" customFormat="false" ht="19.5" hidden="false" customHeight="true" outlineLevel="0" collapsed="false">
      <c r="A34" s="162"/>
      <c r="B34" s="166" t="s">
        <v>736</v>
      </c>
      <c r="C34" s="166" t="s">
        <v>809</v>
      </c>
      <c r="D34" s="166" t="s">
        <v>810</v>
      </c>
      <c r="E34" s="166" t="s">
        <v>58</v>
      </c>
      <c r="F34" s="162"/>
      <c r="G34" s="162"/>
    </row>
    <row r="35" customFormat="false" ht="69.75" hidden="false" customHeight="true" outlineLevel="0" collapsed="false">
      <c r="A35" s="162"/>
      <c r="B35" s="167" t="s">
        <v>811</v>
      </c>
      <c r="C35" s="167" t="s">
        <v>812</v>
      </c>
      <c r="D35" s="168" t="s">
        <v>813</v>
      </c>
      <c r="E35" s="168" t="s">
        <v>814</v>
      </c>
      <c r="F35" s="162"/>
      <c r="G35" s="162"/>
    </row>
    <row r="36" customFormat="false" ht="55.5" hidden="false" customHeight="true" outlineLevel="0" collapsed="false">
      <c r="A36" s="162"/>
      <c r="B36" s="167" t="s">
        <v>815</v>
      </c>
      <c r="C36" s="167" t="s">
        <v>816</v>
      </c>
      <c r="D36" s="168" t="s">
        <v>817</v>
      </c>
      <c r="E36" s="168" t="s">
        <v>742</v>
      </c>
      <c r="F36" s="162"/>
      <c r="G36" s="162"/>
    </row>
    <row r="37" customFormat="false" ht="42" hidden="false" customHeight="true" outlineLevel="0" collapsed="false">
      <c r="A37" s="162"/>
      <c r="B37" s="167" t="s">
        <v>818</v>
      </c>
      <c r="C37" s="167" t="s">
        <v>819</v>
      </c>
      <c r="D37" s="168" t="s">
        <v>820</v>
      </c>
      <c r="E37" s="168" t="s">
        <v>821</v>
      </c>
      <c r="F37" s="162"/>
      <c r="G37" s="162"/>
    </row>
    <row r="38" customFormat="false" ht="27.75" hidden="false" customHeight="true" outlineLevel="0" collapsed="false">
      <c r="A38" s="162"/>
      <c r="B38" s="167" t="s">
        <v>822</v>
      </c>
      <c r="C38" s="167" t="s">
        <v>823</v>
      </c>
      <c r="D38" s="168" t="s">
        <v>824</v>
      </c>
      <c r="E38" s="168" t="s">
        <v>825</v>
      </c>
      <c r="F38" s="162"/>
      <c r="G38" s="162"/>
    </row>
    <row r="39" customFormat="false" ht="69.75" hidden="false" customHeight="true" outlineLevel="0" collapsed="false">
      <c r="A39" s="162"/>
      <c r="B39" s="167" t="s">
        <v>826</v>
      </c>
      <c r="C39" s="167" t="s">
        <v>827</v>
      </c>
      <c r="D39" s="168" t="s">
        <v>828</v>
      </c>
      <c r="E39" s="168" t="s">
        <v>742</v>
      </c>
      <c r="F39" s="162"/>
      <c r="G39" s="162"/>
    </row>
    <row r="40" customFormat="false" ht="15" hidden="false" customHeight="true" outlineLevel="0" collapsed="false">
      <c r="A40" s="162"/>
      <c r="B40" s="162"/>
      <c r="C40" s="162"/>
      <c r="D40" s="162"/>
      <c r="E40" s="162"/>
      <c r="F40" s="162"/>
      <c r="G40" s="162"/>
    </row>
    <row r="41" customFormat="false" ht="21.75" hidden="false" customHeight="true" outlineLevel="0" collapsed="false">
      <c r="A41" s="162"/>
      <c r="B41" s="165" t="s">
        <v>829</v>
      </c>
      <c r="C41" s="165"/>
      <c r="D41" s="165"/>
      <c r="E41" s="165"/>
      <c r="F41" s="162"/>
      <c r="G41" s="162"/>
    </row>
    <row r="42" customFormat="false" ht="19.5" hidden="false" customHeight="true" outlineLevel="0" collapsed="false">
      <c r="A42" s="162"/>
      <c r="B42" s="166" t="s">
        <v>736</v>
      </c>
      <c r="C42" s="166" t="s">
        <v>830</v>
      </c>
      <c r="D42" s="166" t="s">
        <v>785</v>
      </c>
      <c r="E42" s="166" t="s">
        <v>58</v>
      </c>
      <c r="F42" s="162"/>
      <c r="G42" s="162"/>
    </row>
    <row r="43" customFormat="false" ht="18" hidden="false" customHeight="true" outlineLevel="0" collapsed="false">
      <c r="A43" s="162"/>
      <c r="B43" s="167" t="s">
        <v>831</v>
      </c>
      <c r="C43" s="167" t="s">
        <v>832</v>
      </c>
      <c r="D43" s="168" t="s">
        <v>833</v>
      </c>
      <c r="E43" s="169" t="s">
        <v>834</v>
      </c>
      <c r="F43" s="162"/>
      <c r="G43" s="162"/>
    </row>
    <row r="44" customFormat="false" ht="18" hidden="false" customHeight="true" outlineLevel="0" collapsed="false">
      <c r="A44" s="162"/>
      <c r="B44" s="167" t="s">
        <v>835</v>
      </c>
      <c r="C44" s="167" t="s">
        <v>832</v>
      </c>
      <c r="D44" s="168" t="s">
        <v>836</v>
      </c>
      <c r="E44" s="168" t="s">
        <v>837</v>
      </c>
      <c r="F44" s="162"/>
      <c r="G44" s="162"/>
    </row>
    <row r="45" customFormat="false" ht="18" hidden="false" customHeight="true" outlineLevel="0" collapsed="false">
      <c r="A45" s="162"/>
      <c r="B45" s="167" t="s">
        <v>838</v>
      </c>
      <c r="C45" s="167" t="s">
        <v>832</v>
      </c>
      <c r="D45" s="168" t="s">
        <v>836</v>
      </c>
      <c r="E45" s="168" t="s">
        <v>837</v>
      </c>
      <c r="F45" s="162"/>
      <c r="G45" s="162"/>
    </row>
    <row r="46" customFormat="false" ht="27.75" hidden="false" customHeight="true" outlineLevel="0" collapsed="false">
      <c r="A46" s="162"/>
      <c r="B46" s="167" t="s">
        <v>839</v>
      </c>
      <c r="C46" s="167" t="s">
        <v>840</v>
      </c>
      <c r="D46" s="168" t="s">
        <v>841</v>
      </c>
      <c r="E46" s="169" t="s">
        <v>834</v>
      </c>
      <c r="F46" s="162"/>
      <c r="G46" s="162"/>
    </row>
    <row r="47" customFormat="false" ht="18" hidden="false" customHeight="true" outlineLevel="0" collapsed="false">
      <c r="A47" s="162"/>
      <c r="B47" s="167" t="s">
        <v>842</v>
      </c>
      <c r="C47" s="167" t="s">
        <v>840</v>
      </c>
      <c r="D47" s="168" t="s">
        <v>843</v>
      </c>
      <c r="E47" s="169" t="s">
        <v>834</v>
      </c>
      <c r="F47" s="162"/>
      <c r="G47" s="162"/>
    </row>
    <row r="48" customFormat="false" ht="18" hidden="false" customHeight="true" outlineLevel="0" collapsed="false">
      <c r="A48" s="162"/>
      <c r="B48" s="167" t="s">
        <v>844</v>
      </c>
      <c r="C48" s="167" t="s">
        <v>840</v>
      </c>
      <c r="D48" s="168" t="s">
        <v>845</v>
      </c>
      <c r="E48" s="169" t="s">
        <v>834</v>
      </c>
      <c r="F48" s="162"/>
      <c r="G48" s="162"/>
    </row>
    <row r="49" customFormat="false" ht="18" hidden="false" customHeight="true" outlineLevel="0" collapsed="false">
      <c r="A49" s="162"/>
      <c r="B49" s="167" t="s">
        <v>846</v>
      </c>
      <c r="C49" s="167" t="s">
        <v>840</v>
      </c>
      <c r="D49" s="168" t="s">
        <v>847</v>
      </c>
      <c r="E49" s="169" t="s">
        <v>834</v>
      </c>
      <c r="F49" s="162"/>
      <c r="G49" s="162"/>
    </row>
    <row r="50" customFormat="false" ht="27.75" hidden="false" customHeight="true" outlineLevel="0" collapsed="false">
      <c r="A50" s="162"/>
      <c r="B50" s="167" t="s">
        <v>848</v>
      </c>
      <c r="C50" s="167" t="s">
        <v>840</v>
      </c>
      <c r="D50" s="168" t="s">
        <v>849</v>
      </c>
      <c r="E50" s="169" t="s">
        <v>834</v>
      </c>
      <c r="F50" s="162"/>
      <c r="G50" s="162"/>
    </row>
    <row r="51" customFormat="false" ht="18" hidden="false" customHeight="true" outlineLevel="0" collapsed="false">
      <c r="A51" s="162"/>
      <c r="B51" s="167" t="s">
        <v>850</v>
      </c>
      <c r="C51" s="167" t="s">
        <v>851</v>
      </c>
      <c r="D51" s="168" t="s">
        <v>852</v>
      </c>
      <c r="E51" s="169" t="s">
        <v>834</v>
      </c>
      <c r="F51" s="162"/>
      <c r="G51" s="162"/>
    </row>
    <row r="52" customFormat="false" ht="18" hidden="false" customHeight="true" outlineLevel="0" collapsed="false">
      <c r="A52" s="162"/>
      <c r="B52" s="167" t="s">
        <v>853</v>
      </c>
      <c r="C52" s="167" t="s">
        <v>851</v>
      </c>
      <c r="D52" s="168" t="s">
        <v>854</v>
      </c>
      <c r="E52" s="169" t="s">
        <v>834</v>
      </c>
      <c r="F52" s="162"/>
      <c r="G52" s="162"/>
    </row>
    <row r="53" customFormat="false" ht="15" hidden="false" customHeight="true" outlineLevel="0" collapsed="false">
      <c r="A53" s="162"/>
      <c r="B53" s="162"/>
      <c r="C53" s="162"/>
      <c r="D53" s="162"/>
      <c r="E53" s="162"/>
      <c r="F53" s="162"/>
      <c r="G53" s="162"/>
    </row>
    <row r="54" customFormat="false" ht="21.75" hidden="false" customHeight="true" outlineLevel="0" collapsed="false">
      <c r="A54" s="162"/>
      <c r="B54" s="165" t="s">
        <v>855</v>
      </c>
      <c r="C54" s="165"/>
      <c r="D54" s="165"/>
      <c r="E54" s="165"/>
      <c r="F54" s="162"/>
      <c r="G54" s="162"/>
    </row>
    <row r="55" customFormat="false" ht="19.5" hidden="false" customHeight="true" outlineLevel="0" collapsed="false">
      <c r="A55" s="162"/>
      <c r="B55" s="166" t="s">
        <v>736</v>
      </c>
      <c r="C55" s="166" t="s">
        <v>856</v>
      </c>
      <c r="D55" s="166" t="s">
        <v>857</v>
      </c>
      <c r="E55" s="166" t="s">
        <v>58</v>
      </c>
      <c r="F55" s="162"/>
      <c r="G55" s="162"/>
    </row>
    <row r="56" customFormat="false" ht="18" hidden="false" customHeight="true" outlineLevel="0" collapsed="false">
      <c r="A56" s="162"/>
      <c r="B56" s="167" t="s">
        <v>858</v>
      </c>
      <c r="C56" s="167" t="s">
        <v>228</v>
      </c>
      <c r="D56" s="168" t="s">
        <v>859</v>
      </c>
      <c r="E56" s="168" t="s">
        <v>860</v>
      </c>
      <c r="F56" s="162"/>
      <c r="G56" s="162"/>
    </row>
    <row r="57" customFormat="false" ht="18" hidden="false" customHeight="true" outlineLevel="0" collapsed="false">
      <c r="A57" s="162"/>
      <c r="B57" s="167" t="s">
        <v>861</v>
      </c>
      <c r="C57" s="167" t="s">
        <v>862</v>
      </c>
      <c r="D57" s="168" t="s">
        <v>863</v>
      </c>
      <c r="E57" s="168" t="s">
        <v>860</v>
      </c>
      <c r="F57" s="162"/>
      <c r="G57" s="162"/>
    </row>
    <row r="58" customFormat="false" ht="18" hidden="false" customHeight="true" outlineLevel="0" collapsed="false">
      <c r="A58" s="162"/>
      <c r="B58" s="167" t="s">
        <v>864</v>
      </c>
      <c r="C58" s="167" t="s">
        <v>260</v>
      </c>
      <c r="D58" s="168" t="s">
        <v>865</v>
      </c>
      <c r="E58" s="168" t="s">
        <v>860</v>
      </c>
      <c r="F58" s="162"/>
      <c r="G58" s="162"/>
    </row>
    <row r="59" customFormat="false" ht="18" hidden="false" customHeight="true" outlineLevel="0" collapsed="false">
      <c r="A59" s="162"/>
      <c r="B59" s="167" t="s">
        <v>866</v>
      </c>
      <c r="C59" s="167" t="s">
        <v>251</v>
      </c>
      <c r="D59" s="168" t="s">
        <v>867</v>
      </c>
      <c r="E59" s="168" t="s">
        <v>860</v>
      </c>
      <c r="F59" s="162"/>
      <c r="G59" s="162"/>
    </row>
    <row r="60" customFormat="false" ht="15" hidden="false" customHeight="true" outlineLevel="0" collapsed="false">
      <c r="A60" s="162"/>
      <c r="B60" s="162"/>
      <c r="C60" s="162"/>
      <c r="D60" s="162"/>
      <c r="E60" s="162"/>
      <c r="F60" s="162"/>
      <c r="G60" s="162"/>
    </row>
    <row r="61" customFormat="false" ht="21.75" hidden="false" customHeight="true" outlineLevel="0" collapsed="false">
      <c r="A61" s="162"/>
      <c r="B61" s="165" t="s">
        <v>868</v>
      </c>
      <c r="C61" s="165"/>
      <c r="D61" s="165"/>
      <c r="E61" s="165"/>
      <c r="F61" s="162"/>
      <c r="G61" s="162"/>
    </row>
    <row r="62" customFormat="false" ht="19.5" hidden="false" customHeight="true" outlineLevel="0" collapsed="false">
      <c r="A62" s="162"/>
      <c r="B62" s="166" t="s">
        <v>736</v>
      </c>
      <c r="C62" s="166" t="s">
        <v>869</v>
      </c>
      <c r="D62" s="166" t="s">
        <v>870</v>
      </c>
      <c r="E62" s="166" t="s">
        <v>58</v>
      </c>
      <c r="F62" s="162"/>
      <c r="G62" s="162"/>
    </row>
    <row r="63" customFormat="false" ht="18" hidden="false" customHeight="true" outlineLevel="0" collapsed="false">
      <c r="A63" s="162"/>
      <c r="B63" s="167" t="s">
        <v>871</v>
      </c>
      <c r="C63" s="167" t="s">
        <v>872</v>
      </c>
      <c r="D63" s="168" t="s">
        <v>873</v>
      </c>
      <c r="E63" s="168" t="s">
        <v>742</v>
      </c>
      <c r="F63" s="162"/>
      <c r="G63" s="162"/>
    </row>
    <row r="64" customFormat="false" ht="18" hidden="false" customHeight="true" outlineLevel="0" collapsed="false">
      <c r="A64" s="162"/>
      <c r="B64" s="167" t="s">
        <v>874</v>
      </c>
      <c r="C64" s="167" t="s">
        <v>875</v>
      </c>
      <c r="D64" s="168" t="s">
        <v>876</v>
      </c>
      <c r="E64" s="168" t="s">
        <v>742</v>
      </c>
      <c r="F64" s="162"/>
      <c r="G64" s="162"/>
    </row>
    <row r="65" customFormat="false" ht="18" hidden="false" customHeight="true" outlineLevel="0" collapsed="false">
      <c r="A65" s="162"/>
      <c r="B65" s="167" t="s">
        <v>877</v>
      </c>
      <c r="C65" s="167" t="s">
        <v>878</v>
      </c>
      <c r="D65" s="168" t="s">
        <v>879</v>
      </c>
      <c r="E65" s="168" t="s">
        <v>742</v>
      </c>
      <c r="F65" s="162"/>
      <c r="G65" s="162"/>
    </row>
    <row r="66" customFormat="false" ht="18" hidden="false" customHeight="true" outlineLevel="0" collapsed="false">
      <c r="A66" s="162"/>
      <c r="B66" s="167" t="s">
        <v>880</v>
      </c>
      <c r="C66" s="167" t="s">
        <v>881</v>
      </c>
      <c r="D66" s="168" t="s">
        <v>882</v>
      </c>
      <c r="E66" s="168" t="s">
        <v>742</v>
      </c>
      <c r="F66" s="162"/>
      <c r="G66" s="162"/>
    </row>
    <row r="67" customFormat="false" ht="15" hidden="false" customHeight="true" outlineLevel="0" collapsed="false">
      <c r="A67" s="162"/>
      <c r="B67" s="162"/>
      <c r="C67" s="162"/>
      <c r="D67" s="162"/>
      <c r="E67" s="162"/>
      <c r="F67" s="162"/>
      <c r="G67" s="162"/>
    </row>
    <row r="68" customFormat="false" ht="21.75" hidden="false" customHeight="true" outlineLevel="0" collapsed="false">
      <c r="A68" s="162"/>
      <c r="B68" s="165" t="s">
        <v>883</v>
      </c>
      <c r="C68" s="165"/>
      <c r="D68" s="165"/>
      <c r="E68" s="165"/>
      <c r="F68" s="162"/>
      <c r="G68" s="162"/>
    </row>
    <row r="69" customFormat="false" ht="19.5" hidden="false" customHeight="true" outlineLevel="0" collapsed="false">
      <c r="A69" s="162"/>
      <c r="B69" s="166" t="s">
        <v>736</v>
      </c>
      <c r="C69" s="166" t="s">
        <v>737</v>
      </c>
      <c r="D69" s="166" t="s">
        <v>884</v>
      </c>
      <c r="E69" s="166" t="s">
        <v>58</v>
      </c>
      <c r="F69" s="162"/>
      <c r="G69" s="162"/>
    </row>
    <row r="70" customFormat="false" ht="84" hidden="false" customHeight="true" outlineLevel="0" collapsed="false">
      <c r="A70" s="162"/>
      <c r="B70" s="170" t="s">
        <v>885</v>
      </c>
      <c r="C70" s="170" t="s">
        <v>886</v>
      </c>
      <c r="D70" s="171" t="s">
        <v>887</v>
      </c>
      <c r="E70" s="171" t="s">
        <v>888</v>
      </c>
      <c r="F70" s="162"/>
      <c r="G70" s="162"/>
    </row>
    <row r="71" customFormat="false" ht="84" hidden="false" customHeight="true" outlineLevel="0" collapsed="false">
      <c r="A71" s="162"/>
      <c r="B71" s="170" t="s">
        <v>889</v>
      </c>
      <c r="C71" s="170" t="s">
        <v>890</v>
      </c>
      <c r="D71" s="171" t="s">
        <v>891</v>
      </c>
      <c r="E71" s="171" t="s">
        <v>892</v>
      </c>
      <c r="F71" s="162"/>
      <c r="G71" s="162"/>
    </row>
    <row r="72" customFormat="false" ht="69.75" hidden="false" customHeight="true" outlineLevel="0" collapsed="false">
      <c r="A72" s="162"/>
      <c r="B72" s="170" t="s">
        <v>893</v>
      </c>
      <c r="C72" s="170" t="s">
        <v>894</v>
      </c>
      <c r="D72" s="171" t="s">
        <v>895</v>
      </c>
      <c r="E72" s="171" t="s">
        <v>896</v>
      </c>
      <c r="F72" s="162"/>
      <c r="G72" s="162"/>
    </row>
    <row r="73" customFormat="false" ht="84" hidden="false" customHeight="true" outlineLevel="0" collapsed="false">
      <c r="A73" s="162"/>
      <c r="B73" s="170" t="s">
        <v>897</v>
      </c>
      <c r="C73" s="170" t="s">
        <v>898</v>
      </c>
      <c r="D73" s="171" t="s">
        <v>899</v>
      </c>
      <c r="E73" s="171" t="s">
        <v>900</v>
      </c>
      <c r="F73" s="162"/>
      <c r="G73" s="162"/>
    </row>
    <row r="74" customFormat="false" ht="84" hidden="false" customHeight="true" outlineLevel="0" collapsed="false">
      <c r="A74" s="162"/>
      <c r="B74" s="170" t="s">
        <v>901</v>
      </c>
      <c r="C74" s="170" t="s">
        <v>902</v>
      </c>
      <c r="D74" s="171" t="s">
        <v>903</v>
      </c>
      <c r="E74" s="171" t="s">
        <v>904</v>
      </c>
      <c r="F74" s="162"/>
      <c r="G74" s="162"/>
    </row>
    <row r="75" customFormat="false" ht="69.75" hidden="false" customHeight="true" outlineLevel="0" collapsed="false">
      <c r="A75" s="162"/>
      <c r="B75" s="170" t="s">
        <v>905</v>
      </c>
      <c r="C75" s="170" t="s">
        <v>906</v>
      </c>
      <c r="D75" s="171" t="s">
        <v>907</v>
      </c>
      <c r="E75" s="171" t="s">
        <v>908</v>
      </c>
      <c r="F75" s="162"/>
      <c r="G75" s="162"/>
    </row>
    <row r="76" customFormat="false" ht="15" hidden="false" customHeight="true" outlineLevel="0" collapsed="false">
      <c r="A76" s="162"/>
      <c r="B76" s="162"/>
      <c r="C76" s="162"/>
      <c r="D76" s="162"/>
      <c r="E76" s="162"/>
      <c r="F76" s="162"/>
      <c r="G76" s="162"/>
    </row>
    <row r="77" customFormat="false" ht="21.75" hidden="false" customHeight="true" outlineLevel="0" collapsed="false">
      <c r="A77" s="162"/>
      <c r="B77" s="165" t="s">
        <v>909</v>
      </c>
      <c r="C77" s="165"/>
      <c r="D77" s="165"/>
      <c r="E77" s="165"/>
      <c r="F77" s="162"/>
      <c r="G77" s="162"/>
    </row>
    <row r="78" customFormat="false" ht="19.5" hidden="false" customHeight="true" outlineLevel="0" collapsed="false">
      <c r="A78" s="162"/>
      <c r="B78" s="166" t="s">
        <v>736</v>
      </c>
      <c r="C78" s="166" t="s">
        <v>869</v>
      </c>
      <c r="D78" s="166" t="s">
        <v>910</v>
      </c>
      <c r="E78" s="166" t="s">
        <v>58</v>
      </c>
      <c r="F78" s="162"/>
      <c r="G78" s="162"/>
    </row>
    <row r="79" customFormat="false" ht="69.75" hidden="false" customHeight="true" outlineLevel="0" collapsed="false">
      <c r="A79" s="162"/>
      <c r="B79" s="170" t="s">
        <v>911</v>
      </c>
      <c r="C79" s="170" t="s">
        <v>912</v>
      </c>
      <c r="D79" s="171" t="s">
        <v>913</v>
      </c>
      <c r="E79" s="171" t="s">
        <v>914</v>
      </c>
      <c r="F79" s="162"/>
      <c r="G79" s="162"/>
    </row>
    <row r="80" customFormat="false" ht="69.75" hidden="false" customHeight="true" outlineLevel="0" collapsed="false">
      <c r="A80" s="162"/>
      <c r="B80" s="170" t="s">
        <v>915</v>
      </c>
      <c r="C80" s="170" t="s">
        <v>916</v>
      </c>
      <c r="D80" s="171" t="s">
        <v>917</v>
      </c>
      <c r="E80" s="171" t="s">
        <v>918</v>
      </c>
      <c r="F80" s="162"/>
      <c r="G80" s="162"/>
    </row>
    <row r="81" customFormat="false" ht="69.75" hidden="false" customHeight="true" outlineLevel="0" collapsed="false">
      <c r="A81" s="162"/>
      <c r="B81" s="170" t="s">
        <v>919</v>
      </c>
      <c r="C81" s="170" t="s">
        <v>920</v>
      </c>
      <c r="D81" s="171" t="s">
        <v>921</v>
      </c>
      <c r="E81" s="171" t="s">
        <v>742</v>
      </c>
      <c r="F81" s="162"/>
      <c r="G81" s="162"/>
    </row>
    <row r="82" customFormat="false" ht="55.5" hidden="false" customHeight="true" outlineLevel="0" collapsed="false">
      <c r="A82" s="162"/>
      <c r="B82" s="170" t="s">
        <v>922</v>
      </c>
      <c r="C82" s="170" t="s">
        <v>923</v>
      </c>
      <c r="D82" s="171" t="s">
        <v>924</v>
      </c>
      <c r="E82" s="171" t="s">
        <v>742</v>
      </c>
      <c r="F82" s="162"/>
      <c r="G82" s="162"/>
    </row>
    <row r="83" customFormat="false" ht="84" hidden="false" customHeight="true" outlineLevel="0" collapsed="false">
      <c r="A83" s="162"/>
      <c r="B83" s="170" t="s">
        <v>925</v>
      </c>
      <c r="C83" s="170" t="s">
        <v>926</v>
      </c>
      <c r="D83" s="171" t="s">
        <v>927</v>
      </c>
      <c r="E83" s="171" t="s">
        <v>928</v>
      </c>
      <c r="F83" s="162"/>
      <c r="G83" s="162"/>
    </row>
    <row r="84" customFormat="false" ht="42" hidden="false" customHeight="true" outlineLevel="0" collapsed="false">
      <c r="A84" s="162"/>
      <c r="B84" s="170" t="s">
        <v>929</v>
      </c>
      <c r="C84" s="170" t="s">
        <v>930</v>
      </c>
      <c r="D84" s="171" t="s">
        <v>931</v>
      </c>
      <c r="E84" s="171" t="s">
        <v>742</v>
      </c>
      <c r="F84" s="162"/>
      <c r="G84" s="162"/>
    </row>
    <row r="85" customFormat="false" ht="69.75" hidden="false" customHeight="true" outlineLevel="0" collapsed="false">
      <c r="A85" s="162"/>
      <c r="B85" s="170" t="s">
        <v>932</v>
      </c>
      <c r="C85" s="170" t="s">
        <v>933</v>
      </c>
      <c r="D85" s="171" t="s">
        <v>934</v>
      </c>
      <c r="E85" s="172" t="s">
        <v>935</v>
      </c>
      <c r="F85" s="162"/>
      <c r="G85" s="162"/>
    </row>
    <row r="86" customFormat="false" ht="69.75" hidden="false" customHeight="true" outlineLevel="0" collapsed="false">
      <c r="A86" s="162"/>
      <c r="B86" s="170" t="s">
        <v>936</v>
      </c>
      <c r="C86" s="170" t="s">
        <v>937</v>
      </c>
      <c r="D86" s="171" t="s">
        <v>938</v>
      </c>
      <c r="E86" s="171" t="s">
        <v>742</v>
      </c>
      <c r="F86" s="162"/>
      <c r="G86" s="162"/>
    </row>
    <row r="87" customFormat="false" ht="55.5" hidden="false" customHeight="true" outlineLevel="0" collapsed="false">
      <c r="A87" s="162"/>
      <c r="B87" s="170" t="s">
        <v>939</v>
      </c>
      <c r="C87" s="170" t="s">
        <v>940</v>
      </c>
      <c r="D87" s="171" t="s">
        <v>941</v>
      </c>
      <c r="E87" s="171" t="s">
        <v>896</v>
      </c>
      <c r="F87" s="162"/>
      <c r="G87" s="162"/>
    </row>
    <row r="88" customFormat="false" ht="15" hidden="false" customHeight="true" outlineLevel="0" collapsed="false">
      <c r="A88" s="162"/>
      <c r="B88" s="162"/>
      <c r="C88" s="162"/>
      <c r="D88" s="162"/>
      <c r="E88" s="162"/>
      <c r="F88" s="162"/>
      <c r="G88" s="162"/>
    </row>
    <row r="89" customFormat="false" ht="21.75" hidden="false" customHeight="true" outlineLevel="0" collapsed="false">
      <c r="A89" s="162"/>
      <c r="B89" s="165" t="s">
        <v>942</v>
      </c>
      <c r="C89" s="165"/>
      <c r="D89" s="165"/>
      <c r="E89" s="165"/>
      <c r="F89" s="162"/>
      <c r="G89" s="162"/>
    </row>
    <row r="90" customFormat="false" ht="19.5" hidden="false" customHeight="true" outlineLevel="0" collapsed="false">
      <c r="A90" s="162"/>
      <c r="B90" s="166" t="s">
        <v>736</v>
      </c>
      <c r="C90" s="166" t="s">
        <v>738</v>
      </c>
      <c r="D90" s="166" t="s">
        <v>943</v>
      </c>
      <c r="E90" s="166" t="s">
        <v>58</v>
      </c>
      <c r="F90" s="162"/>
      <c r="G90" s="162"/>
    </row>
    <row r="91" customFormat="false" ht="18" hidden="false" customHeight="true" outlineLevel="0" collapsed="false">
      <c r="A91" s="162"/>
      <c r="B91" s="170" t="s">
        <v>944</v>
      </c>
      <c r="C91" s="170" t="s">
        <v>945</v>
      </c>
      <c r="D91" s="171" t="s">
        <v>946</v>
      </c>
      <c r="E91" s="171" t="s">
        <v>947</v>
      </c>
      <c r="F91" s="162"/>
      <c r="G91" s="162"/>
    </row>
    <row r="92" customFormat="false" ht="27.75" hidden="false" customHeight="true" outlineLevel="0" collapsed="false">
      <c r="A92" s="162"/>
      <c r="B92" s="170" t="s">
        <v>948</v>
      </c>
      <c r="C92" s="170" t="s">
        <v>949</v>
      </c>
      <c r="D92" s="171" t="s">
        <v>950</v>
      </c>
      <c r="E92" s="171" t="s">
        <v>947</v>
      </c>
      <c r="F92" s="162"/>
      <c r="G92" s="162"/>
    </row>
    <row r="93" customFormat="false" ht="27.75" hidden="false" customHeight="true" outlineLevel="0" collapsed="false">
      <c r="A93" s="162"/>
      <c r="B93" s="170" t="s">
        <v>951</v>
      </c>
      <c r="C93" s="170" t="s">
        <v>952</v>
      </c>
      <c r="D93" s="171" t="s">
        <v>953</v>
      </c>
      <c r="E93" s="171" t="s">
        <v>954</v>
      </c>
      <c r="F93" s="162"/>
      <c r="G93" s="162"/>
    </row>
    <row r="94" customFormat="false" ht="27.75" hidden="false" customHeight="true" outlineLevel="0" collapsed="false">
      <c r="A94" s="162"/>
      <c r="B94" s="170" t="s">
        <v>955</v>
      </c>
      <c r="C94" s="170" t="s">
        <v>956</v>
      </c>
      <c r="D94" s="171" t="s">
        <v>957</v>
      </c>
      <c r="E94" s="171" t="s">
        <v>958</v>
      </c>
      <c r="F94" s="162"/>
      <c r="G94" s="162"/>
    </row>
    <row r="95" customFormat="false" ht="27.75" hidden="false" customHeight="true" outlineLevel="0" collapsed="false">
      <c r="A95" s="162"/>
      <c r="B95" s="170" t="s">
        <v>959</v>
      </c>
      <c r="C95" s="170" t="s">
        <v>960</v>
      </c>
      <c r="D95" s="171" t="s">
        <v>961</v>
      </c>
      <c r="E95" s="171" t="s">
        <v>958</v>
      </c>
      <c r="F95" s="162"/>
      <c r="G95" s="162"/>
    </row>
    <row r="96" customFormat="false" ht="27.75" hidden="false" customHeight="true" outlineLevel="0" collapsed="false">
      <c r="A96" s="162"/>
      <c r="B96" s="170" t="s">
        <v>962</v>
      </c>
      <c r="C96" s="170" t="s">
        <v>963</v>
      </c>
      <c r="D96" s="171" t="s">
        <v>964</v>
      </c>
      <c r="E96" s="171" t="s">
        <v>965</v>
      </c>
      <c r="F96" s="162"/>
      <c r="G96" s="162"/>
    </row>
    <row r="97" customFormat="false" ht="15" hidden="false" customHeight="true" outlineLevel="0" collapsed="false">
      <c r="A97" s="162"/>
      <c r="B97" s="162"/>
      <c r="C97" s="162"/>
      <c r="D97" s="162"/>
      <c r="E97" s="162"/>
      <c r="F97" s="162"/>
      <c r="G97" s="162"/>
    </row>
    <row r="98" customFormat="false" ht="21.75" hidden="false" customHeight="true" outlineLevel="0" collapsed="false">
      <c r="A98" s="162"/>
      <c r="B98" s="165" t="s">
        <v>966</v>
      </c>
      <c r="C98" s="165"/>
      <c r="D98" s="165"/>
      <c r="E98" s="165"/>
      <c r="F98" s="162"/>
      <c r="G98" s="162"/>
    </row>
    <row r="99" customFormat="false" ht="19.5" hidden="false" customHeight="true" outlineLevel="0" collapsed="false">
      <c r="A99" s="162"/>
      <c r="B99" s="166" t="s">
        <v>736</v>
      </c>
      <c r="C99" s="166" t="s">
        <v>967</v>
      </c>
      <c r="D99" s="166" t="s">
        <v>910</v>
      </c>
      <c r="E99" s="166" t="s">
        <v>58</v>
      </c>
      <c r="F99" s="162"/>
      <c r="G99" s="162"/>
    </row>
    <row r="100" customFormat="false" ht="97.5" hidden="false" customHeight="true" outlineLevel="0" collapsed="false">
      <c r="A100" s="162"/>
      <c r="B100" s="170" t="s">
        <v>968</v>
      </c>
      <c r="C100" s="170" t="s">
        <v>969</v>
      </c>
      <c r="D100" s="171" t="s">
        <v>970</v>
      </c>
      <c r="E100" s="172" t="s">
        <v>971</v>
      </c>
      <c r="F100" s="162"/>
      <c r="G100" s="162"/>
    </row>
    <row r="101" customFormat="false" ht="84" hidden="false" customHeight="true" outlineLevel="0" collapsed="false">
      <c r="A101" s="162"/>
      <c r="B101" s="170" t="s">
        <v>972</v>
      </c>
      <c r="C101" s="170" t="s">
        <v>973</v>
      </c>
      <c r="D101" s="171" t="s">
        <v>974</v>
      </c>
      <c r="E101" s="172" t="s">
        <v>975</v>
      </c>
      <c r="F101" s="162"/>
      <c r="G101" s="162"/>
    </row>
    <row r="102" customFormat="false" ht="55.5" hidden="false" customHeight="true" outlineLevel="0" collapsed="false">
      <c r="A102" s="162"/>
      <c r="B102" s="170" t="s">
        <v>976</v>
      </c>
      <c r="C102" s="170" t="s">
        <v>977</v>
      </c>
      <c r="D102" s="171" t="s">
        <v>978</v>
      </c>
      <c r="E102" s="171" t="s">
        <v>979</v>
      </c>
      <c r="F102" s="162"/>
      <c r="G102" s="162"/>
    </row>
    <row r="103" customFormat="false" ht="69.75" hidden="false" customHeight="true" outlineLevel="0" collapsed="false">
      <c r="A103" s="162"/>
      <c r="B103" s="170" t="s">
        <v>980</v>
      </c>
      <c r="C103" s="170" t="s">
        <v>981</v>
      </c>
      <c r="D103" s="171" t="s">
        <v>982</v>
      </c>
      <c r="E103" s="171" t="s">
        <v>983</v>
      </c>
      <c r="F103" s="162"/>
      <c r="G103" s="162"/>
    </row>
    <row r="104" customFormat="false" ht="69.75" hidden="false" customHeight="true" outlineLevel="0" collapsed="false">
      <c r="A104" s="162"/>
      <c r="B104" s="170" t="s">
        <v>984</v>
      </c>
      <c r="C104" s="170" t="s">
        <v>985</v>
      </c>
      <c r="D104" s="171" t="s">
        <v>986</v>
      </c>
      <c r="E104" s="171" t="s">
        <v>987</v>
      </c>
      <c r="F104" s="162"/>
      <c r="G104" s="162"/>
    </row>
    <row r="105" customFormat="false" ht="55.5" hidden="false" customHeight="true" outlineLevel="0" collapsed="false">
      <c r="A105" s="162"/>
      <c r="B105" s="170" t="s">
        <v>988</v>
      </c>
      <c r="C105" s="170" t="s">
        <v>989</v>
      </c>
      <c r="D105" s="171" t="s">
        <v>990</v>
      </c>
      <c r="E105" s="172" t="s">
        <v>991</v>
      </c>
      <c r="F105" s="162"/>
      <c r="G105" s="162"/>
    </row>
    <row r="106" customFormat="false" ht="55.5" hidden="false" customHeight="true" outlineLevel="0" collapsed="false">
      <c r="A106" s="162"/>
      <c r="B106" s="170" t="s">
        <v>992</v>
      </c>
      <c r="C106" s="170" t="s">
        <v>993</v>
      </c>
      <c r="D106" s="171" t="s">
        <v>994</v>
      </c>
      <c r="E106" s="171" t="s">
        <v>979</v>
      </c>
      <c r="F106" s="162"/>
      <c r="G106" s="162"/>
    </row>
    <row r="107" customFormat="false" ht="97.5" hidden="false" customHeight="true" outlineLevel="0" collapsed="false">
      <c r="A107" s="162"/>
      <c r="B107" s="170" t="s">
        <v>995</v>
      </c>
      <c r="C107" s="170" t="s">
        <v>996</v>
      </c>
      <c r="D107" s="171" t="s">
        <v>997</v>
      </c>
      <c r="E107" s="171" t="s">
        <v>998</v>
      </c>
      <c r="F107" s="162"/>
      <c r="G107" s="162"/>
    </row>
    <row r="108" customFormat="false" ht="84" hidden="false" customHeight="true" outlineLevel="0" collapsed="false">
      <c r="A108" s="162"/>
      <c r="B108" s="170" t="s">
        <v>999</v>
      </c>
      <c r="C108" s="170" t="s">
        <v>1000</v>
      </c>
      <c r="D108" s="171" t="s">
        <v>1001</v>
      </c>
      <c r="E108" s="171" t="s">
        <v>1002</v>
      </c>
      <c r="F108" s="162"/>
      <c r="G108" s="162"/>
    </row>
    <row r="109" customFormat="false" ht="69.75" hidden="false" customHeight="true" outlineLevel="0" collapsed="false">
      <c r="A109" s="162"/>
      <c r="B109" s="170" t="s">
        <v>1003</v>
      </c>
      <c r="C109" s="170" t="s">
        <v>1004</v>
      </c>
      <c r="D109" s="171" t="s">
        <v>1005</v>
      </c>
      <c r="E109" s="171" t="s">
        <v>1006</v>
      </c>
      <c r="F109" s="162"/>
      <c r="G109" s="162"/>
    </row>
    <row r="110" customFormat="false" ht="84" hidden="false" customHeight="true" outlineLevel="0" collapsed="false">
      <c r="A110" s="162"/>
      <c r="B110" s="170" t="s">
        <v>1007</v>
      </c>
      <c r="C110" s="170" t="s">
        <v>1008</v>
      </c>
      <c r="D110" s="171" t="s">
        <v>1009</v>
      </c>
      <c r="E110" s="171" t="s">
        <v>1010</v>
      </c>
      <c r="F110" s="162"/>
      <c r="G110" s="162"/>
    </row>
    <row r="111" customFormat="false" ht="15" hidden="false" customHeight="true" outlineLevel="0" collapsed="false">
      <c r="A111" s="162"/>
      <c r="B111" s="162"/>
      <c r="C111" s="162"/>
      <c r="D111" s="162"/>
      <c r="E111" s="162"/>
      <c r="F111" s="162"/>
      <c r="G111" s="162"/>
    </row>
    <row r="112" customFormat="false" ht="21.75" hidden="false" customHeight="true" outlineLevel="0" collapsed="false">
      <c r="A112" s="162"/>
      <c r="B112" s="165" t="s">
        <v>1011</v>
      </c>
      <c r="C112" s="165"/>
      <c r="D112" s="165"/>
      <c r="E112" s="165"/>
      <c r="F112" s="162"/>
      <c r="G112" s="162"/>
    </row>
    <row r="113" customFormat="false" ht="19.5" hidden="false" customHeight="true" outlineLevel="0" collapsed="false">
      <c r="A113" s="162"/>
      <c r="B113" s="166" t="s">
        <v>736</v>
      </c>
      <c r="C113" s="166" t="s">
        <v>809</v>
      </c>
      <c r="D113" s="166" t="s">
        <v>786</v>
      </c>
      <c r="E113" s="166" t="s">
        <v>58</v>
      </c>
      <c r="F113" s="162"/>
      <c r="G113" s="162"/>
    </row>
    <row r="114" customFormat="false" ht="84" hidden="false" customHeight="true" outlineLevel="0" collapsed="false">
      <c r="A114" s="162"/>
      <c r="B114" s="170" t="s">
        <v>1012</v>
      </c>
      <c r="C114" s="170" t="s">
        <v>1013</v>
      </c>
      <c r="D114" s="171" t="s">
        <v>1014</v>
      </c>
      <c r="E114" s="172" t="s">
        <v>742</v>
      </c>
      <c r="F114" s="162"/>
      <c r="G114" s="162"/>
    </row>
    <row r="115" customFormat="false" ht="97.5" hidden="false" customHeight="true" outlineLevel="0" collapsed="false">
      <c r="A115" s="162"/>
      <c r="B115" s="170" t="s">
        <v>1015</v>
      </c>
      <c r="C115" s="170" t="s">
        <v>1016</v>
      </c>
      <c r="D115" s="171" t="s">
        <v>1017</v>
      </c>
      <c r="E115" s="172" t="s">
        <v>1018</v>
      </c>
      <c r="F115" s="162"/>
      <c r="G115" s="162"/>
    </row>
    <row r="116" customFormat="false" ht="69.75" hidden="false" customHeight="true" outlineLevel="0" collapsed="false">
      <c r="A116" s="162"/>
      <c r="B116" s="170" t="s">
        <v>1019</v>
      </c>
      <c r="C116" s="170" t="s">
        <v>1020</v>
      </c>
      <c r="D116" s="171" t="s">
        <v>1021</v>
      </c>
      <c r="E116" s="171" t="s">
        <v>1022</v>
      </c>
      <c r="F116" s="162"/>
      <c r="G116" s="162"/>
    </row>
    <row r="117" customFormat="false" ht="69.75" hidden="false" customHeight="true" outlineLevel="0" collapsed="false">
      <c r="A117" s="162"/>
      <c r="B117" s="170" t="s">
        <v>1023</v>
      </c>
      <c r="C117" s="170" t="s">
        <v>1024</v>
      </c>
      <c r="D117" s="171" t="s">
        <v>1025</v>
      </c>
      <c r="E117" s="172" t="s">
        <v>1026</v>
      </c>
      <c r="F117" s="162"/>
      <c r="G117" s="162"/>
    </row>
    <row r="118" customFormat="false" ht="15" hidden="false" customHeight="true" outlineLevel="0" collapsed="false">
      <c r="A118" s="162"/>
      <c r="B118" s="162"/>
      <c r="C118" s="162"/>
      <c r="D118" s="162"/>
      <c r="E118" s="162"/>
      <c r="F118" s="162"/>
      <c r="G118" s="162"/>
    </row>
    <row r="119" customFormat="false" ht="21.75" hidden="false" customHeight="true" outlineLevel="0" collapsed="false">
      <c r="A119" s="162"/>
      <c r="B119" s="165" t="s">
        <v>1027</v>
      </c>
      <c r="C119" s="165"/>
      <c r="D119" s="165"/>
      <c r="E119" s="165"/>
      <c r="F119" s="162"/>
      <c r="G119" s="162"/>
    </row>
    <row r="120" customFormat="false" ht="19.5" hidden="false" customHeight="true" outlineLevel="0" collapsed="false">
      <c r="A120" s="162"/>
      <c r="B120" s="166" t="s">
        <v>736</v>
      </c>
      <c r="C120" s="166" t="s">
        <v>1028</v>
      </c>
      <c r="D120" s="166" t="s">
        <v>1029</v>
      </c>
      <c r="E120" s="166" t="s">
        <v>218</v>
      </c>
      <c r="F120" s="162"/>
      <c r="G120" s="162"/>
    </row>
    <row r="121" customFormat="false" ht="55.5" hidden="false" customHeight="true" outlineLevel="0" collapsed="false">
      <c r="A121" s="162"/>
      <c r="B121" s="170" t="s">
        <v>1030</v>
      </c>
      <c r="C121" s="170" t="s">
        <v>1031</v>
      </c>
      <c r="D121" s="171" t="s">
        <v>1032</v>
      </c>
      <c r="E121" s="171" t="s">
        <v>1033</v>
      </c>
      <c r="F121" s="162"/>
      <c r="G121" s="162"/>
    </row>
    <row r="122" customFormat="false" ht="18" hidden="false" customHeight="true" outlineLevel="0" collapsed="false">
      <c r="A122" s="162"/>
      <c r="B122" s="170" t="s">
        <v>1034</v>
      </c>
      <c r="C122" s="170" t="s">
        <v>1035</v>
      </c>
      <c r="D122" s="171" t="s">
        <v>1036</v>
      </c>
      <c r="E122" s="171" t="s">
        <v>1037</v>
      </c>
      <c r="F122" s="162"/>
      <c r="G122" s="162"/>
    </row>
    <row r="123" customFormat="false" ht="18" hidden="false" customHeight="true" outlineLevel="0" collapsed="false">
      <c r="A123" s="162"/>
      <c r="B123" s="170" t="s">
        <v>1038</v>
      </c>
      <c r="C123" s="170" t="s">
        <v>1039</v>
      </c>
      <c r="D123" s="171" t="s">
        <v>1040</v>
      </c>
      <c r="E123" s="171" t="s">
        <v>1041</v>
      </c>
      <c r="F123" s="162"/>
      <c r="G123" s="162"/>
    </row>
    <row r="124" customFormat="false" ht="18" hidden="false" customHeight="true" outlineLevel="0" collapsed="false">
      <c r="A124" s="162"/>
      <c r="B124" s="170" t="s">
        <v>1042</v>
      </c>
      <c r="C124" s="170" t="s">
        <v>1043</v>
      </c>
      <c r="D124" s="171" t="s">
        <v>1044</v>
      </c>
      <c r="E124" s="171" t="s">
        <v>1045</v>
      </c>
      <c r="F124" s="162"/>
      <c r="G124" s="162"/>
    </row>
    <row r="125" customFormat="false" ht="18" hidden="false" customHeight="true" outlineLevel="0" collapsed="false">
      <c r="A125" s="162"/>
      <c r="B125" s="170" t="s">
        <v>1046</v>
      </c>
      <c r="C125" s="170" t="s">
        <v>1047</v>
      </c>
      <c r="D125" s="171" t="s">
        <v>1048</v>
      </c>
      <c r="E125" s="171" t="s">
        <v>1049</v>
      </c>
      <c r="F125" s="162"/>
      <c r="G125" s="162"/>
    </row>
    <row r="126" customFormat="false" ht="55.5" hidden="false" customHeight="true" outlineLevel="0" collapsed="false">
      <c r="A126" s="162"/>
      <c r="B126" s="170" t="s">
        <v>1050</v>
      </c>
      <c r="C126" s="170" t="s">
        <v>1051</v>
      </c>
      <c r="D126" s="171" t="s">
        <v>1052</v>
      </c>
      <c r="E126" s="171" t="s">
        <v>1053</v>
      </c>
      <c r="F126" s="162"/>
      <c r="G126" s="162"/>
    </row>
    <row r="127" customFormat="false" ht="15" hidden="false" customHeight="true" outlineLevel="0" collapsed="false">
      <c r="A127" s="162"/>
      <c r="B127" s="162"/>
      <c r="C127" s="162"/>
      <c r="D127" s="162"/>
      <c r="E127" s="162"/>
      <c r="F127" s="162"/>
      <c r="G127" s="162"/>
    </row>
    <row r="128" customFormat="false" ht="55.5" hidden="false" customHeight="true" outlineLevel="0" collapsed="false">
      <c r="A128" s="162"/>
      <c r="B128" s="170" t="s">
        <v>1054</v>
      </c>
      <c r="C128" s="170" t="s">
        <v>1055</v>
      </c>
      <c r="D128" s="171" t="s">
        <v>1056</v>
      </c>
      <c r="E128" s="171" t="s">
        <v>1057</v>
      </c>
      <c r="F128" s="162"/>
      <c r="G128" s="162"/>
    </row>
    <row r="129" customFormat="false" ht="18" hidden="false" customHeight="true" outlineLevel="0" collapsed="false">
      <c r="A129" s="162"/>
      <c r="B129" s="170" t="s">
        <v>1058</v>
      </c>
      <c r="C129" s="170" t="s">
        <v>1059</v>
      </c>
      <c r="D129" s="171" t="s">
        <v>1060</v>
      </c>
      <c r="E129" s="171" t="s">
        <v>1061</v>
      </c>
      <c r="F129" s="162"/>
      <c r="G129" s="162"/>
    </row>
    <row r="130" customFormat="false" ht="18" hidden="false" customHeight="true" outlineLevel="0" collapsed="false">
      <c r="A130" s="162"/>
      <c r="B130" s="170" t="s">
        <v>1062</v>
      </c>
      <c r="C130" s="170" t="s">
        <v>1063</v>
      </c>
      <c r="D130" s="171" t="s">
        <v>1064</v>
      </c>
      <c r="E130" s="171" t="s">
        <v>1065</v>
      </c>
      <c r="F130" s="162"/>
      <c r="G130" s="162"/>
    </row>
    <row r="131" customFormat="false" ht="18" hidden="false" customHeight="true" outlineLevel="0" collapsed="false">
      <c r="A131" s="162"/>
      <c r="B131" s="170" t="s">
        <v>1066</v>
      </c>
      <c r="C131" s="170" t="s">
        <v>1067</v>
      </c>
      <c r="D131" s="171" t="s">
        <v>1068</v>
      </c>
      <c r="E131" s="171" t="s">
        <v>1069</v>
      </c>
      <c r="F131" s="162"/>
      <c r="G131" s="162"/>
    </row>
    <row r="132" customFormat="false" ht="18" hidden="false" customHeight="true" outlineLevel="0" collapsed="false">
      <c r="A132" s="162"/>
      <c r="B132" s="170" t="s">
        <v>1070</v>
      </c>
      <c r="C132" s="170" t="s">
        <v>1071</v>
      </c>
      <c r="D132" s="171" t="s">
        <v>1072</v>
      </c>
      <c r="E132" s="171" t="s">
        <v>1073</v>
      </c>
      <c r="F132" s="162"/>
      <c r="G132" s="162"/>
    </row>
    <row r="133" customFormat="false" ht="55.5" hidden="false" customHeight="true" outlineLevel="0" collapsed="false">
      <c r="A133" s="162"/>
      <c r="B133" s="170" t="s">
        <v>1074</v>
      </c>
      <c r="C133" s="170" t="s">
        <v>1075</v>
      </c>
      <c r="D133" s="171" t="s">
        <v>1076</v>
      </c>
      <c r="E133" s="171" t="s">
        <v>1053</v>
      </c>
      <c r="F133" s="162"/>
      <c r="G133" s="162"/>
    </row>
    <row r="134" customFormat="false" ht="15" hidden="false" customHeight="true" outlineLevel="0" collapsed="false">
      <c r="A134" s="162"/>
      <c r="B134" s="162"/>
      <c r="C134" s="162"/>
      <c r="D134" s="162"/>
      <c r="E134" s="162"/>
      <c r="F134" s="162"/>
      <c r="G134" s="162"/>
    </row>
    <row r="135" customFormat="false" ht="69.75" hidden="false" customHeight="true" outlineLevel="0" collapsed="false">
      <c r="A135" s="162"/>
      <c r="B135" s="170" t="s">
        <v>1077</v>
      </c>
      <c r="C135" s="170" t="s">
        <v>1078</v>
      </c>
      <c r="D135" s="171" t="s">
        <v>1079</v>
      </c>
      <c r="E135" s="171" t="s">
        <v>1080</v>
      </c>
      <c r="F135" s="162"/>
      <c r="G135" s="162"/>
    </row>
    <row r="136" customFormat="false" ht="84" hidden="false" customHeight="true" outlineLevel="0" collapsed="false">
      <c r="A136" s="162"/>
      <c r="B136" s="170" t="s">
        <v>1081</v>
      </c>
      <c r="C136" s="170" t="s">
        <v>1082</v>
      </c>
      <c r="D136" s="171" t="s">
        <v>1083</v>
      </c>
      <c r="E136" s="171" t="s">
        <v>1084</v>
      </c>
      <c r="F136" s="162"/>
      <c r="G136" s="162"/>
    </row>
    <row r="137" customFormat="false" ht="55.5" hidden="false" customHeight="true" outlineLevel="0" collapsed="false">
      <c r="A137" s="162"/>
      <c r="B137" s="170" t="s">
        <v>1085</v>
      </c>
      <c r="C137" s="170" t="s">
        <v>1086</v>
      </c>
      <c r="D137" s="171" t="s">
        <v>1087</v>
      </c>
      <c r="E137" s="172" t="s">
        <v>1088</v>
      </c>
      <c r="F137" s="162"/>
      <c r="G137" s="162"/>
    </row>
    <row r="138" customFormat="false" ht="15" hidden="false" customHeight="true" outlineLevel="0" collapsed="false">
      <c r="A138" s="162"/>
      <c r="B138" s="162"/>
      <c r="C138" s="162"/>
      <c r="D138" s="162"/>
      <c r="E138" s="162"/>
      <c r="F138" s="162"/>
      <c r="G138" s="162"/>
    </row>
    <row r="139" customFormat="false" ht="21.75" hidden="false" customHeight="true" outlineLevel="0" collapsed="false">
      <c r="A139" s="162"/>
      <c r="B139" s="165" t="s">
        <v>1089</v>
      </c>
      <c r="C139" s="165"/>
      <c r="D139" s="165"/>
      <c r="E139" s="165"/>
      <c r="F139" s="162"/>
      <c r="G139" s="162"/>
    </row>
    <row r="140" customFormat="false" ht="19.5" hidden="false" customHeight="true" outlineLevel="0" collapsed="false">
      <c r="A140" s="162"/>
      <c r="B140" s="166" t="s">
        <v>736</v>
      </c>
      <c r="C140" s="166" t="s">
        <v>1090</v>
      </c>
      <c r="D140" s="166" t="s">
        <v>1091</v>
      </c>
      <c r="E140" s="166" t="s">
        <v>58</v>
      </c>
      <c r="F140" s="162"/>
      <c r="G140" s="162"/>
    </row>
    <row r="141" customFormat="false" ht="84" hidden="false" customHeight="true" outlineLevel="0" collapsed="false">
      <c r="A141" s="162"/>
      <c r="B141" s="170" t="s">
        <v>1092</v>
      </c>
      <c r="C141" s="170" t="s">
        <v>1093</v>
      </c>
      <c r="D141" s="171" t="s">
        <v>1094</v>
      </c>
      <c r="E141" s="172" t="s">
        <v>1095</v>
      </c>
      <c r="F141" s="162"/>
      <c r="G141" s="162"/>
    </row>
    <row r="142" customFormat="false" ht="84" hidden="false" customHeight="true" outlineLevel="0" collapsed="false">
      <c r="A142" s="162"/>
      <c r="B142" s="170" t="s">
        <v>1096</v>
      </c>
      <c r="C142" s="170" t="s">
        <v>1097</v>
      </c>
      <c r="D142" s="171" t="s">
        <v>1098</v>
      </c>
      <c r="E142" s="172" t="s">
        <v>1099</v>
      </c>
      <c r="F142" s="162"/>
      <c r="G142" s="162"/>
    </row>
    <row r="143" customFormat="false" ht="84" hidden="false" customHeight="true" outlineLevel="0" collapsed="false">
      <c r="A143" s="162"/>
      <c r="B143" s="170" t="s">
        <v>1100</v>
      </c>
      <c r="C143" s="170" t="s">
        <v>1101</v>
      </c>
      <c r="D143" s="171" t="s">
        <v>1102</v>
      </c>
      <c r="E143" s="172" t="s">
        <v>1103</v>
      </c>
      <c r="F143" s="162"/>
      <c r="G143" s="162"/>
    </row>
    <row r="144" customFormat="false" ht="111.75" hidden="false" customHeight="true" outlineLevel="0" collapsed="false">
      <c r="A144" s="162"/>
      <c r="B144" s="170" t="s">
        <v>1104</v>
      </c>
      <c r="C144" s="170" t="s">
        <v>1105</v>
      </c>
      <c r="D144" s="171" t="s">
        <v>1106</v>
      </c>
      <c r="E144" s="172" t="s">
        <v>1107</v>
      </c>
      <c r="F144" s="162"/>
      <c r="G144" s="162"/>
    </row>
    <row r="145" customFormat="false" ht="69.75" hidden="false" customHeight="true" outlineLevel="0" collapsed="false">
      <c r="A145" s="162"/>
      <c r="B145" s="170" t="s">
        <v>1108</v>
      </c>
      <c r="C145" s="170" t="s">
        <v>1109</v>
      </c>
      <c r="D145" s="171" t="s">
        <v>1110</v>
      </c>
      <c r="E145" s="172" t="s">
        <v>1111</v>
      </c>
      <c r="F145" s="162"/>
      <c r="G145" s="162"/>
    </row>
    <row r="146" customFormat="false" ht="55.5" hidden="false" customHeight="true" outlineLevel="0" collapsed="false">
      <c r="A146" s="162"/>
      <c r="B146" s="170" t="s">
        <v>1112</v>
      </c>
      <c r="C146" s="170" t="s">
        <v>1113</v>
      </c>
      <c r="D146" s="171" t="s">
        <v>1114</v>
      </c>
      <c r="E146" s="172" t="s">
        <v>1115</v>
      </c>
      <c r="F146" s="162"/>
      <c r="G146" s="162"/>
    </row>
    <row r="147" customFormat="false" ht="15" hidden="false" customHeight="true" outlineLevel="0" collapsed="false">
      <c r="A147" s="162"/>
      <c r="B147" s="162"/>
      <c r="C147" s="162"/>
      <c r="D147" s="162"/>
      <c r="E147" s="162"/>
      <c r="F147" s="162"/>
      <c r="G147" s="162"/>
    </row>
    <row r="148" customFormat="false" ht="24" hidden="false" customHeight="true" outlineLevel="0" collapsed="false">
      <c r="A148" s="162"/>
      <c r="B148" s="173" t="s">
        <v>1116</v>
      </c>
      <c r="C148" s="173"/>
      <c r="D148" s="173"/>
      <c r="E148" s="173"/>
      <c r="F148" s="162"/>
      <c r="G148" s="162"/>
    </row>
    <row r="149" customFormat="false" ht="19.5" hidden="false" customHeight="true" outlineLevel="0" collapsed="false">
      <c r="A149" s="162"/>
      <c r="B149" s="174" t="s">
        <v>736</v>
      </c>
      <c r="C149" s="175" t="s">
        <v>1117</v>
      </c>
      <c r="D149" s="175" t="s">
        <v>432</v>
      </c>
      <c r="E149" s="174" t="s">
        <v>1118</v>
      </c>
      <c r="F149" s="162"/>
      <c r="G149" s="162"/>
    </row>
    <row r="150" customFormat="false" ht="15" hidden="false" customHeight="true" outlineLevel="0" collapsed="false">
      <c r="A150" s="162"/>
      <c r="B150" s="176" t="s">
        <v>1119</v>
      </c>
      <c r="C150" s="176" t="s">
        <v>1120</v>
      </c>
      <c r="D150" s="177" t="s">
        <v>1121</v>
      </c>
      <c r="E150" s="178" t="s">
        <v>1122</v>
      </c>
      <c r="F150" s="162"/>
      <c r="G150" s="162"/>
    </row>
    <row r="151" customFormat="false" ht="15" hidden="false" customHeight="true" outlineLevel="0" collapsed="false">
      <c r="A151" s="162"/>
      <c r="B151" s="176" t="s">
        <v>1123</v>
      </c>
      <c r="C151" s="176" t="s">
        <v>1124</v>
      </c>
      <c r="D151" s="177" t="s">
        <v>1125</v>
      </c>
      <c r="E151" s="178" t="s">
        <v>1126</v>
      </c>
      <c r="F151" s="162"/>
      <c r="G151" s="162"/>
    </row>
    <row r="152" customFormat="false" ht="15" hidden="false" customHeight="true" outlineLevel="0" collapsed="false">
      <c r="A152" s="162"/>
      <c r="B152" s="176" t="s">
        <v>1127</v>
      </c>
      <c r="C152" s="176" t="s">
        <v>1128</v>
      </c>
      <c r="D152" s="177" t="s">
        <v>1129</v>
      </c>
      <c r="E152" s="178" t="s">
        <v>1130</v>
      </c>
      <c r="F152" s="162"/>
      <c r="G152" s="162"/>
    </row>
    <row r="153" customFormat="false" ht="15" hidden="false" customHeight="true" outlineLevel="0" collapsed="false">
      <c r="A153" s="162"/>
      <c r="B153" s="176" t="s">
        <v>1131</v>
      </c>
      <c r="C153" s="176" t="s">
        <v>1132</v>
      </c>
      <c r="D153" s="177" t="s">
        <v>1133</v>
      </c>
      <c r="E153" s="178" t="s">
        <v>1134</v>
      </c>
      <c r="F153" s="162"/>
      <c r="G153" s="162"/>
    </row>
    <row r="154" customFormat="false" ht="15" hidden="false" customHeight="true" outlineLevel="0" collapsed="false">
      <c r="A154" s="162"/>
      <c r="B154" s="176" t="s">
        <v>1135</v>
      </c>
      <c r="C154" s="176" t="s">
        <v>1136</v>
      </c>
      <c r="D154" s="177" t="s">
        <v>1137</v>
      </c>
      <c r="E154" s="178" t="s">
        <v>1138</v>
      </c>
      <c r="F154" s="162"/>
      <c r="G154" s="162"/>
    </row>
    <row r="155" customFormat="false" ht="15" hidden="false" customHeight="true" outlineLevel="0" collapsed="false">
      <c r="A155" s="162"/>
      <c r="B155" s="176" t="s">
        <v>1139</v>
      </c>
      <c r="C155" s="176" t="s">
        <v>1140</v>
      </c>
      <c r="D155" s="177" t="s">
        <v>1141</v>
      </c>
      <c r="E155" s="178" t="s">
        <v>1142</v>
      </c>
      <c r="F155" s="162"/>
      <c r="G155" s="162"/>
    </row>
    <row r="156" customFormat="false" ht="15" hidden="false" customHeight="true" outlineLevel="0" collapsed="false">
      <c r="A156" s="162"/>
      <c r="B156" s="162"/>
      <c r="C156" s="162"/>
      <c r="D156" s="162"/>
      <c r="E156" s="162"/>
      <c r="F156" s="162"/>
      <c r="G156" s="162"/>
    </row>
    <row r="157" customFormat="false" ht="24" hidden="false" customHeight="true" outlineLevel="0" collapsed="false">
      <c r="A157" s="162"/>
      <c r="B157" s="173" t="s">
        <v>1143</v>
      </c>
      <c r="C157" s="173"/>
      <c r="D157" s="173"/>
      <c r="E157" s="173"/>
      <c r="F157" s="162"/>
      <c r="G157" s="162"/>
    </row>
    <row r="158" customFormat="false" ht="19.5" hidden="false" customHeight="true" outlineLevel="0" collapsed="false">
      <c r="A158" s="162"/>
      <c r="B158" s="174" t="s">
        <v>736</v>
      </c>
      <c r="C158" s="175" t="s">
        <v>869</v>
      </c>
      <c r="D158" s="175" t="s">
        <v>1144</v>
      </c>
      <c r="E158" s="174" t="s">
        <v>58</v>
      </c>
      <c r="F158" s="162"/>
      <c r="G158" s="162"/>
    </row>
    <row r="159" customFormat="false" ht="15" hidden="false" customHeight="true" outlineLevel="0" collapsed="false">
      <c r="A159" s="162"/>
      <c r="B159" s="176" t="s">
        <v>1145</v>
      </c>
      <c r="C159" s="176" t="s">
        <v>1146</v>
      </c>
      <c r="D159" s="177" t="s">
        <v>1147</v>
      </c>
      <c r="E159" s="178" t="s">
        <v>1148</v>
      </c>
      <c r="F159" s="162"/>
      <c r="G159" s="162"/>
    </row>
    <row r="160" customFormat="false" ht="15" hidden="false" customHeight="true" outlineLevel="0" collapsed="false">
      <c r="A160" s="162"/>
      <c r="B160" s="176" t="s">
        <v>1149</v>
      </c>
      <c r="C160" s="176" t="s">
        <v>1150</v>
      </c>
      <c r="D160" s="177" t="s">
        <v>1151</v>
      </c>
      <c r="E160" s="178" t="s">
        <v>1152</v>
      </c>
      <c r="F160" s="162"/>
      <c r="G160" s="162"/>
    </row>
    <row r="161" customFormat="false" ht="15" hidden="false" customHeight="true" outlineLevel="0" collapsed="false">
      <c r="A161" s="162"/>
      <c r="B161" s="176" t="s">
        <v>1153</v>
      </c>
      <c r="C161" s="176" t="s">
        <v>1154</v>
      </c>
      <c r="D161" s="177" t="s">
        <v>1155</v>
      </c>
      <c r="E161" s="178" t="s">
        <v>1156</v>
      </c>
      <c r="F161" s="162"/>
      <c r="G161" s="162"/>
    </row>
    <row r="162" customFormat="false" ht="15" hidden="false" customHeight="true" outlineLevel="0" collapsed="false">
      <c r="A162" s="162"/>
      <c r="B162" s="176" t="s">
        <v>1157</v>
      </c>
      <c r="C162" s="176" t="s">
        <v>1158</v>
      </c>
      <c r="D162" s="177" t="s">
        <v>1159</v>
      </c>
      <c r="E162" s="178" t="s">
        <v>1156</v>
      </c>
      <c r="F162" s="162"/>
      <c r="G162" s="162"/>
    </row>
    <row r="163" customFormat="false" ht="15" hidden="false" customHeight="true" outlineLevel="0" collapsed="false">
      <c r="A163" s="162"/>
      <c r="B163" s="176" t="s">
        <v>1160</v>
      </c>
      <c r="C163" s="176" t="s">
        <v>1161</v>
      </c>
      <c r="D163" s="177" t="s">
        <v>1162</v>
      </c>
      <c r="E163" s="178" t="s">
        <v>1156</v>
      </c>
      <c r="F163" s="162"/>
      <c r="G163" s="162"/>
    </row>
    <row r="164" customFormat="false" ht="15" hidden="false" customHeight="true" outlineLevel="0" collapsed="false">
      <c r="A164" s="162"/>
      <c r="B164" s="176" t="s">
        <v>1163</v>
      </c>
      <c r="C164" s="176" t="s">
        <v>1164</v>
      </c>
      <c r="D164" s="177" t="s">
        <v>1165</v>
      </c>
      <c r="E164" s="178" t="s">
        <v>1166</v>
      </c>
      <c r="F164" s="162"/>
      <c r="G164" s="162"/>
    </row>
    <row r="165" customFormat="false" ht="15" hidden="false" customHeight="true" outlineLevel="0" collapsed="false">
      <c r="A165" s="162"/>
      <c r="B165" s="176" t="s">
        <v>1167</v>
      </c>
      <c r="C165" s="176" t="s">
        <v>1168</v>
      </c>
      <c r="D165" s="177" t="s">
        <v>1169</v>
      </c>
      <c r="E165" s="178" t="s">
        <v>310</v>
      </c>
      <c r="F165" s="162"/>
      <c r="G165" s="162"/>
    </row>
    <row r="166" customFormat="false" ht="15" hidden="false" customHeight="true" outlineLevel="0" collapsed="false">
      <c r="A166" s="162"/>
      <c r="B166" s="176" t="s">
        <v>1170</v>
      </c>
      <c r="C166" s="176" t="s">
        <v>1171</v>
      </c>
      <c r="D166" s="177" t="s">
        <v>1172</v>
      </c>
      <c r="E166" s="178" t="s">
        <v>742</v>
      </c>
      <c r="F166" s="162"/>
      <c r="G166" s="162"/>
    </row>
    <row r="167" customFormat="false" ht="15" hidden="false" customHeight="true" outlineLevel="0" collapsed="false">
      <c r="A167" s="162"/>
      <c r="B167" s="162"/>
      <c r="C167" s="162"/>
      <c r="D167" s="162"/>
      <c r="E167" s="162"/>
      <c r="F167" s="162"/>
      <c r="G167" s="162"/>
    </row>
    <row r="168" customFormat="false" ht="15" hidden="false" customHeight="true" outlineLevel="0" collapsed="false">
      <c r="A168" s="162"/>
      <c r="B168" s="179" t="s">
        <v>1173</v>
      </c>
      <c r="C168" s="162"/>
      <c r="D168" s="162"/>
      <c r="E168" s="162"/>
      <c r="F168" s="162"/>
      <c r="G168" s="162"/>
    </row>
    <row r="169" customFormat="false" ht="15" hidden="false" customHeight="true" outlineLevel="0" collapsed="false">
      <c r="A169" s="162"/>
      <c r="B169" s="180" t="s">
        <v>736</v>
      </c>
      <c r="C169" s="181" t="s">
        <v>869</v>
      </c>
      <c r="D169" s="181" t="s">
        <v>57</v>
      </c>
      <c r="E169" s="181" t="s">
        <v>58</v>
      </c>
      <c r="F169" s="162"/>
      <c r="G169" s="162"/>
    </row>
    <row r="170" customFormat="false" ht="15" hidden="false" customHeight="true" outlineLevel="0" collapsed="false">
      <c r="A170" s="162"/>
      <c r="B170" s="182" t="s">
        <v>1174</v>
      </c>
      <c r="C170" s="183" t="s">
        <v>1175</v>
      </c>
      <c r="D170" s="184" t="s">
        <v>1176</v>
      </c>
      <c r="E170" s="185" t="s">
        <v>1177</v>
      </c>
      <c r="F170" s="162"/>
      <c r="G170" s="162"/>
    </row>
    <row r="171" customFormat="false" ht="15" hidden="false" customHeight="true" outlineLevel="0" collapsed="false">
      <c r="A171" s="162"/>
      <c r="B171" s="182" t="s">
        <v>1178</v>
      </c>
      <c r="C171" s="183" t="s">
        <v>1179</v>
      </c>
      <c r="D171" s="184" t="s">
        <v>1180</v>
      </c>
      <c r="E171" s="185" t="s">
        <v>1181</v>
      </c>
      <c r="F171" s="162"/>
      <c r="G171" s="162"/>
    </row>
    <row r="172" customFormat="false" ht="15" hidden="false" customHeight="true" outlineLevel="0" collapsed="false">
      <c r="A172" s="162"/>
      <c r="B172" s="182" t="s">
        <v>1182</v>
      </c>
      <c r="C172" s="183" t="s">
        <v>1183</v>
      </c>
      <c r="D172" s="184" t="s">
        <v>1184</v>
      </c>
      <c r="E172" s="185" t="s">
        <v>1156</v>
      </c>
      <c r="F172" s="162"/>
      <c r="G172" s="162"/>
    </row>
    <row r="173" customFormat="false" ht="15" hidden="false" customHeight="true" outlineLevel="0" collapsed="false">
      <c r="A173" s="162"/>
      <c r="B173" s="182" t="s">
        <v>1185</v>
      </c>
      <c r="C173" s="183" t="s">
        <v>1186</v>
      </c>
      <c r="D173" s="184" t="s">
        <v>1187</v>
      </c>
      <c r="E173" s="185" t="s">
        <v>1188</v>
      </c>
      <c r="F173" s="162"/>
      <c r="G173" s="162"/>
    </row>
    <row r="174" customFormat="false" ht="15" hidden="false" customHeight="true" outlineLevel="0" collapsed="false">
      <c r="A174" s="162"/>
      <c r="B174" s="182" t="s">
        <v>1189</v>
      </c>
      <c r="C174" s="183" t="s">
        <v>1190</v>
      </c>
      <c r="D174" s="184" t="s">
        <v>1191</v>
      </c>
      <c r="E174" s="185" t="s">
        <v>1192</v>
      </c>
      <c r="F174" s="162"/>
      <c r="G174" s="162"/>
    </row>
    <row r="175" customFormat="false" ht="15" hidden="false" customHeight="true" outlineLevel="0" collapsed="false">
      <c r="A175" s="162"/>
      <c r="B175" s="182" t="s">
        <v>1193</v>
      </c>
      <c r="C175" s="183" t="s">
        <v>1194</v>
      </c>
      <c r="D175" s="184" t="s">
        <v>1195</v>
      </c>
      <c r="E175" s="185" t="s">
        <v>1196</v>
      </c>
      <c r="F175" s="162"/>
      <c r="G175" s="162"/>
    </row>
    <row r="176" customFormat="false" ht="15" hidden="false" customHeight="true" outlineLevel="0" collapsed="false">
      <c r="A176" s="162"/>
      <c r="B176" s="182" t="s">
        <v>1197</v>
      </c>
      <c r="C176" s="183" t="s">
        <v>1198</v>
      </c>
      <c r="D176" s="184" t="s">
        <v>1199</v>
      </c>
      <c r="E176" s="185" t="s">
        <v>1200</v>
      </c>
      <c r="F176" s="162"/>
      <c r="G176" s="162"/>
    </row>
    <row r="177" customFormat="false" ht="15" hidden="false" customHeight="true" outlineLevel="0" collapsed="false">
      <c r="A177" s="162"/>
      <c r="B177" s="162"/>
      <c r="C177" s="162"/>
      <c r="D177" s="162"/>
      <c r="E177" s="162"/>
      <c r="F177" s="162"/>
      <c r="G177" s="162"/>
    </row>
    <row r="178" customFormat="false" ht="15" hidden="false" customHeight="true" outlineLevel="0" collapsed="false">
      <c r="A178" s="162"/>
      <c r="B178" s="186" t="s">
        <v>1201</v>
      </c>
      <c r="C178" s="162"/>
      <c r="D178" s="162"/>
      <c r="E178" s="162"/>
      <c r="F178" s="162"/>
      <c r="G178" s="162"/>
    </row>
    <row r="179" customFormat="false" ht="15" hidden="false" customHeight="true" outlineLevel="0" collapsed="false">
      <c r="A179" s="162"/>
      <c r="B179" s="180" t="s">
        <v>736</v>
      </c>
      <c r="C179" s="180" t="s">
        <v>869</v>
      </c>
      <c r="D179" s="180" t="s">
        <v>57</v>
      </c>
      <c r="E179" s="180" t="s">
        <v>58</v>
      </c>
      <c r="F179" s="162"/>
      <c r="G179" s="162"/>
    </row>
    <row r="180" customFormat="false" ht="15" hidden="false" customHeight="true" outlineLevel="0" collapsed="false">
      <c r="A180" s="162"/>
      <c r="B180" s="187" t="s">
        <v>1202</v>
      </c>
      <c r="C180" s="188" t="s">
        <v>1203</v>
      </c>
      <c r="D180" s="189" t="s">
        <v>1204</v>
      </c>
      <c r="E180" s="190" t="s">
        <v>1205</v>
      </c>
      <c r="F180" s="162"/>
      <c r="G180" s="162"/>
    </row>
    <row r="181" customFormat="false" ht="15" hidden="false" customHeight="true" outlineLevel="0" collapsed="false">
      <c r="A181" s="162"/>
      <c r="B181" s="187" t="s">
        <v>1206</v>
      </c>
      <c r="C181" s="188" t="s">
        <v>1207</v>
      </c>
      <c r="D181" s="189" t="s">
        <v>1208</v>
      </c>
      <c r="E181" s="190" t="s">
        <v>1156</v>
      </c>
      <c r="F181" s="162"/>
      <c r="G181" s="162"/>
    </row>
    <row r="182" customFormat="false" ht="15" hidden="false" customHeight="true" outlineLevel="0" collapsed="false">
      <c r="A182" s="162"/>
      <c r="B182" s="187" t="s">
        <v>1209</v>
      </c>
      <c r="C182" s="188" t="s">
        <v>1210</v>
      </c>
      <c r="D182" s="189" t="s">
        <v>1211</v>
      </c>
      <c r="E182" s="190" t="s">
        <v>1212</v>
      </c>
      <c r="F182" s="162"/>
      <c r="G182" s="162"/>
    </row>
    <row r="183" customFormat="false" ht="15" hidden="false" customHeight="true" outlineLevel="0" collapsed="false">
      <c r="A183" s="162"/>
      <c r="B183" s="187" t="s">
        <v>1213</v>
      </c>
      <c r="C183" s="188" t="s">
        <v>1214</v>
      </c>
      <c r="D183" s="189" t="s">
        <v>1215</v>
      </c>
      <c r="E183" s="190" t="s">
        <v>1216</v>
      </c>
      <c r="F183" s="162"/>
      <c r="G183" s="162"/>
    </row>
    <row r="184" customFormat="false" ht="15" hidden="false" customHeight="true" outlineLevel="0" collapsed="false">
      <c r="A184" s="162"/>
      <c r="B184" s="187" t="s">
        <v>1217</v>
      </c>
      <c r="C184" s="188" t="s">
        <v>1218</v>
      </c>
      <c r="D184" s="189" t="s">
        <v>1219</v>
      </c>
      <c r="E184" s="190" t="s">
        <v>1220</v>
      </c>
      <c r="F184" s="162"/>
      <c r="G184" s="162"/>
    </row>
    <row r="185" customFormat="false" ht="15" hidden="false" customHeight="true" outlineLevel="0" collapsed="false">
      <c r="A185" s="162"/>
      <c r="B185" s="187" t="s">
        <v>1221</v>
      </c>
      <c r="C185" s="188" t="s">
        <v>1222</v>
      </c>
      <c r="D185" s="189" t="s">
        <v>1223</v>
      </c>
      <c r="E185" s="190" t="s">
        <v>1224</v>
      </c>
      <c r="F185" s="162"/>
      <c r="G185" s="162"/>
    </row>
    <row r="186" customFormat="false" ht="15" hidden="false" customHeight="true" outlineLevel="0" collapsed="false">
      <c r="A186" s="162"/>
      <c r="B186" s="187" t="s">
        <v>1225</v>
      </c>
      <c r="C186" s="188" t="s">
        <v>1226</v>
      </c>
      <c r="D186" s="189" t="s">
        <v>1227</v>
      </c>
      <c r="E186" s="190" t="s">
        <v>1188</v>
      </c>
      <c r="F186" s="162"/>
      <c r="G186" s="162"/>
    </row>
    <row r="187" customFormat="false" ht="15" hidden="false" customHeight="true" outlineLevel="0" collapsed="false">
      <c r="A187" s="162"/>
      <c r="B187" s="162"/>
      <c r="C187" s="162"/>
      <c r="D187" s="162"/>
      <c r="E187" s="162"/>
      <c r="F187" s="162"/>
      <c r="G187" s="162"/>
    </row>
    <row r="188" customFormat="false" ht="15" hidden="false" customHeight="true" outlineLevel="0" collapsed="false">
      <c r="A188" s="162"/>
      <c r="B188" s="191" t="s">
        <v>1228</v>
      </c>
      <c r="C188" s="162"/>
      <c r="D188" s="162"/>
      <c r="E188" s="162"/>
      <c r="F188" s="162"/>
      <c r="G188" s="162"/>
    </row>
    <row r="189" customFormat="false" ht="15" hidden="false" customHeight="true" outlineLevel="0" collapsed="false">
      <c r="A189" s="162"/>
      <c r="B189" s="192" t="s">
        <v>736</v>
      </c>
      <c r="C189" s="192" t="s">
        <v>869</v>
      </c>
      <c r="D189" s="192" t="s">
        <v>57</v>
      </c>
      <c r="E189" s="192" t="s">
        <v>58</v>
      </c>
      <c r="F189" s="162"/>
      <c r="G189" s="162"/>
    </row>
    <row r="190" customFormat="false" ht="15" hidden="false" customHeight="true" outlineLevel="0" collapsed="false">
      <c r="A190" s="162"/>
      <c r="B190" s="187" t="s">
        <v>1229</v>
      </c>
      <c r="C190" s="188" t="s">
        <v>1230</v>
      </c>
      <c r="D190" s="189" t="s">
        <v>1231</v>
      </c>
      <c r="E190" s="190" t="s">
        <v>1205</v>
      </c>
      <c r="F190" s="162"/>
      <c r="G190" s="162"/>
    </row>
    <row r="191" customFormat="false" ht="15" hidden="false" customHeight="true" outlineLevel="0" collapsed="false">
      <c r="A191" s="162"/>
      <c r="B191" s="187" t="s">
        <v>1232</v>
      </c>
      <c r="C191" s="188" t="s">
        <v>1233</v>
      </c>
      <c r="D191" s="189" t="s">
        <v>1234</v>
      </c>
      <c r="E191" s="190" t="s">
        <v>310</v>
      </c>
      <c r="F191" s="162"/>
      <c r="G191" s="162"/>
    </row>
    <row r="192" customFormat="false" ht="15" hidden="false" customHeight="true" outlineLevel="0" collapsed="false">
      <c r="A192" s="162"/>
      <c r="B192" s="187" t="s">
        <v>1235</v>
      </c>
      <c r="C192" s="188" t="s">
        <v>1236</v>
      </c>
      <c r="D192" s="189" t="s">
        <v>1237</v>
      </c>
      <c r="E192" s="190" t="s">
        <v>1238</v>
      </c>
      <c r="F192" s="162"/>
      <c r="G192" s="162"/>
    </row>
    <row r="193" customFormat="false" ht="15" hidden="false" customHeight="true" outlineLevel="0" collapsed="false">
      <c r="A193" s="162"/>
      <c r="B193" s="187" t="s">
        <v>1239</v>
      </c>
      <c r="C193" s="188" t="s">
        <v>1240</v>
      </c>
      <c r="D193" s="189" t="s">
        <v>1241</v>
      </c>
      <c r="E193" s="190" t="s">
        <v>1242</v>
      </c>
      <c r="F193" s="162"/>
      <c r="G193" s="162"/>
    </row>
    <row r="194" customFormat="false" ht="15" hidden="false" customHeight="true" outlineLevel="0" collapsed="false">
      <c r="A194" s="162"/>
      <c r="B194" s="187" t="s">
        <v>1243</v>
      </c>
      <c r="C194" s="188" t="s">
        <v>1244</v>
      </c>
      <c r="D194" s="189" t="s">
        <v>1245</v>
      </c>
      <c r="E194" s="190" t="s">
        <v>1188</v>
      </c>
      <c r="F194" s="162"/>
      <c r="G194" s="162"/>
    </row>
    <row r="195" customFormat="false" ht="15" hidden="false" customHeight="true" outlineLevel="0" collapsed="false">
      <c r="A195" s="162"/>
      <c r="B195" s="187" t="s">
        <v>1246</v>
      </c>
      <c r="C195" s="188" t="s">
        <v>1194</v>
      </c>
      <c r="D195" s="189" t="s">
        <v>1247</v>
      </c>
      <c r="E195" s="190" t="s">
        <v>1196</v>
      </c>
      <c r="F195" s="162"/>
      <c r="G195" s="162"/>
    </row>
    <row r="196" customFormat="false" ht="15" hidden="false" customHeight="true" outlineLevel="0" collapsed="false">
      <c r="A196" s="162"/>
      <c r="B196" s="187" t="s">
        <v>1248</v>
      </c>
      <c r="C196" s="188" t="s">
        <v>1222</v>
      </c>
      <c r="D196" s="189" t="s">
        <v>1249</v>
      </c>
      <c r="E196" s="190" t="s">
        <v>1224</v>
      </c>
      <c r="F196" s="162"/>
      <c r="G196" s="162"/>
    </row>
    <row r="197" customFormat="false" ht="15" hidden="false" customHeight="true" outlineLevel="0" collapsed="false">
      <c r="A197" s="162"/>
      <c r="B197" s="187" t="s">
        <v>1250</v>
      </c>
      <c r="C197" s="188" t="s">
        <v>1226</v>
      </c>
      <c r="D197" s="189" t="s">
        <v>1251</v>
      </c>
      <c r="E197" s="190" t="s">
        <v>1188</v>
      </c>
      <c r="F197" s="162"/>
      <c r="G197" s="162"/>
    </row>
    <row r="198" customFormat="false" ht="15" hidden="false" customHeight="true" outlineLevel="0" collapsed="false">
      <c r="A198" s="162"/>
      <c r="B198" s="162"/>
      <c r="C198" s="162"/>
      <c r="D198" s="162"/>
      <c r="E198" s="162"/>
      <c r="F198" s="162"/>
      <c r="G198" s="162"/>
    </row>
    <row r="199" customFormat="false" ht="15" hidden="false" customHeight="true" outlineLevel="0" collapsed="false">
      <c r="A199" s="162"/>
      <c r="B199" s="162"/>
      <c r="C199" s="162"/>
      <c r="D199" s="162"/>
      <c r="E199" s="162"/>
      <c r="F199" s="162"/>
      <c r="G199" s="162"/>
    </row>
    <row r="200" customFormat="false" ht="12" hidden="false" customHeight="true" outlineLevel="0" collapsed="false"/>
    <row r="201" customFormat="false" ht="15" hidden="false" customHeight="true" outlineLevel="0" collapsed="false">
      <c r="B201" s="110" t="s">
        <v>1252</v>
      </c>
    </row>
    <row r="202" customFormat="false" ht="15" hidden="false" customHeight="true" outlineLevel="0" collapsed="false">
      <c r="B202" s="110" t="s">
        <v>736</v>
      </c>
      <c r="C202" s="110" t="s">
        <v>869</v>
      </c>
      <c r="D202" s="110" t="s">
        <v>57</v>
      </c>
      <c r="E202" s="110" t="s">
        <v>58</v>
      </c>
    </row>
    <row r="203" customFormat="false" ht="15" hidden="false" customHeight="true" outlineLevel="0" collapsed="false">
      <c r="B203" s="1" t="s">
        <v>1253</v>
      </c>
      <c r="C203" s="1" t="s">
        <v>1254</v>
      </c>
      <c r="D203" s="1" t="s">
        <v>1255</v>
      </c>
      <c r="E203" s="1" t="s">
        <v>1256</v>
      </c>
    </row>
    <row r="204" customFormat="false" ht="15" hidden="false" customHeight="true" outlineLevel="0" collapsed="false">
      <c r="B204" s="1" t="s">
        <v>1257</v>
      </c>
      <c r="C204" s="1" t="s">
        <v>1258</v>
      </c>
      <c r="D204" s="1" t="s">
        <v>1259</v>
      </c>
      <c r="E204" s="1" t="s">
        <v>1260</v>
      </c>
    </row>
    <row r="205" customFormat="false" ht="15" hidden="false" customHeight="true" outlineLevel="0" collapsed="false">
      <c r="B205" s="1" t="s">
        <v>1261</v>
      </c>
      <c r="C205" s="1" t="s">
        <v>1262</v>
      </c>
      <c r="D205" s="1" t="s">
        <v>1263</v>
      </c>
      <c r="E205" s="1" t="s">
        <v>797</v>
      </c>
    </row>
    <row r="206" customFormat="false" ht="15" hidden="false" customHeight="true" outlineLevel="0" collapsed="false">
      <c r="B206" s="1" t="s">
        <v>1264</v>
      </c>
      <c r="C206" s="1" t="s">
        <v>1265</v>
      </c>
      <c r="D206" s="1" t="s">
        <v>1266</v>
      </c>
      <c r="E206" s="1" t="s">
        <v>1267</v>
      </c>
    </row>
    <row r="207" customFormat="false" ht="12" hidden="false" customHeight="true" outlineLevel="0" collapsed="false"/>
    <row r="208" customFormat="false" ht="15" hidden="false" customHeight="true" outlineLevel="0" collapsed="false">
      <c r="B208" s="110" t="s">
        <v>1268</v>
      </c>
    </row>
    <row r="209" customFormat="false" ht="15" hidden="false" customHeight="true" outlineLevel="0" collapsed="false">
      <c r="B209" s="110" t="s">
        <v>736</v>
      </c>
      <c r="C209" s="110" t="s">
        <v>869</v>
      </c>
      <c r="D209" s="110" t="s">
        <v>57</v>
      </c>
      <c r="E209" s="110" t="s">
        <v>58</v>
      </c>
    </row>
    <row r="210" customFormat="false" ht="15" hidden="false" customHeight="true" outlineLevel="0" collapsed="false">
      <c r="B210" s="1" t="s">
        <v>1269</v>
      </c>
      <c r="C210" s="1" t="s">
        <v>1270</v>
      </c>
      <c r="D210" s="1" t="s">
        <v>1271</v>
      </c>
      <c r="E210" s="1" t="s">
        <v>1272</v>
      </c>
    </row>
    <row r="211" customFormat="false" ht="15" hidden="false" customHeight="true" outlineLevel="0" collapsed="false">
      <c r="B211" s="1" t="s">
        <v>1273</v>
      </c>
      <c r="C211" s="1" t="s">
        <v>1274</v>
      </c>
      <c r="D211" s="1" t="s">
        <v>1275</v>
      </c>
      <c r="E211" s="1" t="s">
        <v>1276</v>
      </c>
    </row>
    <row r="212" customFormat="false" ht="15" hidden="false" customHeight="true" outlineLevel="0" collapsed="false">
      <c r="B212" s="1" t="s">
        <v>1277</v>
      </c>
      <c r="C212" s="1" t="s">
        <v>1278</v>
      </c>
      <c r="D212" s="1" t="s">
        <v>1279</v>
      </c>
      <c r="E212" s="1" t="s">
        <v>1280</v>
      </c>
    </row>
    <row r="213" customFormat="false" ht="15" hidden="false" customHeight="true" outlineLevel="0" collapsed="false">
      <c r="B213" s="1" t="s">
        <v>1281</v>
      </c>
      <c r="C213" s="1" t="s">
        <v>1282</v>
      </c>
      <c r="D213" s="1" t="s">
        <v>1283</v>
      </c>
      <c r="E213" s="1" t="s">
        <v>1260</v>
      </c>
    </row>
    <row r="214" customFormat="false" ht="15" hidden="false" customHeight="true" outlineLevel="0" collapsed="false">
      <c r="B214" s="1" t="s">
        <v>1284</v>
      </c>
      <c r="C214" s="1" t="s">
        <v>1285</v>
      </c>
      <c r="D214" s="1" t="s">
        <v>1286</v>
      </c>
      <c r="E214" s="1" t="s">
        <v>1287</v>
      </c>
    </row>
    <row r="215" customFormat="false" ht="12" hidden="false" customHeight="true" outlineLevel="0" collapsed="false"/>
    <row r="216" customFormat="false" ht="15" hidden="false" customHeight="true" outlineLevel="0" collapsed="false">
      <c r="B216" s="110" t="s">
        <v>1288</v>
      </c>
    </row>
    <row r="217" customFormat="false" ht="15" hidden="false" customHeight="true" outlineLevel="0" collapsed="false">
      <c r="B217" s="110" t="s">
        <v>736</v>
      </c>
      <c r="C217" s="110" t="s">
        <v>1289</v>
      </c>
      <c r="D217" s="110" t="s">
        <v>1290</v>
      </c>
      <c r="E217" s="110" t="s">
        <v>1291</v>
      </c>
    </row>
    <row r="218" customFormat="false" ht="15" hidden="false" customHeight="true" outlineLevel="0" collapsed="false">
      <c r="B218" s="4" t="s">
        <v>1292</v>
      </c>
      <c r="C218" s="4" t="s">
        <v>1293</v>
      </c>
      <c r="D218" s="1" t="s">
        <v>1294</v>
      </c>
      <c r="E218" s="1" t="s">
        <v>1295</v>
      </c>
    </row>
    <row r="219" customFormat="false" ht="15" hidden="false" customHeight="true" outlineLevel="0" collapsed="false">
      <c r="B219" s="4" t="s">
        <v>1296</v>
      </c>
      <c r="C219" s="4" t="s">
        <v>1297</v>
      </c>
      <c r="D219" s="1" t="s">
        <v>1298</v>
      </c>
      <c r="E219" s="1" t="s">
        <v>1299</v>
      </c>
    </row>
    <row r="220" customFormat="false" ht="15" hidden="false" customHeight="true" outlineLevel="0" collapsed="false">
      <c r="B220" s="4" t="s">
        <v>1300</v>
      </c>
      <c r="C220" s="4" t="s">
        <v>1301</v>
      </c>
      <c r="D220" s="1" t="s">
        <v>1302</v>
      </c>
      <c r="E220" s="1" t="s">
        <v>1303</v>
      </c>
    </row>
    <row r="221" customFormat="false" ht="15" hidden="false" customHeight="true" outlineLevel="0" collapsed="false">
      <c r="B221" s="4" t="s">
        <v>1304</v>
      </c>
      <c r="C221" s="4" t="s">
        <v>1305</v>
      </c>
      <c r="D221" s="1" t="s">
        <v>1306</v>
      </c>
      <c r="E221" s="1" t="s">
        <v>1307</v>
      </c>
    </row>
    <row r="222" customFormat="false" ht="15" hidden="false" customHeight="true" outlineLevel="0" collapsed="false">
      <c r="B222" s="4" t="s">
        <v>1308</v>
      </c>
      <c r="C222" s="4" t="s">
        <v>1309</v>
      </c>
      <c r="D222" s="1" t="s">
        <v>1310</v>
      </c>
      <c r="E222" s="1" t="s">
        <v>1311</v>
      </c>
    </row>
    <row r="223" customFormat="false" ht="12" hidden="false" customHeight="true" outlineLevel="0" collapsed="false"/>
    <row r="224" customFormat="false" ht="12" hidden="false" customHeight="true" outlineLevel="0" collapsed="false"/>
    <row r="225" customFormat="false" ht="12" hidden="false" customHeight="true" outlineLevel="0" collapsed="false"/>
    <row r="226" customFormat="false" ht="12" hidden="false" customHeight="true" outlineLevel="0" collapsed="false"/>
    <row r="227" customFormat="false" ht="12" hidden="false" customHeight="true" outlineLevel="0" collapsed="false"/>
    <row r="228" customFormat="false" ht="15" hidden="false" customHeight="true" outlineLevel="0" collapsed="false">
      <c r="B228" s="110" t="s">
        <v>1312</v>
      </c>
    </row>
    <row r="229" customFormat="false" ht="15" hidden="false" customHeight="true" outlineLevel="0" collapsed="false">
      <c r="B229" s="110" t="s">
        <v>736</v>
      </c>
      <c r="C229" s="110" t="s">
        <v>869</v>
      </c>
      <c r="D229" s="110" t="s">
        <v>1313</v>
      </c>
      <c r="E229" s="110" t="s">
        <v>58</v>
      </c>
    </row>
    <row r="230" customFormat="false" ht="15" hidden="false" customHeight="true" outlineLevel="0" collapsed="false">
      <c r="B230" s="4" t="s">
        <v>1314</v>
      </c>
      <c r="C230" s="4" t="s">
        <v>1315</v>
      </c>
      <c r="D230" s="1" t="s">
        <v>1316</v>
      </c>
      <c r="E230" s="1" t="s">
        <v>1317</v>
      </c>
    </row>
    <row r="231" customFormat="false" ht="15" hidden="false" customHeight="true" outlineLevel="0" collapsed="false">
      <c r="B231" s="4" t="s">
        <v>1318</v>
      </c>
      <c r="C231" s="4" t="s">
        <v>1319</v>
      </c>
      <c r="D231" s="1" t="s">
        <v>1320</v>
      </c>
      <c r="E231" s="1" t="s">
        <v>1321</v>
      </c>
    </row>
    <row r="232" customFormat="false" ht="15" hidden="false" customHeight="true" outlineLevel="0" collapsed="false">
      <c r="B232" s="4" t="s">
        <v>1322</v>
      </c>
      <c r="C232" s="4" t="s">
        <v>1323</v>
      </c>
      <c r="D232" s="1" t="s">
        <v>1324</v>
      </c>
      <c r="E232" s="1" t="s">
        <v>1325</v>
      </c>
    </row>
    <row r="233" customFormat="false" ht="15" hidden="false" customHeight="true" outlineLevel="0" collapsed="false">
      <c r="B233" s="4" t="s">
        <v>1326</v>
      </c>
      <c r="C233" s="4" t="s">
        <v>1327</v>
      </c>
      <c r="D233" s="1" t="s">
        <v>1328</v>
      </c>
      <c r="E233" s="1" t="s">
        <v>1329</v>
      </c>
    </row>
    <row r="234" customFormat="false" ht="15" hidden="false" customHeight="true" outlineLevel="0" collapsed="false">
      <c r="B234" s="4" t="s">
        <v>1330</v>
      </c>
      <c r="C234" s="4" t="s">
        <v>1331</v>
      </c>
      <c r="D234" s="1" t="s">
        <v>1332</v>
      </c>
      <c r="E234" s="1" t="s">
        <v>1333</v>
      </c>
    </row>
    <row r="235" customFormat="false" ht="15" hidden="false" customHeight="true" outlineLevel="0" collapsed="false">
      <c r="B235" s="4" t="s">
        <v>1334</v>
      </c>
      <c r="C235" s="4" t="s">
        <v>1335</v>
      </c>
      <c r="D235" s="1" t="s">
        <v>1336</v>
      </c>
      <c r="E235" s="1" t="s">
        <v>1337</v>
      </c>
    </row>
    <row r="236" customFormat="false" ht="15" hidden="false" customHeight="true" outlineLevel="0" collapsed="false">
      <c r="B236" s="110" t="s">
        <v>1338</v>
      </c>
    </row>
    <row r="237" customFormat="false" ht="15" hidden="false" customHeight="true" outlineLevel="0" collapsed="false">
      <c r="B237" s="110" t="s">
        <v>736</v>
      </c>
      <c r="C237" s="110" t="s">
        <v>869</v>
      </c>
      <c r="D237" s="110" t="s">
        <v>57</v>
      </c>
      <c r="E237" s="110" t="s">
        <v>58</v>
      </c>
    </row>
    <row r="238" customFormat="false" ht="15" hidden="false" customHeight="true" outlineLevel="0" collapsed="false">
      <c r="B238" s="4" t="s">
        <v>1339</v>
      </c>
      <c r="C238" s="4" t="s">
        <v>1340</v>
      </c>
      <c r="D238" s="1" t="s">
        <v>1341</v>
      </c>
      <c r="E238" s="1" t="s">
        <v>1342</v>
      </c>
    </row>
    <row r="239" customFormat="false" ht="15" hidden="false" customHeight="true" outlineLevel="0" collapsed="false">
      <c r="B239" s="4" t="s">
        <v>1343</v>
      </c>
      <c r="C239" s="4" t="s">
        <v>1344</v>
      </c>
      <c r="D239" s="1" t="s">
        <v>1345</v>
      </c>
      <c r="E239" s="1" t="s">
        <v>1346</v>
      </c>
    </row>
    <row r="240" customFormat="false" ht="15" hidden="false" customHeight="true" outlineLevel="0" collapsed="false">
      <c r="B240" s="4" t="s">
        <v>1347</v>
      </c>
      <c r="C240" s="4" t="s">
        <v>1348</v>
      </c>
      <c r="D240" s="1" t="s">
        <v>1349</v>
      </c>
      <c r="E240" s="1" t="s">
        <v>1350</v>
      </c>
    </row>
    <row r="241" customFormat="false" ht="15" hidden="false" customHeight="true" outlineLevel="0" collapsed="false">
      <c r="B241" s="4" t="s">
        <v>1351</v>
      </c>
      <c r="C241" s="4" t="s">
        <v>1352</v>
      </c>
      <c r="D241" s="1" t="s">
        <v>1353</v>
      </c>
      <c r="E241" s="1" t="s">
        <v>1354</v>
      </c>
    </row>
    <row r="242" customFormat="false" ht="12" hidden="false" customHeight="true" outlineLevel="0" collapsed="false"/>
    <row r="243" customFormat="false" ht="15" hidden="false" customHeight="true" outlineLevel="0" collapsed="false">
      <c r="B243" s="193" t="s">
        <v>1355</v>
      </c>
    </row>
    <row r="244" customFormat="false" ht="15" hidden="false" customHeight="true" outlineLevel="0" collapsed="false">
      <c r="B244" s="110" t="s">
        <v>736</v>
      </c>
      <c r="C244" s="110" t="s">
        <v>869</v>
      </c>
      <c r="D244" s="110" t="s">
        <v>57</v>
      </c>
      <c r="E244" s="110" t="s">
        <v>58</v>
      </c>
    </row>
    <row r="245" customFormat="false" ht="45.75" hidden="false" customHeight="true" outlineLevel="0" collapsed="false">
      <c r="B245" s="194" t="s">
        <v>1356</v>
      </c>
      <c r="C245" s="194" t="s">
        <v>1357</v>
      </c>
      <c r="D245" s="194" t="s">
        <v>1358</v>
      </c>
      <c r="E245" s="194" t="s">
        <v>1359</v>
      </c>
    </row>
    <row r="246" customFormat="false" ht="57" hidden="false" customHeight="true" outlineLevel="0" collapsed="false">
      <c r="B246" s="194" t="s">
        <v>1360</v>
      </c>
      <c r="C246" s="194" t="s">
        <v>1361</v>
      </c>
      <c r="D246" s="194" t="s">
        <v>1362</v>
      </c>
      <c r="E246" s="194" t="s">
        <v>1363</v>
      </c>
    </row>
    <row r="247" customFormat="false" ht="45.75" hidden="false" customHeight="true" outlineLevel="0" collapsed="false">
      <c r="B247" s="194" t="s">
        <v>1364</v>
      </c>
      <c r="C247" s="194" t="s">
        <v>1365</v>
      </c>
      <c r="D247" s="194" t="s">
        <v>1366</v>
      </c>
      <c r="E247" s="194" t="s">
        <v>1367</v>
      </c>
    </row>
    <row r="248" customFormat="false" ht="34.5" hidden="false" customHeight="true" outlineLevel="0" collapsed="false">
      <c r="B248" s="194" t="s">
        <v>1368</v>
      </c>
      <c r="C248" s="194" t="s">
        <v>1369</v>
      </c>
      <c r="D248" s="194" t="s">
        <v>1370</v>
      </c>
      <c r="E248" s="194" t="s">
        <v>1371</v>
      </c>
    </row>
    <row r="249" customFormat="false" ht="45.75" hidden="false" customHeight="true" outlineLevel="0" collapsed="false">
      <c r="B249" s="194" t="s">
        <v>1372</v>
      </c>
      <c r="C249" s="194" t="s">
        <v>1373</v>
      </c>
      <c r="D249" s="194" t="s">
        <v>1374</v>
      </c>
      <c r="E249" s="194" t="s">
        <v>1375</v>
      </c>
    </row>
    <row r="250" customFormat="false" ht="57" hidden="false" customHeight="true" outlineLevel="0" collapsed="false">
      <c r="B250" s="194" t="s">
        <v>1376</v>
      </c>
      <c r="C250" s="194" t="s">
        <v>1377</v>
      </c>
      <c r="D250" s="194" t="s">
        <v>1378</v>
      </c>
      <c r="E250" s="194" t="s">
        <v>1379</v>
      </c>
    </row>
    <row r="251" customFormat="false" ht="12" hidden="false" customHeight="true" outlineLevel="0" collapsed="false"/>
    <row r="252" customFormat="false" ht="15" hidden="false" customHeight="true" outlineLevel="0" collapsed="false">
      <c r="B252" s="193" t="s">
        <v>1380</v>
      </c>
    </row>
    <row r="253" customFormat="false" ht="15" hidden="false" customHeight="true" outlineLevel="0" collapsed="false">
      <c r="B253" s="110" t="s">
        <v>736</v>
      </c>
      <c r="C253" s="110" t="s">
        <v>785</v>
      </c>
      <c r="D253" s="110" t="s">
        <v>810</v>
      </c>
      <c r="E253" s="110" t="s">
        <v>58</v>
      </c>
    </row>
    <row r="254" customFormat="false" ht="23.25" hidden="false" customHeight="true" outlineLevel="0" collapsed="false">
      <c r="B254" s="194" t="s">
        <v>1381</v>
      </c>
      <c r="C254" s="194" t="s">
        <v>1382</v>
      </c>
      <c r="D254" s="194" t="s">
        <v>1383</v>
      </c>
      <c r="E254" s="194" t="s">
        <v>1384</v>
      </c>
    </row>
    <row r="255" customFormat="false" ht="23.25" hidden="false" customHeight="true" outlineLevel="0" collapsed="false">
      <c r="B255" s="194" t="s">
        <v>1385</v>
      </c>
      <c r="C255" s="194" t="s">
        <v>1386</v>
      </c>
      <c r="D255" s="194" t="s">
        <v>1387</v>
      </c>
      <c r="E255" s="194" t="s">
        <v>1388</v>
      </c>
    </row>
    <row r="256" customFormat="false" ht="34.5" hidden="false" customHeight="true" outlineLevel="0" collapsed="false">
      <c r="B256" s="194" t="s">
        <v>1389</v>
      </c>
      <c r="C256" s="194" t="s">
        <v>1390</v>
      </c>
      <c r="D256" s="194" t="s">
        <v>1391</v>
      </c>
      <c r="E256" s="194" t="s">
        <v>1392</v>
      </c>
    </row>
    <row r="257" customFormat="false" ht="23.25" hidden="false" customHeight="true" outlineLevel="0" collapsed="false">
      <c r="B257" s="194" t="s">
        <v>1393</v>
      </c>
      <c r="C257" s="194" t="s">
        <v>1394</v>
      </c>
      <c r="D257" s="194" t="s">
        <v>1395</v>
      </c>
      <c r="E257" s="194" t="s">
        <v>1188</v>
      </c>
    </row>
    <row r="258" customFormat="false" ht="12" hidden="false" customHeight="true" outlineLevel="0" collapsed="false"/>
    <row r="259" customFormat="false" ht="15" hidden="false" customHeight="true" outlineLevel="0" collapsed="false">
      <c r="B259" s="193" t="s">
        <v>1396</v>
      </c>
    </row>
    <row r="260" customFormat="false" ht="15" hidden="false" customHeight="true" outlineLevel="0" collapsed="false">
      <c r="B260" s="110" t="s">
        <v>736</v>
      </c>
      <c r="C260" s="110" t="s">
        <v>869</v>
      </c>
      <c r="D260" s="110" t="s">
        <v>57</v>
      </c>
      <c r="E260" s="110" t="s">
        <v>58</v>
      </c>
    </row>
    <row r="261" customFormat="false" ht="34.5" hidden="false" customHeight="true" outlineLevel="0" collapsed="false">
      <c r="B261" s="155" t="s">
        <v>1397</v>
      </c>
      <c r="C261" s="155" t="s">
        <v>1398</v>
      </c>
      <c r="D261" s="155" t="s">
        <v>1399</v>
      </c>
      <c r="E261" s="155" t="s">
        <v>1400</v>
      </c>
    </row>
    <row r="262" customFormat="false" ht="45.75" hidden="false" customHeight="true" outlineLevel="0" collapsed="false">
      <c r="B262" s="155" t="s">
        <v>1401</v>
      </c>
      <c r="C262" s="155" t="s">
        <v>1402</v>
      </c>
      <c r="D262" s="155" t="s">
        <v>1403</v>
      </c>
      <c r="E262" s="155" t="s">
        <v>1404</v>
      </c>
    </row>
    <row r="263" customFormat="false" ht="45.75" hidden="false" customHeight="true" outlineLevel="0" collapsed="false">
      <c r="B263" s="155" t="s">
        <v>1405</v>
      </c>
      <c r="C263" s="155" t="s">
        <v>1406</v>
      </c>
      <c r="D263" s="155" t="s">
        <v>1407</v>
      </c>
      <c r="E263" s="155" t="s">
        <v>1408</v>
      </c>
    </row>
    <row r="264" customFormat="false" ht="34.5" hidden="false" customHeight="true" outlineLevel="0" collapsed="false">
      <c r="B264" s="155" t="s">
        <v>1409</v>
      </c>
      <c r="C264" s="155" t="s">
        <v>1410</v>
      </c>
      <c r="D264" s="155" t="s">
        <v>1411</v>
      </c>
      <c r="E264" s="155" t="s">
        <v>310</v>
      </c>
    </row>
    <row r="265" customFormat="false" ht="34.5" hidden="false" customHeight="true" outlineLevel="0" collapsed="false">
      <c r="B265" s="155" t="s">
        <v>1412</v>
      </c>
      <c r="C265" s="155" t="s">
        <v>1413</v>
      </c>
      <c r="D265" s="155" t="s">
        <v>1414</v>
      </c>
      <c r="E265" s="155" t="s">
        <v>310</v>
      </c>
    </row>
    <row r="266" customFormat="false" ht="57" hidden="false" customHeight="true" outlineLevel="0" collapsed="false">
      <c r="B266" s="155" t="s">
        <v>1415</v>
      </c>
      <c r="C266" s="155" t="s">
        <v>1416</v>
      </c>
      <c r="D266" s="155" t="s">
        <v>1417</v>
      </c>
      <c r="E266" s="155" t="s">
        <v>1418</v>
      </c>
    </row>
    <row r="267" customFormat="false" ht="34.5" hidden="false" customHeight="true" outlineLevel="0" collapsed="false">
      <c r="B267" s="155" t="s">
        <v>1419</v>
      </c>
      <c r="C267" s="155" t="s">
        <v>1420</v>
      </c>
      <c r="D267" s="155" t="s">
        <v>1421</v>
      </c>
      <c r="E267" s="155" t="s">
        <v>336</v>
      </c>
    </row>
    <row r="268" customFormat="false" ht="23.25" hidden="false" customHeight="true" outlineLevel="0" collapsed="false">
      <c r="B268" s="155" t="s">
        <v>1422</v>
      </c>
      <c r="C268" s="155" t="s">
        <v>1423</v>
      </c>
      <c r="D268" s="155" t="s">
        <v>1424</v>
      </c>
      <c r="E268" s="155" t="s">
        <v>1425</v>
      </c>
    </row>
    <row r="269" customFormat="false" ht="14.25" hidden="false" customHeight="true" outlineLevel="0" collapsed="false">
      <c r="B269" s="195" t="s">
        <v>1426</v>
      </c>
    </row>
    <row r="270" customFormat="false" ht="14.25" hidden="false" customHeight="true" outlineLevel="0" collapsed="false">
      <c r="B270" s="110" t="s">
        <v>736</v>
      </c>
      <c r="C270" s="110" t="s">
        <v>869</v>
      </c>
      <c r="D270" s="110" t="s">
        <v>57</v>
      </c>
      <c r="E270" s="110" t="s">
        <v>58</v>
      </c>
    </row>
    <row r="271" customFormat="false" ht="51.75" hidden="false" customHeight="true" outlineLevel="0" collapsed="false">
      <c r="B271" s="155" t="s">
        <v>1427</v>
      </c>
      <c r="C271" s="155" t="s">
        <v>1428</v>
      </c>
      <c r="D271" s="155" t="s">
        <v>1429</v>
      </c>
      <c r="E271" s="155" t="s">
        <v>742</v>
      </c>
    </row>
    <row r="272" customFormat="false" ht="64.5" hidden="false" customHeight="true" outlineLevel="0" collapsed="false">
      <c r="B272" s="155" t="s">
        <v>1430</v>
      </c>
      <c r="C272" s="155" t="s">
        <v>1431</v>
      </c>
      <c r="D272" s="155" t="s">
        <v>1432</v>
      </c>
      <c r="E272" s="155" t="s">
        <v>1433</v>
      </c>
    </row>
    <row r="273" customFormat="false" ht="51.75" hidden="false" customHeight="true" outlineLevel="0" collapsed="false">
      <c r="B273" s="155" t="s">
        <v>1434</v>
      </c>
      <c r="C273" s="155" t="s">
        <v>1365</v>
      </c>
      <c r="D273" s="155" t="s">
        <v>1435</v>
      </c>
      <c r="E273" s="155" t="s">
        <v>1436</v>
      </c>
    </row>
    <row r="274" customFormat="false" ht="64.5" hidden="false" customHeight="true" outlineLevel="0" collapsed="false">
      <c r="B274" s="155" t="s">
        <v>1437</v>
      </c>
      <c r="C274" s="155" t="s">
        <v>1282</v>
      </c>
      <c r="D274" s="155" t="s">
        <v>1438</v>
      </c>
      <c r="E274" s="155" t="s">
        <v>1439</v>
      </c>
    </row>
    <row r="275" customFormat="false" ht="51.75" hidden="false" customHeight="true" outlineLevel="0" collapsed="false">
      <c r="B275" s="155" t="s">
        <v>1440</v>
      </c>
      <c r="C275" s="155" t="s">
        <v>1441</v>
      </c>
      <c r="D275" s="155" t="s">
        <v>1442</v>
      </c>
      <c r="E275" s="155" t="s">
        <v>1337</v>
      </c>
    </row>
    <row r="276" customFormat="false" ht="51.75" hidden="false" customHeight="true" outlineLevel="0" collapsed="false">
      <c r="B276" s="155" t="s">
        <v>1443</v>
      </c>
      <c r="C276" s="155" t="s">
        <v>1444</v>
      </c>
      <c r="D276" s="155" t="s">
        <v>1445</v>
      </c>
      <c r="E276" s="155" t="s">
        <v>1446</v>
      </c>
    </row>
    <row r="277" customFormat="false" ht="12" hidden="false" customHeight="true" outlineLevel="0" collapsed="false"/>
    <row r="278" customFormat="false" ht="14.25" hidden="false" customHeight="true" outlineLevel="0" collapsed="false">
      <c r="B278" s="195" t="s">
        <v>1447</v>
      </c>
    </row>
    <row r="279" customFormat="false" ht="14.25" hidden="false" customHeight="true" outlineLevel="0" collapsed="false">
      <c r="B279" s="110" t="s">
        <v>736</v>
      </c>
      <c r="C279" s="110" t="s">
        <v>869</v>
      </c>
      <c r="D279" s="110" t="s">
        <v>57</v>
      </c>
      <c r="E279" s="110" t="s">
        <v>58</v>
      </c>
    </row>
    <row r="280" customFormat="false" ht="51.75" hidden="false" customHeight="true" outlineLevel="0" collapsed="false">
      <c r="B280" s="155" t="s">
        <v>1448</v>
      </c>
      <c r="C280" s="155" t="s">
        <v>1449</v>
      </c>
      <c r="D280" s="155" t="s">
        <v>1450</v>
      </c>
      <c r="E280" s="155" t="s">
        <v>1451</v>
      </c>
    </row>
    <row r="281" customFormat="false" ht="64.5" hidden="false" customHeight="true" outlineLevel="0" collapsed="false">
      <c r="B281" s="155" t="s">
        <v>1452</v>
      </c>
      <c r="C281" s="155" t="s">
        <v>1453</v>
      </c>
      <c r="D281" s="155" t="s">
        <v>1454</v>
      </c>
      <c r="E281" s="155" t="s">
        <v>1455</v>
      </c>
    </row>
    <row r="282" customFormat="false" ht="51.75" hidden="false" customHeight="true" outlineLevel="0" collapsed="false">
      <c r="B282" s="155" t="s">
        <v>1456</v>
      </c>
      <c r="C282" s="155" t="s">
        <v>1457</v>
      </c>
      <c r="D282" s="155" t="s">
        <v>1458</v>
      </c>
      <c r="E282" s="155" t="s">
        <v>1459</v>
      </c>
    </row>
    <row r="283" customFormat="false" ht="51.75" hidden="false" customHeight="true" outlineLevel="0" collapsed="false">
      <c r="B283" s="155" t="s">
        <v>1460</v>
      </c>
      <c r="C283" s="155" t="s">
        <v>1461</v>
      </c>
      <c r="D283" s="155" t="s">
        <v>1462</v>
      </c>
      <c r="E283" s="155" t="s">
        <v>1463</v>
      </c>
    </row>
    <row r="284" customFormat="false" ht="25.5" hidden="false" customHeight="true" outlineLevel="0" collapsed="false">
      <c r="B284" s="155" t="s">
        <v>1464</v>
      </c>
      <c r="C284" s="155" t="s">
        <v>1465</v>
      </c>
      <c r="D284" s="155" t="s">
        <v>1466</v>
      </c>
      <c r="E284" s="155" t="s">
        <v>1467</v>
      </c>
    </row>
    <row r="285" customFormat="false" ht="64.5" hidden="false" customHeight="true" outlineLevel="0" collapsed="false">
      <c r="B285" s="155" t="s">
        <v>1468</v>
      </c>
      <c r="C285" s="155" t="s">
        <v>1469</v>
      </c>
      <c r="D285" s="155" t="s">
        <v>1470</v>
      </c>
      <c r="E285" s="155" t="s">
        <v>1471</v>
      </c>
    </row>
    <row r="286" customFormat="false" ht="51.75" hidden="false" customHeight="true" outlineLevel="0" collapsed="false">
      <c r="B286" s="155" t="s">
        <v>1472</v>
      </c>
      <c r="C286" s="155" t="s">
        <v>1473</v>
      </c>
      <c r="D286" s="155" t="s">
        <v>1474</v>
      </c>
      <c r="E286" s="155" t="s">
        <v>1475</v>
      </c>
    </row>
  </sheetData>
  <mergeCells count="18">
    <mergeCell ref="B2:E2"/>
    <mergeCell ref="B3:E3"/>
    <mergeCell ref="B5:E5"/>
    <mergeCell ref="B14:E14"/>
    <mergeCell ref="B24:E24"/>
    <mergeCell ref="B33:E33"/>
    <mergeCell ref="B41:E41"/>
    <mergeCell ref="B54:E54"/>
    <mergeCell ref="B61:E61"/>
    <mergeCell ref="B68:E68"/>
    <mergeCell ref="B77:E77"/>
    <mergeCell ref="B89:E89"/>
    <mergeCell ref="B98:E98"/>
    <mergeCell ref="B112:E112"/>
    <mergeCell ref="B119:E119"/>
    <mergeCell ref="B139:E139"/>
    <mergeCell ref="B148:E148"/>
    <mergeCell ref="B157:E157"/>
  </mergeCells>
  <printOptions headings="false" gridLines="false" gridLinesSet="true" horizontalCentered="false" verticalCentered="false"/>
  <pageMargins left="0.75" right="0.75" top="1" bottom="1"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10243E"/>
    <pageSetUpPr fitToPage="true"/>
  </sheetPr>
  <dimension ref="A1:T34"/>
  <sheetViews>
    <sheetView showFormulas="false" showGridLines="true" showRowColHeaders="true" showZeros="true" rightToLeft="false" tabSelected="false" showOutlineSymbols="true" defaultGridColor="true" view="normal" topLeftCell="A1" colorId="64" zoomScale="90" zoomScaleNormal="90" zoomScalePageLayoutView="100" workbookViewId="0">
      <selection pane="topLeft" activeCell="N67" activeCellId="0" sqref="N67"/>
    </sheetView>
  </sheetViews>
  <sheetFormatPr defaultColWidth="9.18359375" defaultRowHeight="12.75" customHeight="true" zeroHeight="false" outlineLevelRow="0" outlineLevelCol="0"/>
  <cols>
    <col collapsed="false" customWidth="true" hidden="false" outlineLevel="0" max="1" min="1" style="31" width="24.45"/>
    <col collapsed="false" customWidth="true" hidden="false" outlineLevel="0" max="3" min="2" style="31" width="12.45"/>
    <col collapsed="false" customWidth="true" hidden="false" outlineLevel="0" max="4" min="4" style="31" width="12"/>
    <col collapsed="false" customWidth="true" hidden="false" outlineLevel="0" max="5" min="5" style="31" width="21.45"/>
    <col collapsed="false" customWidth="false" hidden="false" outlineLevel="0" max="8" min="6" style="31" width="9.18"/>
    <col collapsed="false" customWidth="true" hidden="false" outlineLevel="0" max="11" min="9" style="31" width="9.82"/>
    <col collapsed="false" customWidth="true" hidden="false" outlineLevel="0" max="13" min="12" style="196" width="9.82"/>
    <col collapsed="false" customWidth="true" hidden="false" outlineLevel="0" max="14" min="14" style="197" width="9.82"/>
    <col collapsed="false" customWidth="true" hidden="false" outlineLevel="0" max="18" min="15" style="31" width="9.82"/>
    <col collapsed="false" customWidth="true" hidden="false" outlineLevel="0" max="19" min="19" style="31" width="14"/>
    <col collapsed="false" customWidth="true" hidden="false" outlineLevel="0" max="20" min="20" style="31" width="11.18"/>
    <col collapsed="false" customWidth="false" hidden="false" outlineLevel="0" max="16384" min="21" style="31" width="9.18"/>
  </cols>
  <sheetData>
    <row r="1" customFormat="false" ht="13.5" hidden="false" customHeight="true" outlineLevel="0" collapsed="false">
      <c r="A1" s="198"/>
      <c r="B1" s="199" t="n">
        <v>2028</v>
      </c>
      <c r="C1" s="199" t="n">
        <v>2027</v>
      </c>
      <c r="D1" s="199" t="n">
        <v>2026</v>
      </c>
      <c r="E1" s="200"/>
      <c r="F1" s="196"/>
      <c r="G1" s="196"/>
      <c r="H1" s="196" t="s">
        <v>1476</v>
      </c>
      <c r="I1" s="196" t="s">
        <v>1477</v>
      </c>
      <c r="J1" s="196" t="s">
        <v>1478</v>
      </c>
      <c r="K1" s="196" t="s">
        <v>1479</v>
      </c>
      <c r="L1" s="196" t="s">
        <v>1480</v>
      </c>
      <c r="M1" s="196" t="s">
        <v>1481</v>
      </c>
      <c r="N1" s="196" t="s">
        <v>1482</v>
      </c>
      <c r="O1" s="196" t="s">
        <v>1483</v>
      </c>
      <c r="P1" s="196" t="s">
        <v>1484</v>
      </c>
      <c r="Q1" s="196" t="s">
        <v>1485</v>
      </c>
      <c r="R1" s="196" t="s">
        <v>1486</v>
      </c>
      <c r="S1" s="196" t="s">
        <v>1487</v>
      </c>
      <c r="T1" s="196" t="s">
        <v>1488</v>
      </c>
    </row>
    <row r="2" customFormat="false" ht="12.75" hidden="false" customHeight="true" outlineLevel="0" collapsed="false">
      <c r="A2" s="201" t="str">
        <f aca="false">IF('P&amp;L'!E14="y","Funding", "Revenue")</f>
        <v>Revenue</v>
      </c>
      <c r="B2" s="202" t="n">
        <f aca="false">SUM('P&amp;L'!Z19:AK19)</f>
        <v>167140846.428</v>
      </c>
      <c r="C2" s="202" t="n">
        <f aca="false">SUM('P&amp;L'!N19:Y19)</f>
        <v>63473726.2030143</v>
      </c>
      <c r="D2" s="202" t="n">
        <f aca="false">SUM('P&amp;L'!B19:M19)</f>
        <v>9797302.58344048</v>
      </c>
      <c r="E2" s="200"/>
      <c r="F2" s="196"/>
      <c r="G2" s="196" t="s">
        <v>228</v>
      </c>
      <c r="H2" s="196" t="n">
        <f aca="false">SUM('P&amp;L'!B19)</f>
        <v>0</v>
      </c>
      <c r="I2" s="196" t="n">
        <f aca="false">SUM('P&amp;L'!C19)</f>
        <v>0</v>
      </c>
      <c r="J2" s="196" t="n">
        <f aca="false">SUM('P&amp;L'!D19)</f>
        <v>917.14</v>
      </c>
      <c r="K2" s="196" t="n">
        <f aca="false">SUM('P&amp;L'!E19)</f>
        <v>134197.060869048</v>
      </c>
      <c r="L2" s="196" t="n">
        <f aca="false">SUM('P&amp;L'!F19)</f>
        <v>268394.121738095</v>
      </c>
      <c r="M2" s="196" t="n">
        <f aca="false">SUM('P&amp;L'!G19)</f>
        <v>536788.243476191</v>
      </c>
      <c r="N2" s="196" t="n">
        <f aca="false">SUM('P&amp;L'!H19)</f>
        <v>805182.365214286</v>
      </c>
      <c r="O2" s="196" t="n">
        <f aca="false">SUM('P&amp;L'!I19)</f>
        <v>1073576.48695238</v>
      </c>
      <c r="P2" s="196" t="n">
        <f aca="false">SUM('P&amp;L'!J19)</f>
        <v>1341970.60869048</v>
      </c>
      <c r="Q2" s="196" t="n">
        <f aca="false">SUM('P&amp;L'!K19)</f>
        <v>1610364.73042857</v>
      </c>
      <c r="R2" s="196" t="n">
        <f aca="false">SUM('P&amp;L'!L19)</f>
        <v>1878758.85216667</v>
      </c>
      <c r="S2" s="196" t="n">
        <f aca="false">SUM('P&amp;L'!M19)</f>
        <v>2147152.97390476</v>
      </c>
      <c r="T2" s="196" t="n">
        <f aca="false">SUM(H2:S2)</f>
        <v>9797302.58344048</v>
      </c>
    </row>
    <row r="3" customFormat="false" ht="12.75" hidden="false" customHeight="true" outlineLevel="0" collapsed="false">
      <c r="A3" s="201" t="str">
        <f aca="false">IF('P&amp;L'!E14="y","Gross Surplus","Gross Margin")</f>
        <v>Gross Margin</v>
      </c>
      <c r="B3" s="203" t="n">
        <f aca="false">SUM('P&amp;L'!Z25:AK25)</f>
        <v>85771935.9313818</v>
      </c>
      <c r="C3" s="203" t="n">
        <f aca="false">SUM('P&amp;L'!N25:Y25)</f>
        <v>31558308.8132484</v>
      </c>
      <c r="D3" s="203" t="n">
        <f aca="false">SUM('P&amp;L'!B25:M25)</f>
        <v>3708956.92179236</v>
      </c>
      <c r="E3" s="204"/>
      <c r="F3" s="196"/>
      <c r="G3" s="196" t="s">
        <v>1489</v>
      </c>
      <c r="H3" s="196" t="n">
        <f aca="false">SUM('P&amp;L'!B23)</f>
        <v>0</v>
      </c>
      <c r="I3" s="196" t="n">
        <f aca="false">SUM('P&amp;L'!C23)</f>
        <v>0</v>
      </c>
      <c r="J3" s="196" t="n">
        <f aca="false">SUM('P&amp;L'!D23)</f>
        <v>695.983831428571</v>
      </c>
      <c r="K3" s="196" t="n">
        <f aca="false">SUM('P&amp;L'!E23)</f>
        <v>83392.4613399547</v>
      </c>
      <c r="L3" s="196" t="n">
        <f aca="false">SUM('P&amp;L'!F23)</f>
        <v>166784.922679909</v>
      </c>
      <c r="M3" s="196" t="n">
        <f aca="false">SUM('P&amp;L'!G23)</f>
        <v>333569.845359819</v>
      </c>
      <c r="N3" s="196" t="n">
        <f aca="false">SUM('P&amp;L'!H23)</f>
        <v>500354.768039728</v>
      </c>
      <c r="O3" s="196" t="n">
        <f aca="false">SUM('P&amp;L'!I23)</f>
        <v>667139.690719637</v>
      </c>
      <c r="P3" s="196" t="n">
        <f aca="false">SUM('P&amp;L'!J23)</f>
        <v>833924.613399547</v>
      </c>
      <c r="Q3" s="196" t="n">
        <f aca="false">SUM('P&amp;L'!K23)</f>
        <v>1000709.53607946</v>
      </c>
      <c r="R3" s="196" t="n">
        <f aca="false">SUM('P&amp;L'!L23)</f>
        <v>1167494.45875937</v>
      </c>
      <c r="S3" s="196" t="n">
        <f aca="false">SUM('P&amp;L'!M23)</f>
        <v>1334279.38143928</v>
      </c>
      <c r="T3" s="196" t="n">
        <f aca="false">SUM(H3:S3)</f>
        <v>6088345.66164812</v>
      </c>
    </row>
    <row r="4" customFormat="false" ht="12.75" hidden="false" customHeight="true" outlineLevel="0" collapsed="false">
      <c r="A4" s="201" t="s">
        <v>1490</v>
      </c>
      <c r="B4" s="205" t="n">
        <f aca="false">SUM('P&amp;L'!Z41:AK41)</f>
        <v>35027776.063542</v>
      </c>
      <c r="C4" s="205" t="n">
        <f aca="false">SUM('P&amp;L'!N41:Y41)</f>
        <v>20895282.5696614</v>
      </c>
      <c r="D4" s="205" t="n">
        <f aca="false">SUM('P&amp;L'!B41:M41)</f>
        <v>7158057.74494405</v>
      </c>
      <c r="E4" s="204"/>
      <c r="F4" s="196"/>
      <c r="G4" s="196" t="s">
        <v>1491</v>
      </c>
      <c r="H4" s="196" t="n">
        <f aca="false">SUM('P&amp;L'!B41)</f>
        <v>395805.9718</v>
      </c>
      <c r="I4" s="196" t="n">
        <f aca="false">SUM('P&amp;L'!C41)</f>
        <v>412861.9718</v>
      </c>
      <c r="J4" s="196" t="n">
        <f aca="false">SUM('P&amp;L'!D41)</f>
        <v>421481.6858</v>
      </c>
      <c r="K4" s="196" t="n">
        <f aca="false">SUM('P&amp;L'!E41)</f>
        <v>434809.677886905</v>
      </c>
      <c r="L4" s="196" t="n">
        <f aca="false">SUM('P&amp;L'!F41)</f>
        <v>448229.38397381</v>
      </c>
      <c r="M4" s="196" t="n">
        <f aca="false">SUM('P&amp;L'!G41)</f>
        <v>496388.796147619</v>
      </c>
      <c r="N4" s="196" t="n">
        <f aca="false">SUM('P&amp;L'!H41)</f>
        <v>608656.708321429</v>
      </c>
      <c r="O4" s="196" t="n">
        <f aca="false">SUM('P&amp;L'!I41)</f>
        <v>686496.075495238</v>
      </c>
      <c r="P4" s="196" t="n">
        <f aca="false">SUM('P&amp;L'!J41)</f>
        <v>737231.512669048</v>
      </c>
      <c r="Q4" s="196" t="n">
        <f aca="false">SUM('P&amp;L'!K41)</f>
        <v>789756.389842857</v>
      </c>
      <c r="R4" s="196" t="n">
        <f aca="false">SUM('P&amp;L'!L41)</f>
        <v>836907.347016667</v>
      </c>
      <c r="S4" s="196" t="n">
        <f aca="false">SUM('P&amp;L'!M41)</f>
        <v>889432.224190476</v>
      </c>
      <c r="T4" s="196" t="n">
        <f aca="false">SUM(H4:S4)</f>
        <v>7158057.74494405</v>
      </c>
    </row>
    <row r="5" customFormat="false" ht="12.75" hidden="false" customHeight="true" outlineLevel="0" collapsed="false">
      <c r="A5" s="201" t="str">
        <f aca="false">IF('P&amp;L'!E14="y","Net Surplus","Net Profit")</f>
        <v>Net Profit</v>
      </c>
      <c r="B5" s="203" t="n">
        <f aca="false">SUM('P&amp;L'!Z42:AK42)</f>
        <v>50744159.8678398</v>
      </c>
      <c r="C5" s="203" t="n">
        <f aca="false">SUM('P&amp;L'!N46:Y46)</f>
        <v>8408716.91682543</v>
      </c>
      <c r="D5" s="203" t="n">
        <f aca="false">SUM('P&amp;L'!B46:M46)</f>
        <v>-3831207.37527624</v>
      </c>
      <c r="E5" s="204"/>
      <c r="F5" s="196"/>
      <c r="G5" s="196" t="s">
        <v>111</v>
      </c>
      <c r="H5" s="196" t="n">
        <f aca="false">SUM('P&amp;L'!B46)</f>
        <v>-395805.9718</v>
      </c>
      <c r="I5" s="196" t="n">
        <f aca="false">SUM('P&amp;L'!C46)</f>
        <v>-412861.9718</v>
      </c>
      <c r="J5" s="196" t="n">
        <f aca="false">SUM('P&amp;L'!D46)</f>
        <v>-421260.529631429</v>
      </c>
      <c r="K5" s="196" t="n">
        <f aca="false">SUM('P&amp;L'!E46)</f>
        <v>-384005.078357812</v>
      </c>
      <c r="L5" s="196" t="n">
        <f aca="false">SUM('P&amp;L'!F46)</f>
        <v>-346620.184915624</v>
      </c>
      <c r="M5" s="196" t="n">
        <f aca="false">SUM('P&amp;L'!G46)</f>
        <v>-293170.398031247</v>
      </c>
      <c r="N5" s="196" t="n">
        <f aca="false">SUM('P&amp;L'!H46)</f>
        <v>-329502.211146871</v>
      </c>
      <c r="O5" s="196" t="n">
        <f aca="false">SUM('P&amp;L'!I46)</f>
        <v>-323383.693717655</v>
      </c>
      <c r="P5" s="196" t="n">
        <f aca="false">SUM('P&amp;L'!J46)</f>
        <v>-286581.439850612</v>
      </c>
      <c r="Q5" s="196" t="n">
        <f aca="false">SUM('P&amp;L'!K46)</f>
        <v>-252553.470602261</v>
      </c>
      <c r="R5" s="196" t="n">
        <f aca="false">SUM('P&amp;L'!L46)</f>
        <v>-209831.414324076</v>
      </c>
      <c r="S5" s="196" t="n">
        <f aca="false">SUM('P&amp;L'!M46)</f>
        <v>-175631.011098656</v>
      </c>
      <c r="T5" s="196" t="n">
        <f aca="false">SUM(H5:S5)</f>
        <v>-3831207.37527624</v>
      </c>
    </row>
    <row r="6" customFormat="false" ht="12.75" hidden="false" customHeight="true" outlineLevel="0" collapsed="false">
      <c r="A6" s="200"/>
      <c r="B6" s="200"/>
      <c r="C6" s="200"/>
      <c r="D6" s="200"/>
      <c r="E6" s="200"/>
      <c r="F6" s="196"/>
      <c r="G6" s="196"/>
      <c r="H6" s="196"/>
      <c r="I6" s="196"/>
      <c r="J6" s="196"/>
      <c r="K6" s="196"/>
      <c r="N6" s="196"/>
      <c r="O6" s="196"/>
      <c r="P6" s="196"/>
      <c r="Q6" s="196"/>
      <c r="R6" s="196"/>
      <c r="S6" s="196"/>
      <c r="T6" s="196"/>
    </row>
    <row r="7" customFormat="false" ht="12.75" hidden="false" customHeight="true" outlineLevel="0" collapsed="false">
      <c r="A7" s="206" t="s">
        <v>1492</v>
      </c>
      <c r="B7" s="200"/>
      <c r="C7" s="200"/>
      <c r="D7" s="200"/>
      <c r="E7" s="200"/>
      <c r="F7" s="196"/>
      <c r="G7" s="196"/>
      <c r="H7" s="196"/>
      <c r="I7" s="196"/>
      <c r="J7" s="196"/>
      <c r="K7" s="196"/>
      <c r="N7" s="196"/>
      <c r="O7" s="196"/>
      <c r="P7" s="196"/>
      <c r="Q7" s="196"/>
      <c r="R7" s="196"/>
      <c r="S7" s="196"/>
      <c r="T7" s="196"/>
    </row>
    <row r="8" customFormat="false" ht="12.75" hidden="false" customHeight="true" outlineLevel="0" collapsed="false">
      <c r="A8" s="200" t="s">
        <v>1493</v>
      </c>
      <c r="B8" s="203" t="n">
        <v>0</v>
      </c>
      <c r="C8" s="203" t="n">
        <v>0</v>
      </c>
      <c r="D8" s="203" t="n">
        <v>0</v>
      </c>
      <c r="E8" s="200"/>
      <c r="F8" s="196"/>
      <c r="G8" s="196"/>
      <c r="H8" s="196"/>
      <c r="I8" s="196"/>
      <c r="J8" s="196"/>
      <c r="K8" s="196"/>
      <c r="N8" s="196"/>
      <c r="O8" s="196"/>
      <c r="P8" s="196"/>
      <c r="Q8" s="196"/>
      <c r="R8" s="196"/>
      <c r="S8" s="196"/>
      <c r="T8" s="196"/>
    </row>
    <row r="9" customFormat="false" ht="12.75" hidden="false" customHeight="true" outlineLevel="0" collapsed="false">
      <c r="A9" s="200" t="s">
        <v>1494</v>
      </c>
      <c r="B9" s="203" t="n">
        <v>0</v>
      </c>
      <c r="C9" s="203" t="n">
        <v>0</v>
      </c>
      <c r="D9" s="203" t="n">
        <v>0</v>
      </c>
      <c r="E9" s="200"/>
      <c r="F9" s="196"/>
      <c r="G9" s="196"/>
      <c r="H9" s="196"/>
      <c r="I9" s="196"/>
      <c r="J9" s="196"/>
      <c r="K9" s="196"/>
      <c r="N9" s="196"/>
      <c r="O9" s="196"/>
      <c r="P9" s="196"/>
      <c r="Q9" s="196"/>
      <c r="R9" s="196"/>
      <c r="S9" s="196"/>
      <c r="T9" s="196"/>
    </row>
    <row r="10" customFormat="false" ht="12.75" hidden="false" customHeight="true" outlineLevel="0" collapsed="false">
      <c r="A10" s="200" t="s">
        <v>1495</v>
      </c>
      <c r="B10" s="203" t="n">
        <v>0</v>
      </c>
      <c r="C10" s="203" t="n">
        <v>0</v>
      </c>
      <c r="D10" s="203" t="n">
        <v>0</v>
      </c>
      <c r="E10" s="200"/>
      <c r="F10" s="196"/>
      <c r="G10" s="196"/>
      <c r="H10" s="196"/>
      <c r="I10" s="196"/>
      <c r="J10" s="196"/>
      <c r="K10" s="196"/>
      <c r="N10" s="196"/>
      <c r="O10" s="196"/>
      <c r="P10" s="196"/>
      <c r="Q10" s="196"/>
      <c r="R10" s="196"/>
      <c r="S10" s="196"/>
      <c r="T10" s="196"/>
    </row>
    <row r="11" customFormat="false" ht="12.75" hidden="false" customHeight="true" outlineLevel="0" collapsed="false">
      <c r="A11" s="200" t="s">
        <v>1496</v>
      </c>
      <c r="B11" s="203" t="n">
        <v>0</v>
      </c>
      <c r="C11" s="203" t="n">
        <v>0</v>
      </c>
      <c r="D11" s="203" t="n">
        <v>0</v>
      </c>
      <c r="E11" s="200"/>
      <c r="F11" s="196"/>
      <c r="G11" s="196"/>
      <c r="H11" s="196"/>
      <c r="I11" s="196"/>
      <c r="J11" s="196"/>
      <c r="K11" s="196"/>
      <c r="N11" s="196"/>
      <c r="O11" s="196"/>
      <c r="P11" s="196"/>
      <c r="Q11" s="196"/>
      <c r="R11" s="196"/>
      <c r="S11" s="196"/>
      <c r="T11" s="196"/>
    </row>
    <row r="12" customFormat="false" ht="12.75" hidden="false" customHeight="true" outlineLevel="0" collapsed="false">
      <c r="A12" s="200"/>
      <c r="B12" s="200"/>
      <c r="C12" s="200"/>
      <c r="D12" s="200"/>
      <c r="E12" s="200"/>
      <c r="F12" s="196"/>
      <c r="G12" s="196"/>
      <c r="H12" s="196"/>
      <c r="I12" s="196"/>
      <c r="J12" s="196"/>
      <c r="K12" s="196"/>
      <c r="N12" s="196"/>
      <c r="O12" s="196"/>
      <c r="P12" s="196"/>
      <c r="Q12" s="196"/>
      <c r="R12" s="196"/>
      <c r="S12" s="196"/>
      <c r="T12" s="196"/>
    </row>
    <row r="13" customFormat="false" ht="12.75" hidden="false" customHeight="true" outlineLevel="0" collapsed="false">
      <c r="A13" s="206" t="s">
        <v>1497</v>
      </c>
      <c r="B13" s="200"/>
      <c r="C13" s="200"/>
      <c r="D13" s="200"/>
      <c r="E13" s="200"/>
      <c r="F13" s="196"/>
      <c r="G13" s="196"/>
      <c r="H13" s="196"/>
      <c r="I13" s="196"/>
      <c r="J13" s="196"/>
      <c r="K13" s="196"/>
      <c r="N13" s="196"/>
      <c r="O13" s="196"/>
      <c r="P13" s="196"/>
      <c r="Q13" s="196"/>
      <c r="R13" s="196"/>
      <c r="S13" s="196"/>
      <c r="T13" s="196"/>
    </row>
    <row r="14" customFormat="false" ht="12.75" hidden="false" customHeight="true" outlineLevel="0" collapsed="false">
      <c r="A14" s="200" t="str">
        <f aca="false">A13</f>
        <v>Long-term Assets</v>
      </c>
      <c r="B14" s="203" t="n">
        <v>0</v>
      </c>
      <c r="C14" s="203" t="n">
        <v>0</v>
      </c>
      <c r="D14" s="203" t="n">
        <v>0</v>
      </c>
      <c r="E14" s="200"/>
      <c r="F14" s="196"/>
      <c r="G14" s="196"/>
      <c r="H14" s="196"/>
      <c r="I14" s="196"/>
      <c r="J14" s="196"/>
      <c r="K14" s="196"/>
      <c r="N14" s="196"/>
      <c r="O14" s="196"/>
      <c r="P14" s="196"/>
      <c r="Q14" s="196"/>
      <c r="R14" s="196"/>
      <c r="S14" s="196"/>
      <c r="T14" s="196"/>
    </row>
    <row r="15" customFormat="false" ht="12.75" hidden="false" customHeight="true" outlineLevel="0" collapsed="false">
      <c r="A15" s="200" t="s">
        <v>1498</v>
      </c>
      <c r="B15" s="203" t="n">
        <v>0</v>
      </c>
      <c r="C15" s="203" t="n">
        <v>0</v>
      </c>
      <c r="D15" s="203" t="n">
        <v>2</v>
      </c>
      <c r="E15" s="200" t="s">
        <v>1499</v>
      </c>
      <c r="F15" s="196"/>
      <c r="G15" s="196"/>
      <c r="H15" s="196"/>
      <c r="I15" s="196"/>
      <c r="J15" s="196"/>
      <c r="K15" s="196"/>
      <c r="N15" s="196"/>
      <c r="O15" s="196"/>
      <c r="P15" s="196"/>
      <c r="Q15" s="196"/>
      <c r="R15" s="196"/>
      <c r="S15" s="196"/>
      <c r="T15" s="196"/>
    </row>
    <row r="17" customFormat="false" ht="12.75" hidden="false" customHeight="true" outlineLevel="0" collapsed="false">
      <c r="A17" s="206" t="s">
        <v>1500</v>
      </c>
      <c r="B17" s="200"/>
      <c r="C17" s="200"/>
      <c r="D17" s="200"/>
      <c r="E17" s="200"/>
      <c r="F17" s="196"/>
    </row>
    <row r="18" customFormat="false" ht="12.75" hidden="false" customHeight="true" outlineLevel="0" collapsed="false">
      <c r="A18" s="200" t="s">
        <v>1500</v>
      </c>
      <c r="B18" s="203" t="n">
        <v>0</v>
      </c>
      <c r="C18" s="203" t="n">
        <v>0</v>
      </c>
      <c r="D18" s="203" t="n">
        <v>1</v>
      </c>
      <c r="E18" s="200"/>
      <c r="F18" s="196"/>
    </row>
    <row r="19" customFormat="false" ht="12.75" hidden="false" customHeight="true" outlineLevel="0" collapsed="false">
      <c r="A19" s="200"/>
      <c r="B19" s="200" t="n">
        <f aca="false">SUM(B8:B14)-B15+B18</f>
        <v>0</v>
      </c>
      <c r="C19" s="200" t="n">
        <f aca="false">SUM(C8:C14)-C15+C18</f>
        <v>0</v>
      </c>
      <c r="D19" s="200" t="n">
        <f aca="false">SUM(D8:D14)-D15+D18</f>
        <v>-1</v>
      </c>
      <c r="E19" s="200"/>
      <c r="F19" s="196"/>
    </row>
    <row r="20" customFormat="false" ht="12.75" hidden="false" customHeight="true" outlineLevel="0" collapsed="false">
      <c r="A20" s="200"/>
      <c r="B20" s="200"/>
      <c r="C20" s="200"/>
      <c r="D20" s="200"/>
      <c r="E20" s="200"/>
      <c r="F20" s="196"/>
    </row>
    <row r="21" customFormat="false" ht="12.75" hidden="false" customHeight="true" outlineLevel="0" collapsed="false">
      <c r="A21" s="206" t="s">
        <v>1501</v>
      </c>
      <c r="B21" s="200"/>
      <c r="C21" s="200"/>
      <c r="D21" s="200"/>
      <c r="E21" s="200"/>
      <c r="F21" s="196"/>
    </row>
    <row r="22" customFormat="false" ht="12.75" hidden="false" customHeight="true" outlineLevel="0" collapsed="false">
      <c r="A22" s="200" t="s">
        <v>1502</v>
      </c>
      <c r="B22" s="203" t="n">
        <v>0</v>
      </c>
      <c r="C22" s="203" t="n">
        <v>0</v>
      </c>
      <c r="D22" s="203" t="n">
        <v>0</v>
      </c>
      <c r="E22" s="200"/>
      <c r="F22" s="196"/>
    </row>
    <row r="23" customFormat="false" ht="12.75" hidden="false" customHeight="true" outlineLevel="0" collapsed="false">
      <c r="A23" s="200" t="s">
        <v>1503</v>
      </c>
      <c r="B23" s="203" t="n">
        <v>0</v>
      </c>
      <c r="C23" s="203" t="n">
        <v>0</v>
      </c>
      <c r="D23" s="205" t="n">
        <v>0</v>
      </c>
      <c r="E23" s="200" t="s">
        <v>1504</v>
      </c>
      <c r="F23" s="207" t="n">
        <v>0.06</v>
      </c>
    </row>
    <row r="24" customFormat="false" ht="12.75" hidden="false" customHeight="true" outlineLevel="0" collapsed="false">
      <c r="A24" s="200" t="s">
        <v>1505</v>
      </c>
      <c r="B24" s="203" t="n">
        <v>0</v>
      </c>
      <c r="C24" s="203" t="n">
        <v>0</v>
      </c>
      <c r="D24" s="203" t="n">
        <v>0</v>
      </c>
      <c r="E24" s="200"/>
      <c r="F24" s="196"/>
    </row>
    <row r="25" customFormat="false" ht="12.75" hidden="false" customHeight="true" outlineLevel="0" collapsed="false">
      <c r="A25" s="200"/>
      <c r="B25" s="200"/>
      <c r="C25" s="200"/>
      <c r="D25" s="200"/>
      <c r="E25" s="200"/>
      <c r="F25" s="196"/>
    </row>
    <row r="26" customFormat="false" ht="12.75" hidden="false" customHeight="true" outlineLevel="0" collapsed="false">
      <c r="A26" s="200" t="s">
        <v>1506</v>
      </c>
      <c r="B26" s="203" t="n">
        <v>0</v>
      </c>
      <c r="C26" s="203" t="n">
        <v>0</v>
      </c>
      <c r="D26" s="203" t="n">
        <v>0</v>
      </c>
      <c r="E26" s="200" t="s">
        <v>1504</v>
      </c>
      <c r="F26" s="207" t="n">
        <v>0.05</v>
      </c>
    </row>
    <row r="27" customFormat="false" ht="12.75" hidden="false" customHeight="true" outlineLevel="0" collapsed="false">
      <c r="A27" s="200"/>
      <c r="B27" s="200"/>
      <c r="C27" s="200"/>
      <c r="D27" s="200"/>
      <c r="E27" s="200" t="s">
        <v>1507</v>
      </c>
      <c r="F27" s="207" t="n">
        <v>5</v>
      </c>
    </row>
    <row r="28" customFormat="false" ht="12.75" hidden="false" customHeight="true" outlineLevel="0" collapsed="false">
      <c r="A28" s="200" t="s">
        <v>1508</v>
      </c>
      <c r="B28" s="203" t="n">
        <v>0</v>
      </c>
      <c r="C28" s="203" t="n">
        <v>0</v>
      </c>
      <c r="D28" s="203"/>
      <c r="E28" s="200"/>
      <c r="F28" s="196"/>
    </row>
    <row r="29" customFormat="false" ht="12.75" hidden="false" customHeight="true" outlineLevel="0" collapsed="false">
      <c r="A29" s="200" t="s">
        <v>1509</v>
      </c>
      <c r="B29" s="203" t="n">
        <f aca="false">(B8+B11+B14-B15+B9+B10+B18)-B22-B23-B24-B26-B28-B30</f>
        <v>-50744159.8678398</v>
      </c>
      <c r="C29" s="203" t="n">
        <f aca="false">(C8+C11+C14-C15+C9+C10+C18)-C22-C23-C24-C26-C28-C30</f>
        <v>-8408716.91682543</v>
      </c>
      <c r="D29" s="203" t="n">
        <f aca="false">(D8+D11+D14-D15+D9+D10+D18)-D22-D23-D24-D26-D28-D30</f>
        <v>3831206.37527624</v>
      </c>
      <c r="E29" s="200"/>
      <c r="F29" s="196"/>
    </row>
    <row r="30" customFormat="false" ht="12.75" hidden="false" customHeight="true" outlineLevel="0" collapsed="false">
      <c r="A30" s="200" t="s">
        <v>1510</v>
      </c>
      <c r="B30" s="203" t="n">
        <f aca="false">B5</f>
        <v>50744159.8678398</v>
      </c>
      <c r="C30" s="203" t="n">
        <f aca="false">C5</f>
        <v>8408716.91682543</v>
      </c>
      <c r="D30" s="203" t="n">
        <f aca="false">D5</f>
        <v>-3831207.37527624</v>
      </c>
      <c r="E30" s="200"/>
      <c r="F30" s="196"/>
    </row>
    <row r="31" customFormat="false" ht="12.75" hidden="false" customHeight="true" outlineLevel="0" collapsed="false">
      <c r="A31" s="200"/>
      <c r="B31" s="200" t="n">
        <f aca="false">SUM(B22:B30)</f>
        <v>0</v>
      </c>
      <c r="C31" s="200" t="n">
        <f aca="false">SUM(C22:C30)</f>
        <v>0</v>
      </c>
      <c r="D31" s="200" t="n">
        <f aca="false">SUM(D22:D30)</f>
        <v>-1</v>
      </c>
      <c r="E31" s="200"/>
      <c r="F31" s="196"/>
    </row>
    <row r="34" customFormat="false" ht="12.75" hidden="false" customHeight="true" outlineLevel="0" collapsed="false">
      <c r="A34" s="200" t="s">
        <v>201</v>
      </c>
      <c r="B34" s="200" t="n">
        <f aca="false">B19-B31</f>
        <v>0</v>
      </c>
      <c r="C34" s="200" t="n">
        <f aca="false">C19-C31</f>
        <v>0</v>
      </c>
      <c r="D34" s="200" t="n">
        <f aca="false">D19-D31</f>
        <v>0</v>
      </c>
    </row>
  </sheetData>
  <conditionalFormatting sqref="B34:D34">
    <cfRule type="cellIs" priority="2" operator="notBetween" aboveAverage="0" equalAverage="0" bottom="0" percent="0" rank="0" text="" dxfId="0">
      <formula>-1</formula>
      <formula>1</formula>
    </cfRule>
    <cfRule type="cellIs" priority="3" operator="between" aboveAverage="0" equalAverage="0" bottom="0" percent="0" rank="0" text="" dxfId="1">
      <formula>-1</formula>
      <formula>1</formula>
    </cfRule>
  </conditionalFormatting>
  <printOptions headings="false" gridLines="false" gridLinesSet="true" horizontalCentered="false" verticalCentered="false"/>
  <pageMargins left="0.75" right="0.75" top="1" bottom="1" header="0.511811023622047" footer="0.511811023622047"/>
  <pageSetup paperSize="1" scale="100" fitToWidth="1" fitToHeight="0" pageOrder="downThenOver" orientation="landscape" blackAndWhite="false" draft="false" cellComments="none" horizontalDpi="300" verticalDpi="300" copies="1"/>
  <headerFooter differentFirst="false" differentOddEven="false">
    <oddHeader/>
    <oddFooter/>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9DFF43"/>
    <pageSetUpPr fitToPage="true"/>
  </sheetPr>
  <dimension ref="A1:H36"/>
  <sheetViews>
    <sheetView showFormulas="false" showGridLines="true" showRowColHeaders="true" showZeros="true" rightToLeft="false" tabSelected="false" showOutlineSymbols="true" defaultGridColor="true" view="normal" topLeftCell="A1" colorId="64" zoomScale="85" zoomScaleNormal="85" zoomScalePageLayoutView="100" workbookViewId="0">
      <selection pane="topLeft" activeCell="F64" activeCellId="0" sqref="F64"/>
    </sheetView>
  </sheetViews>
  <sheetFormatPr defaultColWidth="9.18359375" defaultRowHeight="12.75" customHeight="true" zeroHeight="false" outlineLevelRow="0" outlineLevelCol="0"/>
  <cols>
    <col collapsed="false" customWidth="true" hidden="false" outlineLevel="0" max="1" min="1" style="22" width="44"/>
    <col collapsed="false" customWidth="true" hidden="false" outlineLevel="0" max="2" min="2" style="31" width="16.27"/>
    <col collapsed="false" customWidth="true" hidden="false" outlineLevel="0" max="3" min="3" style="31" width="5.27"/>
    <col collapsed="false" customWidth="true" hidden="false" outlineLevel="0" max="4" min="4" style="31" width="19.18"/>
    <col collapsed="false" customWidth="true" hidden="false" outlineLevel="0" max="5" min="5" style="31" width="18.18"/>
    <col collapsed="false" customWidth="true" hidden="false" outlineLevel="0" max="6" min="6" style="31" width="11.54"/>
    <col collapsed="false" customWidth="true" hidden="false" outlineLevel="0" max="7" min="7" style="31" width="13.45"/>
    <col collapsed="false" customWidth="true" hidden="false" outlineLevel="0" max="8" min="8" style="31" width="41.73"/>
    <col collapsed="false" customWidth="true" hidden="false" outlineLevel="0" max="9" min="9" style="31" width="17.82"/>
    <col collapsed="false" customWidth="true" hidden="false" outlineLevel="0" max="10" min="10" style="31" width="5.27"/>
    <col collapsed="false" customWidth="true" hidden="false" outlineLevel="0" max="11" min="11" style="31" width="5.45"/>
    <col collapsed="false" customWidth="true" hidden="false" outlineLevel="0" max="12" min="12" style="31" width="5.27"/>
    <col collapsed="false" customWidth="true" hidden="false" outlineLevel="0" max="14" min="13" style="31" width="5.45"/>
    <col collapsed="false" customWidth="true" hidden="false" outlineLevel="0" max="15" min="15" style="31" width="5.82"/>
    <col collapsed="false" customWidth="true" hidden="false" outlineLevel="0" max="16" min="16" style="31" width="5.54"/>
    <col collapsed="false" customWidth="true" hidden="false" outlineLevel="0" max="17" min="17" style="31" width="5.82"/>
    <col collapsed="false" customWidth="true" hidden="false" outlineLevel="0" max="18" min="18" style="31" width="1.18"/>
    <col collapsed="false" customWidth="true" hidden="false" outlineLevel="0" max="23" min="19" style="31" width="5"/>
    <col collapsed="false" customWidth="false" hidden="false" outlineLevel="0" max="16384" min="24" style="31" width="9.18"/>
  </cols>
  <sheetData>
    <row r="1" customFormat="false" ht="18" hidden="false" customHeight="true" outlineLevel="0" collapsed="false">
      <c r="A1" s="208" t="s">
        <v>1511</v>
      </c>
      <c r="B1" s="196"/>
      <c r="C1" s="196"/>
      <c r="D1" s="196"/>
      <c r="E1" s="208" t="s">
        <v>1512</v>
      </c>
      <c r="F1" s="196"/>
      <c r="G1" s="196"/>
    </row>
    <row r="2" customFormat="false" ht="12.75" hidden="false" customHeight="true" outlineLevel="0" collapsed="false">
      <c r="A2" s="204"/>
      <c r="B2" s="196"/>
      <c r="C2" s="196"/>
      <c r="D2" s="196"/>
      <c r="E2" s="196"/>
      <c r="F2" s="196"/>
      <c r="G2" s="196"/>
    </row>
    <row r="3" customFormat="false" ht="13.5" hidden="false" customHeight="true" outlineLevel="0" collapsed="false">
      <c r="A3" s="209" t="s">
        <v>1513</v>
      </c>
      <c r="B3" s="210"/>
      <c r="C3" s="210" t="s">
        <v>1514</v>
      </c>
      <c r="D3" s="196" t="s">
        <v>1515</v>
      </c>
      <c r="E3" s="209"/>
      <c r="F3" s="196"/>
      <c r="G3" s="196"/>
    </row>
    <row r="4" customFormat="false" ht="12.75" hidden="false" customHeight="true" outlineLevel="0" collapsed="false">
      <c r="A4" s="211" t="s">
        <v>1516</v>
      </c>
      <c r="B4" s="212" t="n">
        <v>10000000</v>
      </c>
      <c r="C4" s="213" t="n">
        <v>1</v>
      </c>
      <c r="D4" s="214"/>
      <c r="E4" s="215" t="s">
        <v>1517</v>
      </c>
      <c r="F4" s="216"/>
      <c r="G4" s="196"/>
    </row>
    <row r="5" customFormat="false" ht="12.75" hidden="false" customHeight="true" outlineLevel="0" collapsed="false">
      <c r="A5" s="211"/>
      <c r="B5" s="212" t="n">
        <v>0</v>
      </c>
      <c r="C5" s="213"/>
      <c r="D5" s="217"/>
      <c r="E5" s="204" t="s">
        <v>1518</v>
      </c>
      <c r="F5" s="218"/>
      <c r="G5" s="196"/>
    </row>
    <row r="6" customFormat="false" ht="12.75" hidden="false" customHeight="true" outlineLevel="0" collapsed="false">
      <c r="A6" s="211" t="s">
        <v>1519</v>
      </c>
      <c r="B6" s="212" t="n">
        <v>23461850.4</v>
      </c>
      <c r="C6" s="219" t="n">
        <f aca="false">'Cash Flow'!B68</f>
        <v>10</v>
      </c>
      <c r="D6" s="220" t="n">
        <f aca="false">'Cash Flow'!B67</f>
        <v>0.06</v>
      </c>
      <c r="E6" s="204" t="s">
        <v>1520</v>
      </c>
      <c r="F6" s="218"/>
      <c r="G6" s="196"/>
    </row>
    <row r="7" customFormat="false" ht="13.5" hidden="false" customHeight="true" outlineLevel="0" collapsed="false">
      <c r="A7" s="211"/>
      <c r="B7" s="212"/>
      <c r="C7" s="213"/>
      <c r="D7" s="221"/>
      <c r="E7" s="222" t="s">
        <v>1521</v>
      </c>
      <c r="F7" s="223" t="n">
        <f aca="false">SUM(F4:F6)</f>
        <v>0</v>
      </c>
      <c r="G7" s="196"/>
    </row>
    <row r="8" customFormat="false" ht="12.75" hidden="false" customHeight="true" outlineLevel="0" collapsed="false">
      <c r="A8" s="224"/>
      <c r="B8" s="225" t="s">
        <v>1522</v>
      </c>
      <c r="C8" s="196"/>
      <c r="D8" s="196"/>
      <c r="E8" s="204"/>
      <c r="F8" s="196"/>
      <c r="G8" s="196"/>
    </row>
    <row r="9" customFormat="false" ht="13.5" hidden="false" customHeight="true" outlineLevel="0" collapsed="false">
      <c r="A9" s="211"/>
      <c r="B9" s="226"/>
      <c r="C9" s="196"/>
      <c r="D9" s="196"/>
      <c r="E9" s="227" t="s">
        <v>1523</v>
      </c>
      <c r="F9" s="227"/>
      <c r="G9" s="196"/>
    </row>
    <row r="10" customFormat="false" ht="13.5" hidden="false" customHeight="true" outlineLevel="0" collapsed="false">
      <c r="A10" s="228" t="s">
        <v>1521</v>
      </c>
      <c r="B10" s="223" t="n">
        <f aca="false">SUM(B4:B7)</f>
        <v>33461850.4</v>
      </c>
      <c r="C10" s="196"/>
      <c r="D10" s="196"/>
      <c r="E10" s="229"/>
      <c r="F10" s="216"/>
      <c r="G10" s="196"/>
    </row>
    <row r="11" customFormat="false" ht="12.75" hidden="false" customHeight="true" outlineLevel="0" collapsed="false">
      <c r="A11" s="204"/>
      <c r="B11" s="196"/>
      <c r="C11" s="196"/>
      <c r="D11" s="196"/>
      <c r="E11" s="230"/>
      <c r="F11" s="218"/>
      <c r="G11" s="196"/>
      <c r="H11" s="231"/>
    </row>
    <row r="12" customFormat="false" ht="13.5" hidden="false" customHeight="true" outlineLevel="0" collapsed="false">
      <c r="A12" s="232" t="s">
        <v>1524</v>
      </c>
      <c r="B12" s="232"/>
      <c r="C12" s="196"/>
      <c r="D12" s="196"/>
      <c r="E12" s="230"/>
      <c r="F12" s="218"/>
      <c r="G12" s="196"/>
    </row>
    <row r="13" customFormat="false" ht="12.75" hidden="false" customHeight="true" outlineLevel="0" collapsed="false">
      <c r="A13" s="233" t="s">
        <v>1525</v>
      </c>
      <c r="B13" s="234"/>
      <c r="C13" s="196"/>
      <c r="D13" s="196"/>
      <c r="E13" s="230"/>
      <c r="F13" s="218"/>
      <c r="G13" s="196"/>
    </row>
    <row r="14" customFormat="false" ht="12.75" hidden="false" customHeight="true" outlineLevel="0" collapsed="false">
      <c r="A14" s="230"/>
      <c r="B14" s="218"/>
      <c r="C14" s="196"/>
      <c r="D14" s="196"/>
      <c r="E14" s="230"/>
      <c r="F14" s="218"/>
      <c r="G14" s="196"/>
    </row>
    <row r="15" customFormat="false" ht="12.75" hidden="false" customHeight="true" outlineLevel="0" collapsed="false">
      <c r="A15" s="230"/>
      <c r="B15" s="218"/>
      <c r="C15" s="196"/>
      <c r="D15" s="196"/>
      <c r="E15" s="230"/>
      <c r="F15" s="218"/>
      <c r="G15" s="196"/>
    </row>
    <row r="16" customFormat="false" ht="12.75" hidden="false" customHeight="true" outlineLevel="0" collapsed="false">
      <c r="A16" s="230"/>
      <c r="B16" s="218"/>
      <c r="C16" s="196"/>
      <c r="D16" s="196"/>
      <c r="E16" s="230"/>
      <c r="F16" s="218"/>
      <c r="G16" s="196"/>
    </row>
    <row r="17" customFormat="false" ht="12.75" hidden="false" customHeight="true" outlineLevel="0" collapsed="false">
      <c r="A17" s="230"/>
      <c r="B17" s="218"/>
      <c r="C17" s="196"/>
      <c r="D17" s="196"/>
      <c r="E17" s="230"/>
      <c r="F17" s="218"/>
      <c r="G17" s="196"/>
    </row>
    <row r="18" customFormat="false" ht="12.75" hidden="false" customHeight="true" outlineLevel="0" collapsed="false">
      <c r="A18" s="230"/>
      <c r="B18" s="218"/>
      <c r="C18" s="210"/>
      <c r="D18" s="210"/>
      <c r="E18" s="230"/>
      <c r="F18" s="218"/>
      <c r="G18" s="196"/>
    </row>
    <row r="19" customFormat="false" ht="12.75" hidden="false" customHeight="true" outlineLevel="0" collapsed="false">
      <c r="A19" s="230"/>
      <c r="B19" s="218"/>
      <c r="C19" s="196"/>
      <c r="D19" s="196"/>
      <c r="E19" s="230"/>
      <c r="F19" s="218"/>
      <c r="G19" s="196"/>
    </row>
    <row r="20" customFormat="false" ht="12.75" hidden="false" customHeight="true" outlineLevel="0" collapsed="false">
      <c r="A20" s="230"/>
      <c r="B20" s="218"/>
      <c r="C20" s="196"/>
      <c r="D20" s="196"/>
      <c r="E20" s="230"/>
      <c r="F20" s="218"/>
      <c r="G20" s="196"/>
    </row>
    <row r="21" customFormat="false" ht="13.5" hidden="false" customHeight="true" outlineLevel="0" collapsed="false">
      <c r="A21" s="230"/>
      <c r="B21" s="218"/>
      <c r="C21" s="196"/>
      <c r="D21" s="196"/>
      <c r="E21" s="228" t="s">
        <v>1526</v>
      </c>
      <c r="F21" s="223" t="n">
        <f aca="false">SUM(F10:F20)</f>
        <v>0</v>
      </c>
      <c r="G21" s="196"/>
    </row>
    <row r="22" customFormat="false" ht="12.75" hidden="false" customHeight="true" outlineLevel="0" collapsed="false">
      <c r="A22" s="230"/>
      <c r="B22" s="218"/>
      <c r="C22" s="196"/>
      <c r="D22" s="196"/>
      <c r="E22" s="196"/>
      <c r="F22" s="196"/>
      <c r="G22" s="196"/>
    </row>
    <row r="23" customFormat="false" ht="12.75" hidden="false" customHeight="true" outlineLevel="0" collapsed="false">
      <c r="A23" s="230"/>
      <c r="B23" s="218"/>
      <c r="C23" s="196"/>
      <c r="D23" s="196"/>
      <c r="E23" s="196"/>
      <c r="F23" s="196"/>
      <c r="G23" s="196"/>
    </row>
    <row r="24" customFormat="false" ht="13.5" hidden="false" customHeight="true" outlineLevel="0" collapsed="false">
      <c r="A24" s="228" t="s">
        <v>1527</v>
      </c>
      <c r="B24" s="223" t="n">
        <f aca="false">SUM(B14:B23)</f>
        <v>0</v>
      </c>
      <c r="C24" s="196"/>
      <c r="D24" s="196"/>
      <c r="E24" s="235"/>
      <c r="F24" s="196"/>
      <c r="G24" s="235"/>
    </row>
    <row r="25" customFormat="false" ht="13.5" hidden="false" customHeight="true" outlineLevel="0" collapsed="false">
      <c r="A25" s="204"/>
      <c r="B25" s="196"/>
      <c r="C25" s="196"/>
      <c r="D25" s="196"/>
      <c r="E25" s="235"/>
      <c r="F25" s="196"/>
      <c r="G25" s="235"/>
    </row>
    <row r="26" customFormat="false" ht="12.75" hidden="false" customHeight="true" outlineLevel="0" collapsed="false">
      <c r="A26" s="236" t="s">
        <v>1528</v>
      </c>
      <c r="B26" s="216"/>
      <c r="C26" s="196"/>
      <c r="D26" s="196"/>
      <c r="E26" s="196"/>
      <c r="F26" s="196"/>
      <c r="G26" s="235"/>
    </row>
    <row r="27" customFormat="false" ht="12.75" hidden="false" customHeight="true" outlineLevel="0" collapsed="false">
      <c r="A27" s="230" t="s">
        <v>1529</v>
      </c>
      <c r="B27" s="218" t="n">
        <f aca="false">B4+B5</f>
        <v>10000000</v>
      </c>
      <c r="C27" s="196"/>
      <c r="D27" s="196"/>
      <c r="E27" s="196"/>
      <c r="F27" s="196"/>
      <c r="G27" s="196"/>
    </row>
    <row r="28" customFormat="false" ht="12.75" hidden="false" customHeight="true" outlineLevel="0" collapsed="false">
      <c r="A28" s="230" t="s">
        <v>1495</v>
      </c>
      <c r="B28" s="218" t="n">
        <v>0</v>
      </c>
      <c r="C28" s="196"/>
      <c r="D28" s="196"/>
      <c r="E28" s="196"/>
      <c r="F28" s="196"/>
      <c r="G28" s="196"/>
    </row>
    <row r="29" customFormat="false" ht="12.75" hidden="false" customHeight="true" outlineLevel="0" collapsed="false">
      <c r="A29" s="230" t="s">
        <v>1496</v>
      </c>
      <c r="B29" s="218" t="n">
        <v>0</v>
      </c>
      <c r="C29" s="196"/>
      <c r="D29" s="200"/>
      <c r="E29" s="196"/>
      <c r="F29" s="196"/>
      <c r="G29" s="196"/>
    </row>
    <row r="30" customFormat="false" ht="13.5" hidden="false" customHeight="true" outlineLevel="0" collapsed="false">
      <c r="A30" s="230" t="s">
        <v>1530</v>
      </c>
      <c r="B30" s="218" t="n">
        <v>0</v>
      </c>
      <c r="C30" s="196"/>
      <c r="D30" s="198" t="s">
        <v>1531</v>
      </c>
      <c r="E30" s="237" t="s">
        <v>1532</v>
      </c>
      <c r="F30" s="237" t="s">
        <v>1533</v>
      </c>
      <c r="G30" s="237" t="s">
        <v>1534</v>
      </c>
    </row>
    <row r="31" customFormat="false" ht="12.75" hidden="false" customHeight="true" outlineLevel="0" collapsed="false">
      <c r="A31" s="230" t="s">
        <v>1535</v>
      </c>
      <c r="B31" s="218" t="n">
        <v>23461850.4</v>
      </c>
      <c r="C31" s="196"/>
      <c r="D31" s="196" t="s">
        <v>1536</v>
      </c>
      <c r="E31" s="196" t="n">
        <v>7</v>
      </c>
      <c r="F31" s="196" t="n">
        <f aca="false">IF(D31="Y",E31*B31,0)</f>
        <v>164232952.8</v>
      </c>
      <c r="G31" s="196" t="n">
        <f aca="false">IF(AND(F31&gt;0,D31="Y"),B31,0)</f>
        <v>23461850.4</v>
      </c>
    </row>
    <row r="32" customFormat="false" ht="12.75" hidden="false" customHeight="true" outlineLevel="0" collapsed="false">
      <c r="A32" s="230" t="s">
        <v>1537</v>
      </c>
      <c r="B32" s="218" t="n">
        <v>0</v>
      </c>
      <c r="C32" s="196"/>
      <c r="D32" s="196" t="s">
        <v>507</v>
      </c>
      <c r="E32" s="196"/>
      <c r="F32" s="196" t="n">
        <f aca="false">IF(D32="Y",E32*B32,0)</f>
        <v>0</v>
      </c>
      <c r="G32" s="196" t="n">
        <f aca="false">IF(AND(F32&gt;0,D32="Y"),B32,0)</f>
        <v>0</v>
      </c>
    </row>
    <row r="33" customFormat="false" ht="12.75" hidden="false" customHeight="true" outlineLevel="0" collapsed="false">
      <c r="A33" s="230" t="s">
        <v>1538</v>
      </c>
      <c r="B33" s="218" t="n">
        <v>0</v>
      </c>
      <c r="C33" s="196"/>
      <c r="D33" s="196" t="s">
        <v>507</v>
      </c>
      <c r="E33" s="196"/>
      <c r="F33" s="196" t="n">
        <f aca="false">IF(D33="Y",E33*B33,0)</f>
        <v>0</v>
      </c>
      <c r="G33" s="196" t="n">
        <f aca="false">IF(AND(F33&gt;0,D33="Y"),B33,0)</f>
        <v>0</v>
      </c>
    </row>
    <row r="34" customFormat="false" ht="13.5" hidden="false" customHeight="true" outlineLevel="0" collapsed="false">
      <c r="A34" s="228" t="s">
        <v>1539</v>
      </c>
      <c r="B34" s="223" t="n">
        <f aca="false">SUM(B27:B33)</f>
        <v>33461850.4</v>
      </c>
      <c r="C34" s="196"/>
      <c r="D34" s="238" t="s">
        <v>1540</v>
      </c>
      <c r="E34" s="239"/>
      <c r="F34" s="238" t="n">
        <f aca="false">SUM(F31:F33)</f>
        <v>164232952.8</v>
      </c>
      <c r="G34" s="238" t="n">
        <f aca="false">SUM(G31:G33)</f>
        <v>23461850.4</v>
      </c>
    </row>
    <row r="35" customFormat="false" ht="13.5" hidden="false" customHeight="true" outlineLevel="0" collapsed="false">
      <c r="A35" s="204"/>
      <c r="B35" s="196"/>
      <c r="C35" s="196"/>
      <c r="D35" s="196" t="s">
        <v>1541</v>
      </c>
      <c r="E35" s="240" t="n">
        <f aca="false">IFERROR(F34/G34,0)</f>
        <v>7</v>
      </c>
      <c r="F35" s="196"/>
      <c r="G35" s="196"/>
    </row>
    <row r="36" customFormat="false" ht="12.75" hidden="false" customHeight="true" outlineLevel="0" collapsed="false">
      <c r="A36" s="241"/>
      <c r="B36" s="242"/>
    </row>
  </sheetData>
  <mergeCells count="2">
    <mergeCell ref="E9:F9"/>
    <mergeCell ref="A12:B12"/>
  </mergeCells>
  <conditionalFormatting sqref="B27">
    <cfRule type="cellIs" priority="2" operator="lessThan" aboveAverage="0" equalAverage="0" bottom="0" percent="0" rank="0" text="" dxfId="2">
      <formula>0</formula>
    </cfRule>
  </conditionalFormatting>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9DFF43"/>
    <pageSetUpPr fitToPage="true"/>
  </sheetPr>
  <dimension ref="A2:GL346"/>
  <sheetViews>
    <sheetView showFormulas="false" showGridLines="true" showRowColHeaders="true" showZeros="true" rightToLeft="false" tabSelected="false" showOutlineSymbols="true" defaultGridColor="true" view="normal" topLeftCell="A130" colorId="64" zoomScale="100" zoomScaleNormal="100" zoomScalePageLayoutView="100" workbookViewId="0">
      <selection pane="topLeft" activeCell="G158" activeCellId="0" sqref="G158"/>
    </sheetView>
  </sheetViews>
  <sheetFormatPr defaultColWidth="8.82421875" defaultRowHeight="18" customHeight="true" zeroHeight="false" outlineLevelRow="1" outlineLevelCol="1"/>
  <cols>
    <col collapsed="false" customWidth="true" hidden="false" outlineLevel="0" max="1" min="1" style="243" width="29.82"/>
    <col collapsed="false" customWidth="true" hidden="false" outlineLevel="0" max="2" min="2" style="244" width="16.82"/>
    <col collapsed="false" customWidth="true" hidden="false" outlineLevel="0" max="7" min="3" style="244" width="15.18"/>
    <col collapsed="false" customWidth="true" hidden="false" outlineLevel="0" max="8" min="8" style="244" width="19"/>
    <col collapsed="false" customWidth="true" hidden="false" outlineLevel="0" max="13" min="9" style="244" width="15.18"/>
    <col collapsed="false" customWidth="true" hidden="false" outlineLevel="0" max="25" min="14" style="244" width="16"/>
    <col collapsed="false" customWidth="true" hidden="false" outlineLevel="0" max="37" min="26" style="244" width="17.54"/>
    <col collapsed="false" customWidth="true" hidden="false" outlineLevel="0" max="62" min="38" style="244" width="16.54"/>
    <col collapsed="false" customWidth="true" hidden="false" outlineLevel="0" max="66" min="63" style="244" width="18.18"/>
    <col collapsed="false" customWidth="true" hidden="false" outlineLevel="0" max="67" min="67" style="244" width="6"/>
    <col collapsed="false" customWidth="true" hidden="false" outlineLevel="1" max="76" min="68" style="244" width="7.45"/>
    <col collapsed="false" customWidth="true" hidden="false" outlineLevel="1" max="79" min="77" style="244" width="8.45"/>
    <col collapsed="false" customWidth="true" hidden="false" outlineLevel="1" max="127" min="80" style="244" width="9"/>
    <col collapsed="false" customWidth="false" hidden="false" outlineLevel="1" max="133" min="128" style="244" width="8.82"/>
    <col collapsed="false" customWidth="true" hidden="false" outlineLevel="1" max="148" min="134" style="244" width="5.54"/>
    <col collapsed="false" customWidth="true" hidden="false" outlineLevel="1" max="150" min="149" style="244" width="7.45"/>
    <col collapsed="false" customWidth="true" hidden="false" outlineLevel="1" max="152" min="151" style="244" width="5.54"/>
    <col collapsed="false" customWidth="true" hidden="false" outlineLevel="1" max="154" min="153" style="244" width="10.54"/>
    <col collapsed="false" customWidth="true" hidden="false" outlineLevel="1" max="160" min="155" style="244" width="5.54"/>
    <col collapsed="false" customWidth="true" hidden="false" outlineLevel="0" max="194" min="161" style="244" width="4.27"/>
    <col collapsed="false" customWidth="false" hidden="false" outlineLevel="0" max="16384" min="195" style="244" width="8.82"/>
  </cols>
  <sheetData>
    <row r="2" s="253" customFormat="true" ht="29.25" hidden="false" customHeight="true" outlineLevel="0" collapsed="false">
      <c r="A2" s="245" t="s">
        <v>1542</v>
      </c>
      <c r="B2" s="246" t="s">
        <v>1543</v>
      </c>
      <c r="C2" s="246" t="s">
        <v>1544</v>
      </c>
      <c r="D2" s="246" t="s">
        <v>1545</v>
      </c>
      <c r="E2" s="247" t="s">
        <v>1546</v>
      </c>
      <c r="F2" s="247" t="s">
        <v>1547</v>
      </c>
      <c r="G2" s="247" t="s">
        <v>1548</v>
      </c>
      <c r="H2" s="248" t="s">
        <v>1549</v>
      </c>
      <c r="I2" s="249" t="s">
        <v>1550</v>
      </c>
      <c r="J2" s="250" t="s">
        <v>1551</v>
      </c>
      <c r="K2" s="250" t="s">
        <v>1552</v>
      </c>
      <c r="L2" s="250" t="s">
        <v>1553</v>
      </c>
      <c r="M2" s="250" t="s">
        <v>1554</v>
      </c>
      <c r="N2" s="251" t="s">
        <v>1555</v>
      </c>
      <c r="O2" s="115"/>
      <c r="P2" s="115"/>
      <c r="Q2" s="115"/>
      <c r="R2" s="115"/>
      <c r="S2" s="115"/>
      <c r="T2" s="252" t="s">
        <v>17</v>
      </c>
      <c r="U2" s="252" t="s">
        <v>1556</v>
      </c>
      <c r="V2" s="252" t="s">
        <v>1557</v>
      </c>
      <c r="W2" s="252" t="s">
        <v>1558</v>
      </c>
      <c r="X2" s="252" t="s">
        <v>1559</v>
      </c>
      <c r="Y2" s="252" t="s">
        <v>1560</v>
      </c>
      <c r="Z2" s="252" t="s">
        <v>1561</v>
      </c>
    </row>
    <row r="3" s="256" customFormat="true" ht="15" hidden="false" customHeight="true" outlineLevel="0" collapsed="false">
      <c r="A3" s="254" t="s">
        <v>1562</v>
      </c>
      <c r="B3" s="254"/>
      <c r="C3" s="254"/>
      <c r="D3" s="254"/>
      <c r="E3" s="254"/>
      <c r="F3" s="254"/>
      <c r="G3" s="254"/>
      <c r="H3" s="254"/>
      <c r="I3" s="254"/>
      <c r="J3" s="254"/>
      <c r="K3" s="254"/>
      <c r="L3" s="254"/>
      <c r="M3" s="254"/>
      <c r="N3" s="254"/>
      <c r="O3" s="255"/>
      <c r="Q3" s="257"/>
      <c r="R3" s="257"/>
    </row>
    <row r="4" s="256" customFormat="true" ht="15" hidden="false" customHeight="true" outlineLevel="0" collapsed="false">
      <c r="A4" s="258" t="s">
        <v>1563</v>
      </c>
      <c r="B4" s="259" t="n">
        <v>38.69</v>
      </c>
      <c r="C4" s="260" t="n">
        <v>31250</v>
      </c>
      <c r="D4" s="261" t="n">
        <f aca="false">IF(OR(B4="",C4=""),0,B4*C4)</f>
        <v>1209062.5</v>
      </c>
      <c r="E4" s="262" t="n">
        <f aca="false">IF(OR(B4="",C4=""),0,B4*C4*1.1)</f>
        <v>1329968.75</v>
      </c>
      <c r="F4" s="262" t="n">
        <f aca="false">IF(OR(B4="",C4=""),0,B4*C4*1.1^2)</f>
        <v>1462965.625</v>
      </c>
      <c r="G4" s="262" t="n">
        <f aca="false">IF(OR(B4="",C4=""),0,B4*C4*1.1^3)</f>
        <v>1609262.1875</v>
      </c>
      <c r="H4" s="262" t="n">
        <f aca="false">IF(OR(B4="",C4=""),0,B4*C4*1.1^4)</f>
        <v>1770188.40625</v>
      </c>
      <c r="I4" s="263" t="n">
        <f aca="false">V4+W4+X4+Y4</f>
        <v>32.7552</v>
      </c>
      <c r="J4" s="264" t="n">
        <f aca="false">C4*I4</f>
        <v>1023600</v>
      </c>
      <c r="K4" s="262" t="n">
        <f aca="false">J4*1.05</f>
        <v>1074780</v>
      </c>
      <c r="L4" s="262" t="n">
        <f aca="false">K4*1.05</f>
        <v>1128519</v>
      </c>
      <c r="M4" s="262" t="n">
        <f aca="false">L4*1.05</f>
        <v>1184944.95</v>
      </c>
      <c r="N4" s="265" t="n">
        <f aca="false">M4*1.05</f>
        <v>1244192.1975</v>
      </c>
      <c r="O4" s="115"/>
      <c r="P4" s="115"/>
      <c r="Q4" s="257"/>
      <c r="R4" s="257"/>
      <c r="S4" s="115"/>
      <c r="T4" s="266" t="n">
        <v>2.5</v>
      </c>
      <c r="U4" s="267" t="n">
        <v>0</v>
      </c>
      <c r="V4" s="268" t="n">
        <f aca="false">$D121</f>
        <v>32.7552</v>
      </c>
      <c r="W4" s="268" t="n">
        <f aca="false">V4*$B$42*IF($C$42="Y",1,0)</f>
        <v>0</v>
      </c>
      <c r="X4" s="268" t="n">
        <f aca="false">$B4*$B$43*IF($C$43="Y",1,0)</f>
        <v>0</v>
      </c>
      <c r="Y4" s="268" t="n">
        <f aca="false">$B4*$B$44*IF($C$44="Y",1,0)</f>
        <v>0</v>
      </c>
      <c r="Z4" s="268" t="n">
        <f aca="false">V4+W4+X4+Y4</f>
        <v>32.7552</v>
      </c>
    </row>
    <row r="5" s="256" customFormat="true" ht="15" hidden="false" customHeight="true" outlineLevel="0" collapsed="false">
      <c r="A5" s="269" t="s">
        <v>1564</v>
      </c>
      <c r="B5" s="270" t="n">
        <v>36.69</v>
      </c>
      <c r="C5" s="271" t="n">
        <v>31250</v>
      </c>
      <c r="D5" s="272" t="n">
        <f aca="false">IF(OR(B5="",C5=""),0,B5*C5)</f>
        <v>1146562.5</v>
      </c>
      <c r="E5" s="262" t="n">
        <f aca="false">IF(OR(B5="",C5=""),0,B5*C5*1.1)</f>
        <v>1261218.75</v>
      </c>
      <c r="F5" s="262" t="n">
        <f aca="false">IF(OR(B5="",C5=""),0,B5*C5*1.1^2)</f>
        <v>1387340.625</v>
      </c>
      <c r="G5" s="262" t="n">
        <f aca="false">IF(OR(B5="",C5=""),0,B5*C5*1.1^3)</f>
        <v>1526074.6875</v>
      </c>
      <c r="H5" s="262" t="n">
        <f aca="false">IF(OR(B5="",C5=""),0,B5*C5*1.1^4)</f>
        <v>1678682.15625</v>
      </c>
      <c r="I5" s="263" t="n">
        <f aca="false">V5+W5+X5+Y5</f>
        <v>28.192</v>
      </c>
      <c r="J5" s="264" t="n">
        <f aca="false">C5*I5</f>
        <v>881000</v>
      </c>
      <c r="K5" s="262" t="n">
        <f aca="false">J5*1.05</f>
        <v>925050</v>
      </c>
      <c r="L5" s="262" t="n">
        <f aca="false">K5*1.05</f>
        <v>971302.5</v>
      </c>
      <c r="M5" s="262" t="n">
        <f aca="false">L5*1.05</f>
        <v>1019867.625</v>
      </c>
      <c r="N5" s="262" t="n">
        <f aca="false">M5*1.05</f>
        <v>1070861.00625</v>
      </c>
      <c r="O5" s="115"/>
      <c r="P5" s="115"/>
      <c r="Q5" s="257"/>
      <c r="R5" s="257"/>
      <c r="S5" s="115"/>
      <c r="T5" s="266" t="n">
        <v>3</v>
      </c>
      <c r="U5" s="267" t="n">
        <v>0</v>
      </c>
      <c r="V5" s="268" t="n">
        <f aca="false">$D122</f>
        <v>28.192</v>
      </c>
      <c r="W5" s="268" t="n">
        <f aca="false">V5*$B$42*IF($C$42="Y",1,0)</f>
        <v>0</v>
      </c>
      <c r="X5" s="268" t="n">
        <f aca="false">$B5*$B$43*IF($C$43="Y",1,0)</f>
        <v>0</v>
      </c>
      <c r="Y5" s="268" t="n">
        <f aca="false">$B5*$B$44*IF($C$44="Y",1,0)</f>
        <v>0</v>
      </c>
      <c r="Z5" s="268" t="n">
        <f aca="false">V5+W5+X5+Y5</f>
        <v>28.192</v>
      </c>
    </row>
    <row r="6" s="256" customFormat="true" ht="15" hidden="false" customHeight="true" outlineLevel="0" collapsed="false">
      <c r="A6" s="269" t="s">
        <v>1565</v>
      </c>
      <c r="B6" s="270" t="n">
        <v>33.77</v>
      </c>
      <c r="C6" s="271" t="n">
        <v>93750</v>
      </c>
      <c r="D6" s="272" t="n">
        <f aca="false">IF(OR(B6="",C6=""),0,B6*C6)</f>
        <v>3165937.5</v>
      </c>
      <c r="E6" s="262" t="n">
        <f aca="false">IF(OR(B6="",C6=""),0,B6*C6*1.1)</f>
        <v>3482531.25</v>
      </c>
      <c r="F6" s="262" t="n">
        <f aca="false">IF(OR(B6="",C6=""),0,B6*C6*1.1^2)</f>
        <v>3830784.375</v>
      </c>
      <c r="G6" s="262" t="n">
        <f aca="false">IF(OR(B6="",C6=""),0,B6*C6*1.1^3)</f>
        <v>4213862.8125</v>
      </c>
      <c r="H6" s="262" t="n">
        <f aca="false">IF(OR(B6="",C6=""),0,B6*C6*1.1^4)</f>
        <v>4635249.09375</v>
      </c>
      <c r="I6" s="263" t="n">
        <f aca="false">V6+W6+X6+Y6</f>
        <v>24.162</v>
      </c>
      <c r="J6" s="264" t="n">
        <f aca="false">C6*I6</f>
        <v>2265187.5</v>
      </c>
      <c r="K6" s="262" t="n">
        <f aca="false">J6*1.05</f>
        <v>2378446.875</v>
      </c>
      <c r="L6" s="262" t="n">
        <f aca="false">K6*1.05</f>
        <v>2497369.21875</v>
      </c>
      <c r="M6" s="262" t="n">
        <f aca="false">L6*1.05</f>
        <v>2622237.6796875</v>
      </c>
      <c r="N6" s="262" t="n">
        <f aca="false">M6*1.05</f>
        <v>2753349.56367188</v>
      </c>
      <c r="O6" s="115"/>
      <c r="P6" s="115"/>
      <c r="Q6" s="257"/>
      <c r="R6" s="257"/>
      <c r="S6" s="115"/>
      <c r="T6" s="266" t="n">
        <v>4</v>
      </c>
      <c r="U6" s="267" t="n">
        <v>0</v>
      </c>
      <c r="V6" s="268" t="n">
        <f aca="false">$D123</f>
        <v>24.162</v>
      </c>
      <c r="W6" s="268" t="n">
        <f aca="false">V6*$B$42*IF($C$42="Y",1,0)</f>
        <v>0</v>
      </c>
      <c r="X6" s="268" t="n">
        <f aca="false">$B6*$B$43*IF($C$43="Y",1,0)</f>
        <v>0</v>
      </c>
      <c r="Y6" s="268" t="n">
        <f aca="false">$B6*$B$44*IF($C$44="Y",1,0)</f>
        <v>0</v>
      </c>
      <c r="Z6" s="268" t="n">
        <f aca="false">V6+W6+X6+Y6</f>
        <v>24.162</v>
      </c>
    </row>
    <row r="7" s="256" customFormat="true" ht="15" hidden="false" customHeight="true" outlineLevel="0" collapsed="false">
      <c r="A7" s="269" t="s">
        <v>1566</v>
      </c>
      <c r="B7" s="270" t="n">
        <v>31.13</v>
      </c>
      <c r="C7" s="271" t="n">
        <v>187500</v>
      </c>
      <c r="D7" s="272" t="n">
        <f aca="false">IF(OR(B7="",C7=""),0,B7*C7)</f>
        <v>5836875</v>
      </c>
      <c r="E7" s="262" t="n">
        <f aca="false">IF(OR(B7="",C7=""),0,B7*C7*1.1)</f>
        <v>6420562.5</v>
      </c>
      <c r="F7" s="262" t="n">
        <f aca="false">IF(OR(B7="",C7=""),0,B7*C7*1.1^2)</f>
        <v>7062618.75</v>
      </c>
      <c r="G7" s="262" t="n">
        <f aca="false">IF(OR(B7="",C7=""),0,B7*C7*1.1^3)</f>
        <v>7768880.625</v>
      </c>
      <c r="H7" s="262" t="n">
        <f aca="false">IF(OR(B7="",C7=""),0,B7*C7*1.1^4)</f>
        <v>8545768.6875</v>
      </c>
      <c r="I7" s="263" t="n">
        <f aca="false">V7+W7+X7+Y7</f>
        <v>19.016</v>
      </c>
      <c r="J7" s="264" t="n">
        <f aca="false">C7*I7</f>
        <v>3565500</v>
      </c>
      <c r="K7" s="262" t="n">
        <f aca="false">J7*1.05</f>
        <v>3743775</v>
      </c>
      <c r="L7" s="262" t="n">
        <f aca="false">K7*1.05</f>
        <v>3930963.75</v>
      </c>
      <c r="M7" s="262" t="n">
        <f aca="false">L7*1.05</f>
        <v>4127511.9375</v>
      </c>
      <c r="N7" s="262" t="n">
        <f aca="false">M7*1.05</f>
        <v>4333887.534375</v>
      </c>
      <c r="O7" s="115"/>
      <c r="P7" s="115"/>
      <c r="Q7" s="257"/>
      <c r="R7" s="257"/>
      <c r="S7" s="115"/>
      <c r="T7" s="266" t="n">
        <v>6</v>
      </c>
      <c r="U7" s="267" t="n">
        <v>0</v>
      </c>
      <c r="V7" s="268" t="n">
        <f aca="false">$D124</f>
        <v>19.016</v>
      </c>
      <c r="W7" s="268" t="n">
        <f aca="false">V7*$B$42*IF($C$42="Y",1,0)</f>
        <v>0</v>
      </c>
      <c r="X7" s="268" t="n">
        <f aca="false">$B7*$B$43*IF($C$43="Y",1,0)</f>
        <v>0</v>
      </c>
      <c r="Y7" s="268" t="n">
        <f aca="false">$B7*$B$44*IF($C$44="Y",1,0)</f>
        <v>0</v>
      </c>
      <c r="Z7" s="268" t="n">
        <f aca="false">V7+W7+X7+Y7</f>
        <v>19.016</v>
      </c>
    </row>
    <row r="8" s="256" customFormat="true" ht="15" hidden="false" customHeight="true" outlineLevel="0" collapsed="false">
      <c r="A8" s="269" t="s">
        <v>1567</v>
      </c>
      <c r="B8" s="270" t="n">
        <v>29.81</v>
      </c>
      <c r="C8" s="271" t="n">
        <v>250000</v>
      </c>
      <c r="D8" s="272" t="n">
        <f aca="false">IF(OR(B8="",C8=""),0,B8*C8)</f>
        <v>7452500</v>
      </c>
      <c r="E8" s="262" t="n">
        <f aca="false">IF(OR(B8="",C8=""),0,B8*C8*1.1)</f>
        <v>8197750</v>
      </c>
      <c r="F8" s="262" t="n">
        <f aca="false">IF(OR(B8="",C8=""),0,B8*C8*1.1^2)</f>
        <v>9017525</v>
      </c>
      <c r="G8" s="262" t="n">
        <f aca="false">IF(OR(B8="",C8=""),0,B8*C8*1.1^3)</f>
        <v>9919277.5</v>
      </c>
      <c r="H8" s="262" t="n">
        <f aca="false">IF(OR(B8="",C8=""),0,B8*C8*1.1^4)</f>
        <v>10911205.25</v>
      </c>
      <c r="I8" s="263" t="n">
        <f aca="false">V8+W8+X8+Y8</f>
        <v>14.7825</v>
      </c>
      <c r="J8" s="264" t="n">
        <f aca="false">C8*I8</f>
        <v>3695625</v>
      </c>
      <c r="K8" s="262" t="n">
        <f aca="false">J8*1.05</f>
        <v>3880406.25</v>
      </c>
      <c r="L8" s="262" t="n">
        <f aca="false">K8*1.05</f>
        <v>4074426.5625</v>
      </c>
      <c r="M8" s="262" t="n">
        <f aca="false">L8*1.05</f>
        <v>4278147.890625</v>
      </c>
      <c r="N8" s="262" t="n">
        <f aca="false">M8*1.05</f>
        <v>4492055.28515625</v>
      </c>
      <c r="O8" s="115"/>
      <c r="P8" s="115"/>
      <c r="Q8" s="257"/>
      <c r="R8" s="257"/>
      <c r="S8" s="115"/>
      <c r="T8" s="266" t="n">
        <v>8</v>
      </c>
      <c r="U8" s="267" t="n">
        <v>0.5</v>
      </c>
      <c r="V8" s="268" t="n">
        <f aca="false">$D125</f>
        <v>14.7825</v>
      </c>
      <c r="W8" s="268" t="n">
        <f aca="false">V8*$B$42*IF($C$42="Y",1,0)</f>
        <v>0</v>
      </c>
      <c r="X8" s="268" t="n">
        <f aca="false">$B8*$B$43*IF($C$43="Y",1,0)</f>
        <v>0</v>
      </c>
      <c r="Y8" s="268" t="n">
        <f aca="false">$B8*$B$44*IF($C$44="Y",1,0)</f>
        <v>0</v>
      </c>
      <c r="Z8" s="268" t="n">
        <f aca="false">V8+W8+X8+Y8</f>
        <v>14.7825</v>
      </c>
    </row>
    <row r="9" s="256" customFormat="true" ht="15" hidden="false" customHeight="true" outlineLevel="0" collapsed="false">
      <c r="A9" s="269" t="s">
        <v>1568</v>
      </c>
      <c r="B9" s="270" t="n">
        <v>29.35</v>
      </c>
      <c r="C9" s="271" t="n">
        <v>250000</v>
      </c>
      <c r="D9" s="272" t="n">
        <f aca="false">IF(OR(B9="",C9=""),0,B9*C9)</f>
        <v>7337500</v>
      </c>
      <c r="E9" s="262" t="n">
        <f aca="false">IF(OR(B9="",C9=""),0,B9*C9*1.1)</f>
        <v>8071250</v>
      </c>
      <c r="F9" s="262" t="n">
        <f aca="false">IF(OR(B9="",C9=""),0,B9*C9*1.1^2)</f>
        <v>8878375</v>
      </c>
      <c r="G9" s="262" t="n">
        <f aca="false">IF(OR(B9="",C9=""),0,B9*C9*1.1^3)</f>
        <v>9766212.5</v>
      </c>
      <c r="H9" s="262" t="n">
        <f aca="false">IF(OR(B9="",C9=""),0,B9*C9*1.1^4)</f>
        <v>10742833.75</v>
      </c>
      <c r="I9" s="263" t="n">
        <f aca="false">V9+W9+X9+Y9</f>
        <v>13.0458</v>
      </c>
      <c r="J9" s="264" t="n">
        <f aca="false">C9*I9</f>
        <v>3261450</v>
      </c>
      <c r="K9" s="262" t="n">
        <f aca="false">J9*1.05</f>
        <v>3424522.5</v>
      </c>
      <c r="L9" s="262" t="n">
        <f aca="false">K9*1.05</f>
        <v>3595748.625</v>
      </c>
      <c r="M9" s="262" t="n">
        <f aca="false">L9*1.05</f>
        <v>3775536.05625</v>
      </c>
      <c r="N9" s="262" t="n">
        <f aca="false">M9*1.05</f>
        <v>3964312.8590625</v>
      </c>
      <c r="O9" s="115"/>
      <c r="P9" s="115"/>
      <c r="Q9" s="257"/>
      <c r="R9" s="257"/>
      <c r="S9" s="115"/>
      <c r="T9" s="266" t="n">
        <v>10</v>
      </c>
      <c r="U9" s="267" t="n">
        <v>0.7</v>
      </c>
      <c r="V9" s="268" t="n">
        <f aca="false">$D126</f>
        <v>13.0458</v>
      </c>
      <c r="W9" s="268" t="n">
        <f aca="false">V9*$B$42*IF($C$42="Y",1,0)</f>
        <v>0</v>
      </c>
      <c r="X9" s="268" t="n">
        <f aca="false">$B9*$B$43*IF($C$43="Y",1,0)</f>
        <v>0</v>
      </c>
      <c r="Y9" s="268" t="n">
        <f aca="false">$B9*$B$44*IF($C$44="Y",1,0)</f>
        <v>0</v>
      </c>
      <c r="Z9" s="268" t="n">
        <f aca="false">V9+W9+X9+Y9</f>
        <v>13.0458</v>
      </c>
    </row>
    <row r="10" s="256" customFormat="true" ht="15" hidden="false" customHeight="true" outlineLevel="0" collapsed="false">
      <c r="A10" s="269" t="s">
        <v>1569</v>
      </c>
      <c r="B10" s="270" t="n">
        <v>29.18</v>
      </c>
      <c r="C10" s="271" t="n">
        <v>312500</v>
      </c>
      <c r="D10" s="272" t="n">
        <f aca="false">IF(OR(B10="",C10=""),0,B10*C10)</f>
        <v>9118750</v>
      </c>
      <c r="E10" s="262" t="n">
        <f aca="false">IF(OR(B10="",C10=""),0,B10*C10*1.1)</f>
        <v>10030625</v>
      </c>
      <c r="F10" s="262" t="n">
        <f aca="false">IF(OR(B10="",C10=""),0,B10*C10*1.1^2)</f>
        <v>11033687.5</v>
      </c>
      <c r="G10" s="262" t="n">
        <f aca="false">IF(OR(B10="",C10=""),0,B10*C10*1.1^3)</f>
        <v>12137056.25</v>
      </c>
      <c r="H10" s="262" t="n">
        <f aca="false">IF(OR(B10="",C10=""),0,B10*C10*1.1^4)</f>
        <v>13350761.875</v>
      </c>
      <c r="I10" s="263" t="n">
        <f aca="false">V10+W10+X10+Y10</f>
        <v>12.5432</v>
      </c>
      <c r="J10" s="264" t="n">
        <f aca="false">C10*I10</f>
        <v>3919750</v>
      </c>
      <c r="K10" s="262" t="n">
        <f aca="false">J10*1.05</f>
        <v>4115737.5</v>
      </c>
      <c r="L10" s="262" t="n">
        <f aca="false">K10*1.05</f>
        <v>4321524.375</v>
      </c>
      <c r="M10" s="262" t="n">
        <f aca="false">L10*1.05</f>
        <v>4537600.59375</v>
      </c>
      <c r="N10" s="262" t="n">
        <f aca="false">M10*1.05</f>
        <v>4764480.6234375</v>
      </c>
      <c r="O10" s="115"/>
      <c r="P10" s="115"/>
      <c r="Q10" s="257"/>
      <c r="R10" s="257"/>
      <c r="S10" s="115"/>
      <c r="T10" s="266" t="n">
        <v>12</v>
      </c>
      <c r="U10" s="267" t="n">
        <v>0.8</v>
      </c>
      <c r="V10" s="268" t="n">
        <f aca="false">$D127</f>
        <v>12.5432</v>
      </c>
      <c r="W10" s="268" t="n">
        <f aca="false">V10*$B$42*IF($C$42="Y",1,0)</f>
        <v>0</v>
      </c>
      <c r="X10" s="268" t="n">
        <f aca="false">$B10*$B$43*IF($C$43="Y",1,0)</f>
        <v>0</v>
      </c>
      <c r="Y10" s="268" t="n">
        <f aca="false">$B10*$B$44*IF($C$44="Y",1,0)</f>
        <v>0</v>
      </c>
      <c r="Z10" s="268" t="n">
        <f aca="false">V10+W10+X10+Y10</f>
        <v>12.5432</v>
      </c>
    </row>
    <row r="11" s="256" customFormat="true" ht="15" hidden="false" customHeight="true" outlineLevel="0" collapsed="false">
      <c r="A11" s="269" t="s">
        <v>1570</v>
      </c>
      <c r="B11" s="270" t="n">
        <v>29.3</v>
      </c>
      <c r="C11" s="271" t="n">
        <v>250000</v>
      </c>
      <c r="D11" s="272" t="n">
        <f aca="false">IF(OR(B11="",C11=""),0,B11*C11)</f>
        <v>7325000</v>
      </c>
      <c r="E11" s="262" t="n">
        <f aca="false">IF(OR(B11="",C11=""),0,B11*C11*1.1)</f>
        <v>8057500</v>
      </c>
      <c r="F11" s="262" t="n">
        <f aca="false">IF(OR(B11="",C11=""),0,B11*C11*1.1^2)</f>
        <v>8863250</v>
      </c>
      <c r="G11" s="262" t="n">
        <f aca="false">IF(OR(B11="",C11=""),0,B11*C11*1.1^3)</f>
        <v>9749575</v>
      </c>
      <c r="H11" s="262" t="n">
        <f aca="false">IF(OR(B11="",C11=""),0,B11*C11*1.1^4)</f>
        <v>10724532.5</v>
      </c>
      <c r="I11" s="263" t="n">
        <f aca="false">V11+W11+X11+Y11</f>
        <v>12.4642285714286</v>
      </c>
      <c r="J11" s="264" t="n">
        <f aca="false">C11*I11</f>
        <v>3116057.14285715</v>
      </c>
      <c r="K11" s="262" t="n">
        <f aca="false">J11*1.05</f>
        <v>3271860.00000001</v>
      </c>
      <c r="L11" s="262" t="n">
        <f aca="false">K11*1.05</f>
        <v>3435453.00000001</v>
      </c>
      <c r="M11" s="262" t="n">
        <f aca="false">L11*1.05</f>
        <v>3607225.65000001</v>
      </c>
      <c r="N11" s="262" t="n">
        <f aca="false">M11*1.05</f>
        <v>3787586.93250001</v>
      </c>
      <c r="O11" s="115"/>
      <c r="P11" s="115"/>
      <c r="Q11" s="257"/>
      <c r="R11" s="257"/>
      <c r="S11" s="115"/>
      <c r="T11" s="266" t="n">
        <v>14</v>
      </c>
      <c r="U11" s="267" t="n">
        <v>0.8</v>
      </c>
      <c r="V11" s="268" t="n">
        <f aca="false">$D128</f>
        <v>12.4642285714286</v>
      </c>
      <c r="W11" s="268" t="n">
        <f aca="false">V11*$B$42*IF($C$42="Y",1,0)</f>
        <v>0</v>
      </c>
      <c r="X11" s="268" t="n">
        <f aca="false">$B11*$B$43*IF($C$43="Y",1,0)</f>
        <v>0</v>
      </c>
      <c r="Y11" s="268" t="n">
        <f aca="false">$B11*$B$44*IF($C$44="Y",1,0)</f>
        <v>0</v>
      </c>
      <c r="Z11" s="268" t="n">
        <f aca="false">V11+W11+X11+Y11</f>
        <v>12.4642285714286</v>
      </c>
    </row>
    <row r="12" s="256" customFormat="true" ht="15" hidden="false" customHeight="true" outlineLevel="0" collapsed="false">
      <c r="A12" s="269" t="s">
        <v>1571</v>
      </c>
      <c r="B12" s="270" t="n">
        <v>30.54</v>
      </c>
      <c r="C12" s="271" t="n">
        <v>281250</v>
      </c>
      <c r="D12" s="272" t="n">
        <f aca="false">IF(OR(B12="",C12=""),0,B12*C12)</f>
        <v>8589375</v>
      </c>
      <c r="E12" s="262" t="n">
        <f aca="false">IF(OR(B12="",C12=""),0,B12*C12*1.1)</f>
        <v>9448312.5</v>
      </c>
      <c r="F12" s="262" t="n">
        <f aca="false">IF(OR(B12="",C12=""),0,B12*C12*1.1^2)</f>
        <v>10393143.75</v>
      </c>
      <c r="G12" s="262" t="n">
        <f aca="false">IF(OR(B12="",C12=""),0,B12*C12*1.1^3)</f>
        <v>11432458.125</v>
      </c>
      <c r="H12" s="262" t="n">
        <f aca="false">IF(OR(B12="",C12=""),0,B12*C12*1.1^4)</f>
        <v>12575703.9375</v>
      </c>
      <c r="I12" s="263" t="n">
        <f aca="false">V12+W12+X12+Y12</f>
        <v>12.3669</v>
      </c>
      <c r="J12" s="264" t="n">
        <f aca="false">C12*I12</f>
        <v>3478190.625</v>
      </c>
      <c r="K12" s="262" t="n">
        <f aca="false">J12*1.05</f>
        <v>3652100.15625</v>
      </c>
      <c r="L12" s="262" t="n">
        <f aca="false">K12*1.05</f>
        <v>3834705.1640625</v>
      </c>
      <c r="M12" s="262" t="n">
        <f aca="false">L12*1.05</f>
        <v>4026440.42226563</v>
      </c>
      <c r="N12" s="262" t="n">
        <f aca="false">M12*1.05</f>
        <v>4227762.44337891</v>
      </c>
      <c r="O12" s="115"/>
      <c r="P12" s="115"/>
      <c r="Q12" s="257"/>
      <c r="R12" s="257"/>
      <c r="S12" s="115"/>
      <c r="T12" s="266" t="n">
        <v>16</v>
      </c>
      <c r="U12" s="267" t="n">
        <v>0.8</v>
      </c>
      <c r="V12" s="268" t="n">
        <f aca="false">$D129</f>
        <v>12.3669</v>
      </c>
      <c r="W12" s="268" t="n">
        <f aca="false">V12*$B$42*IF($C$42="Y",1,0)</f>
        <v>0</v>
      </c>
      <c r="X12" s="268" t="n">
        <f aca="false">$B12*$B$43*IF($C$43="Y",1,0)</f>
        <v>0</v>
      </c>
      <c r="Y12" s="268" t="n">
        <f aca="false">$B12*$B$44*IF($C$44="Y",1,0)</f>
        <v>0</v>
      </c>
      <c r="Z12" s="268" t="n">
        <f aca="false">V12+W12+X12+Y12</f>
        <v>12.3669</v>
      </c>
    </row>
    <row r="13" s="256" customFormat="true" ht="15" hidden="false" customHeight="true" outlineLevel="0" collapsed="false">
      <c r="A13" s="269" t="s">
        <v>1572</v>
      </c>
      <c r="B13" s="270" t="n">
        <v>30.95</v>
      </c>
      <c r="C13" s="271" t="n">
        <v>218750</v>
      </c>
      <c r="D13" s="272" t="n">
        <f aca="false">IF(OR(B13="",C13=""),0,B13*C13)</f>
        <v>6770312.5</v>
      </c>
      <c r="E13" s="262" t="n">
        <f aca="false">IF(OR(B13="",C13=""),0,B13*C13*1.1)</f>
        <v>7447343.75</v>
      </c>
      <c r="F13" s="262" t="n">
        <f aca="false">IF(OR(B13="",C13=""),0,B13*C13*1.1^2)</f>
        <v>8192078.125</v>
      </c>
      <c r="G13" s="262" t="n">
        <f aca="false">IF(OR(B13="",C13=""),0,B13*C13*1.1^3)</f>
        <v>9011285.9375</v>
      </c>
      <c r="H13" s="262" t="n">
        <f aca="false">IF(OR(B13="",C13=""),0,B13*C13*1.1^4)</f>
        <v>9912414.53125</v>
      </c>
      <c r="I13" s="263" t="n">
        <f aca="false">V13+W13+X13+Y13</f>
        <v>12.3656666666667</v>
      </c>
      <c r="J13" s="264" t="n">
        <f aca="false">C13*I13</f>
        <v>2704989.58333334</v>
      </c>
      <c r="K13" s="262" t="n">
        <f aca="false">J13*1.05</f>
        <v>2840239.06250001</v>
      </c>
      <c r="L13" s="262" t="n">
        <f aca="false">K13*1.05</f>
        <v>2982251.01562501</v>
      </c>
      <c r="M13" s="262" t="n">
        <f aca="false">L13*1.05</f>
        <v>3131363.56640626</v>
      </c>
      <c r="N13" s="262" t="n">
        <f aca="false">M13*1.05</f>
        <v>3287931.74472657</v>
      </c>
      <c r="O13" s="115"/>
      <c r="P13" s="115"/>
      <c r="Q13" s="257"/>
      <c r="R13" s="257"/>
      <c r="S13" s="115"/>
      <c r="T13" s="266" t="n">
        <v>18</v>
      </c>
      <c r="U13" s="267" t="n">
        <v>0.75</v>
      </c>
      <c r="V13" s="268" t="n">
        <f aca="false">$D130</f>
        <v>12.3656666666667</v>
      </c>
      <c r="W13" s="268" t="n">
        <f aca="false">V13*$B$42*IF($C$42="Y",1,0)</f>
        <v>0</v>
      </c>
      <c r="X13" s="268" t="n">
        <f aca="false">$B13*$B$43*IF($C$43="Y",1,0)</f>
        <v>0</v>
      </c>
      <c r="Y13" s="268" t="n">
        <f aca="false">$B13*$B$44*IF($C$44="Y",1,0)</f>
        <v>0</v>
      </c>
      <c r="Z13" s="268" t="n">
        <f aca="false">V13+W13+X13+Y13</f>
        <v>12.3656666666667</v>
      </c>
    </row>
    <row r="14" s="256" customFormat="true" ht="15" hidden="false" customHeight="true" outlineLevel="0" collapsed="false">
      <c r="A14" s="269" t="s">
        <v>1573</v>
      </c>
      <c r="B14" s="270" t="n">
        <v>31.35</v>
      </c>
      <c r="C14" s="271" t="n">
        <v>250000</v>
      </c>
      <c r="D14" s="272" t="n">
        <f aca="false">IF(OR(B14="",C14=""),0,B14*C14)</f>
        <v>7837500</v>
      </c>
      <c r="E14" s="262" t="n">
        <f aca="false">IF(OR(B14="",C14=""),0,B14*C14*1.1)</f>
        <v>8621250</v>
      </c>
      <c r="F14" s="262" t="n">
        <f aca="false">IF(OR(B14="",C14=""),0,B14*C14*1.1^2)</f>
        <v>9483375</v>
      </c>
      <c r="G14" s="262" t="n">
        <f aca="false">IF(OR(B14="",C14=""),0,B14*C14*1.1^3)</f>
        <v>10431712.5</v>
      </c>
      <c r="H14" s="262" t="n">
        <f aca="false">IF(OR(B14="",C14=""),0,B14*C14*1.1^4)</f>
        <v>11474883.75</v>
      </c>
      <c r="I14" s="263" t="n">
        <f aca="false">V14+W14+X14+Y14</f>
        <v>12.75588</v>
      </c>
      <c r="J14" s="264" t="n">
        <f aca="false">C14*I14</f>
        <v>3188970</v>
      </c>
      <c r="K14" s="262" t="n">
        <f aca="false">J14*1.05</f>
        <v>3348418.5</v>
      </c>
      <c r="L14" s="262" t="n">
        <f aca="false">K14*1.05</f>
        <v>3515839.425</v>
      </c>
      <c r="M14" s="262" t="n">
        <f aca="false">L14*1.05</f>
        <v>3691631.39625</v>
      </c>
      <c r="N14" s="262" t="n">
        <f aca="false">M14*1.05</f>
        <v>3876212.9660625</v>
      </c>
      <c r="O14" s="115"/>
      <c r="P14" s="115"/>
      <c r="Q14" s="257"/>
      <c r="R14" s="257"/>
      <c r="S14" s="115"/>
      <c r="T14" s="266" t="n">
        <v>20</v>
      </c>
      <c r="U14" s="267" t="n">
        <v>0.7</v>
      </c>
      <c r="V14" s="268" t="n">
        <f aca="false">$D131</f>
        <v>12.75588</v>
      </c>
      <c r="W14" s="268" t="n">
        <f aca="false">V14*$B$42*IF($C$42="Y",1,0)</f>
        <v>0</v>
      </c>
      <c r="X14" s="268" t="n">
        <f aca="false">$B14*$B$43*IF($C$43="Y",1,0)</f>
        <v>0</v>
      </c>
      <c r="Y14" s="268" t="n">
        <f aca="false">$B14*$B$44*IF($C$44="Y",1,0)</f>
        <v>0</v>
      </c>
      <c r="Z14" s="268" t="n">
        <f aca="false">V14+W14+X14+Y14</f>
        <v>12.75588</v>
      </c>
    </row>
    <row r="15" s="256" customFormat="true" ht="15" hidden="false" customHeight="true" outlineLevel="0" collapsed="false">
      <c r="A15" s="269" t="s">
        <v>1574</v>
      </c>
      <c r="B15" s="270" t="n">
        <v>31.89</v>
      </c>
      <c r="C15" s="271" t="n">
        <v>406250</v>
      </c>
      <c r="D15" s="272" t="n">
        <f aca="false">IF(OR(B15="",C15=""),0,B15*C15)</f>
        <v>12955312.5</v>
      </c>
      <c r="E15" s="262" t="n">
        <f aca="false">IF(OR(B15="",C15=""),0,B15*C15*1.1)</f>
        <v>14250843.75</v>
      </c>
      <c r="F15" s="262" t="n">
        <f aca="false">IF(OR(B15="",C15=""),0,B15*C15*1.1^2)</f>
        <v>15675928.125</v>
      </c>
      <c r="G15" s="262" t="n">
        <f aca="false">IF(OR(B15="",C15=""),0,B15*C15*1.1^3)</f>
        <v>17243520.9375</v>
      </c>
      <c r="H15" s="262" t="n">
        <f aca="false">IF(OR(B15="",C15=""),0,B15*C15*1.1^4)</f>
        <v>18967873.03125</v>
      </c>
      <c r="I15" s="263" t="n">
        <f aca="false">V15+W15+X15+Y15</f>
        <v>13.0606</v>
      </c>
      <c r="J15" s="264" t="n">
        <f aca="false">C15*I15</f>
        <v>5305868.75</v>
      </c>
      <c r="K15" s="262" t="n">
        <f aca="false">J15*1.05</f>
        <v>5571162.1875</v>
      </c>
      <c r="L15" s="262" t="n">
        <f aca="false">K15*1.05</f>
        <v>5849720.296875</v>
      </c>
      <c r="M15" s="262" t="n">
        <f aca="false">L15*1.05</f>
        <v>6142206.31171875</v>
      </c>
      <c r="N15" s="262" t="n">
        <f aca="false">M15*1.05</f>
        <v>6449316.62730469</v>
      </c>
      <c r="O15" s="115"/>
      <c r="P15" s="115"/>
      <c r="Q15" s="257"/>
      <c r="R15" s="257"/>
      <c r="S15" s="115"/>
      <c r="T15" s="266" t="n">
        <v>24</v>
      </c>
      <c r="U15" s="267" t="n">
        <v>0.65</v>
      </c>
      <c r="V15" s="268" t="n">
        <f aca="false">$D132</f>
        <v>13.0606</v>
      </c>
      <c r="W15" s="268" t="n">
        <f aca="false">V15*$B$42*IF($C$42="Y",1,0)</f>
        <v>0</v>
      </c>
      <c r="X15" s="268" t="n">
        <f aca="false">$B15*$B$43*IF($C$43="Y",1,0)</f>
        <v>0</v>
      </c>
      <c r="Y15" s="268" t="n">
        <f aca="false">$B15*$B$44*IF($C$44="Y",1,0)</f>
        <v>0</v>
      </c>
      <c r="Z15" s="268" t="n">
        <f aca="false">V15+W15+X15+Y15</f>
        <v>13.0606</v>
      </c>
    </row>
    <row r="16" s="256" customFormat="true" ht="15" hidden="false" customHeight="true" outlineLevel="0" collapsed="false">
      <c r="A16" s="269" t="s">
        <v>1575</v>
      </c>
      <c r="B16" s="270" t="n">
        <v>32.79</v>
      </c>
      <c r="C16" s="271" t="n">
        <v>250000</v>
      </c>
      <c r="D16" s="272" t="n">
        <f aca="false">IF(OR(B16="",C16=""),0,B16*C16)</f>
        <v>8197500</v>
      </c>
      <c r="E16" s="262" t="n">
        <f aca="false">IF(OR(B16="",C16=""),0,B16*C16*1.1)</f>
        <v>9017250</v>
      </c>
      <c r="F16" s="262" t="n">
        <f aca="false">IF(OR(B16="",C16=""),0,B16*C16*1.1^2)</f>
        <v>9918975</v>
      </c>
      <c r="G16" s="262" t="n">
        <f aca="false">IF(OR(B16="",C16=""),0,B16*C16*1.1^3)</f>
        <v>10910872.5</v>
      </c>
      <c r="H16" s="262" t="n">
        <f aca="false">IF(OR(B16="",C16=""),0,B16*C16*1.1^4)</f>
        <v>12001959.75</v>
      </c>
      <c r="I16" s="263" t="n">
        <f aca="false">V16+W16+X16+Y16</f>
        <v>12.83624</v>
      </c>
      <c r="J16" s="264" t="n">
        <f aca="false">C16*I16</f>
        <v>3209060</v>
      </c>
      <c r="K16" s="262" t="n">
        <f aca="false">J16*1.05</f>
        <v>3369513</v>
      </c>
      <c r="L16" s="262" t="n">
        <f aca="false">K16*1.05</f>
        <v>3537988.65</v>
      </c>
      <c r="M16" s="262" t="n">
        <f aca="false">L16*1.05</f>
        <v>3714888.0825</v>
      </c>
      <c r="N16" s="262" t="n">
        <f aca="false">M16*1.05</f>
        <v>3900632.486625</v>
      </c>
      <c r="O16" s="115"/>
      <c r="P16" s="115"/>
      <c r="Q16" s="257"/>
      <c r="R16" s="257"/>
      <c r="S16" s="115"/>
      <c r="T16" s="266" t="n">
        <v>30</v>
      </c>
      <c r="U16" s="267" t="n">
        <v>0.6</v>
      </c>
      <c r="V16" s="268" t="n">
        <f aca="false">$D133</f>
        <v>12.83624</v>
      </c>
      <c r="W16" s="268" t="n">
        <f aca="false">V16*$B$42*IF($C$42="Y",1,0)</f>
        <v>0</v>
      </c>
      <c r="X16" s="268" t="n">
        <f aca="false">$B16*$B$43*IF($C$43="Y",1,0)</f>
        <v>0</v>
      </c>
      <c r="Y16" s="268" t="n">
        <f aca="false">$B16*$B$44*IF($C$44="Y",1,0)</f>
        <v>0</v>
      </c>
      <c r="Z16" s="268" t="n">
        <f aca="false">V16+W16+X16+Y16</f>
        <v>12.83624</v>
      </c>
    </row>
    <row r="17" s="256" customFormat="true" ht="15" hidden="false" customHeight="true" outlineLevel="0" collapsed="false">
      <c r="A17" s="269" t="s">
        <v>1576</v>
      </c>
      <c r="B17" s="270" t="n">
        <v>34.09</v>
      </c>
      <c r="C17" s="271" t="n">
        <v>187500</v>
      </c>
      <c r="D17" s="272" t="n">
        <f aca="false">IF(OR(B17="",C17=""),0,B17*C17)</f>
        <v>6391875</v>
      </c>
      <c r="E17" s="262" t="n">
        <f aca="false">IF(OR(B17="",C17=""),0,B17*C17*1.1)</f>
        <v>7031062.5</v>
      </c>
      <c r="F17" s="262" t="n">
        <f aca="false">IF(OR(B17="",C17=""),0,B17*C17*1.1^2)</f>
        <v>7734168.75</v>
      </c>
      <c r="G17" s="262" t="n">
        <f aca="false">IF(OR(B17="",C17=""),0,B17*C17*1.1^3)</f>
        <v>8507585.625</v>
      </c>
      <c r="H17" s="262" t="n">
        <f aca="false">IF(OR(B17="",C17=""),0,B17*C17*1.1^4)</f>
        <v>9358344.1875</v>
      </c>
      <c r="I17" s="263" t="n">
        <f aca="false">V17+W17+X17+Y17</f>
        <v>13.1765</v>
      </c>
      <c r="J17" s="264" t="n">
        <f aca="false">C17*I17</f>
        <v>2470593.75</v>
      </c>
      <c r="K17" s="262" t="n">
        <f aca="false">J17*1.05</f>
        <v>2594123.4375</v>
      </c>
      <c r="L17" s="262" t="n">
        <f aca="false">K17*1.05</f>
        <v>2723829.609375</v>
      </c>
      <c r="M17" s="262" t="n">
        <f aca="false">L17*1.05</f>
        <v>2860021.08984375</v>
      </c>
      <c r="N17" s="262" t="n">
        <f aca="false">M17*1.05</f>
        <v>3003022.14433594</v>
      </c>
      <c r="O17" s="115"/>
      <c r="P17" s="115"/>
      <c r="Q17" s="257"/>
      <c r="R17" s="257"/>
      <c r="S17" s="115"/>
      <c r="T17" s="266" t="n">
        <v>36</v>
      </c>
      <c r="U17" s="267" t="n">
        <v>0.5</v>
      </c>
      <c r="V17" s="268" t="n">
        <f aca="false">$D134</f>
        <v>13.1765</v>
      </c>
      <c r="W17" s="268" t="n">
        <f aca="false">V17*$B$42*IF($C$42="Y",1,0)</f>
        <v>0</v>
      </c>
      <c r="X17" s="268" t="n">
        <f aca="false">$B17*$B$43*IF($C$43="Y",1,0)</f>
        <v>0</v>
      </c>
      <c r="Y17" s="268" t="n">
        <f aca="false">$B17*$B$44*IF($C$44="Y",1,0)</f>
        <v>0</v>
      </c>
      <c r="Z17" s="268" t="n">
        <f aca="false">V17+W17+X17+Y17</f>
        <v>13.1765</v>
      </c>
    </row>
    <row r="18" s="256" customFormat="true" ht="15" hidden="false" customHeight="true" outlineLevel="0" collapsed="false">
      <c r="A18" s="269" t="s">
        <v>1577</v>
      </c>
      <c r="B18" s="270" t="n">
        <v>35.45</v>
      </c>
      <c r="C18" s="271" t="n">
        <v>62500</v>
      </c>
      <c r="D18" s="272" t="n">
        <f aca="false">IF(OR(B18="",C18=""),0,B18*C18)</f>
        <v>2215625</v>
      </c>
      <c r="E18" s="262" t="n">
        <f aca="false">IF(OR(B18="",C18=""),0,B18*C18*1.1)</f>
        <v>2437187.5</v>
      </c>
      <c r="F18" s="262" t="n">
        <f aca="false">IF(OR(B18="",C18=""),0,B18*C18*1.1^2)</f>
        <v>2680906.25</v>
      </c>
      <c r="G18" s="262" t="n">
        <f aca="false">IF(OR(B18="",C18=""),0,B18*C18*1.1^3)</f>
        <v>2948996.875</v>
      </c>
      <c r="H18" s="262" t="n">
        <f aca="false">IF(OR(B18="",C18=""),0,B18*C18*1.1^4)</f>
        <v>3243896.5625</v>
      </c>
      <c r="I18" s="263" t="n">
        <f aca="false">V18+W18+X18+Y18</f>
        <v>11.791</v>
      </c>
      <c r="J18" s="264" t="n">
        <f aca="false">C18*I18</f>
        <v>736937.5</v>
      </c>
      <c r="K18" s="262" t="n">
        <f aca="false">J18*1.05</f>
        <v>773784.375</v>
      </c>
      <c r="L18" s="262" t="n">
        <f aca="false">K18*1.05</f>
        <v>812473.59375</v>
      </c>
      <c r="M18" s="262" t="n">
        <f aca="false">L18*1.05</f>
        <v>853097.2734375</v>
      </c>
      <c r="N18" s="262" t="n">
        <f aca="false">M18*1.05</f>
        <v>895752.137109375</v>
      </c>
      <c r="O18" s="115"/>
      <c r="P18" s="115"/>
      <c r="Q18" s="257"/>
      <c r="R18" s="257"/>
      <c r="S18" s="115"/>
      <c r="T18" s="266" t="n">
        <v>42</v>
      </c>
      <c r="U18" s="267" t="n">
        <v>0.5</v>
      </c>
      <c r="V18" s="268" t="n">
        <f aca="false">$D135</f>
        <v>11.791</v>
      </c>
      <c r="W18" s="268" t="n">
        <f aca="false">V18*$B$42*IF($C$42="Y",1,0)</f>
        <v>0</v>
      </c>
      <c r="X18" s="268" t="n">
        <f aca="false">$B18*$B$43*IF($C$43="Y",1,0)</f>
        <v>0</v>
      </c>
      <c r="Y18" s="268" t="n">
        <f aca="false">$B18*$B$44*IF($C$44="Y",1,0)</f>
        <v>0</v>
      </c>
      <c r="Z18" s="268" t="n">
        <f aca="false">V18+W18+X18+Y18</f>
        <v>11.791</v>
      </c>
    </row>
    <row r="19" s="256" customFormat="true" ht="15" hidden="false" customHeight="true" outlineLevel="0" collapsed="false">
      <c r="A19" s="273" t="s">
        <v>1578</v>
      </c>
      <c r="B19" s="274" t="n">
        <v>36.82</v>
      </c>
      <c r="C19" s="275" t="n">
        <v>62500</v>
      </c>
      <c r="D19" s="276" t="n">
        <f aca="false">IF(OR(B19="",C19=""),0,B19*C19)</f>
        <v>2301250</v>
      </c>
      <c r="E19" s="277" t="n">
        <f aca="false">IF(OR(B19="",C19=""),0,B19*C19*1.1)</f>
        <v>2531375</v>
      </c>
      <c r="F19" s="277" t="n">
        <f aca="false">IF(OR(B19="",C19=""),0,B19*C19*1.1^2)</f>
        <v>2784512.5</v>
      </c>
      <c r="G19" s="277" t="n">
        <f aca="false">IF(OR(B19="",C19=""),0,B19*C19*1.1^3)</f>
        <v>3062963.75</v>
      </c>
      <c r="H19" s="277" t="n">
        <f aca="false">IF(OR(B19="",C19=""),0,B19*C19*1.1^4)</f>
        <v>3369260.125</v>
      </c>
      <c r="I19" s="278" t="n">
        <f aca="false">V19+W19+X19+Y19</f>
        <v>12.1337</v>
      </c>
      <c r="J19" s="279" t="n">
        <f aca="false">C19*I19</f>
        <v>758356.25</v>
      </c>
      <c r="K19" s="277" t="n">
        <f aca="false">J19*1.05</f>
        <v>796274.0625</v>
      </c>
      <c r="L19" s="277" t="n">
        <f aca="false">K19*1.05</f>
        <v>836087.765625</v>
      </c>
      <c r="M19" s="277" t="n">
        <f aca="false">L19*1.05</f>
        <v>877892.15390625</v>
      </c>
      <c r="N19" s="277" t="n">
        <f aca="false">M19*1.05</f>
        <v>921786.761601563</v>
      </c>
      <c r="O19" s="115"/>
      <c r="P19" s="115"/>
      <c r="Q19" s="257"/>
      <c r="R19" s="257"/>
      <c r="S19" s="115"/>
      <c r="T19" s="266" t="n">
        <v>48</v>
      </c>
      <c r="U19" s="267" t="n">
        <v>0.4</v>
      </c>
      <c r="V19" s="268" t="n">
        <f aca="false">$D136</f>
        <v>12.1337</v>
      </c>
      <c r="W19" s="268" t="n">
        <f aca="false">V19*$B$42*IF($C$42="Y",1,0)</f>
        <v>0</v>
      </c>
      <c r="X19" s="268" t="n">
        <f aca="false">$B19*$B$43*IF($C$43="Y",1,0)</f>
        <v>0</v>
      </c>
      <c r="Y19" s="268" t="n">
        <f aca="false">$B19*$B$44*IF($C$44="Y",1,0)</f>
        <v>0</v>
      </c>
      <c r="Z19" s="268" t="n">
        <f aca="false">V19+W19+X19+Y19</f>
        <v>12.1337</v>
      </c>
    </row>
    <row r="20" s="256" customFormat="true" ht="15" hidden="false" customHeight="true" outlineLevel="0" collapsed="false">
      <c r="A20" s="280" t="s">
        <v>1579</v>
      </c>
      <c r="B20" s="281"/>
      <c r="C20" s="282" t="n">
        <f aca="false">SUM(C4:C19)</f>
        <v>3125000</v>
      </c>
      <c r="D20" s="283" t="n">
        <f aca="false">SUM(D4:D19)</f>
        <v>97850937.5</v>
      </c>
      <c r="E20" s="284" t="n">
        <f aca="false">SUM(E4:E19)</f>
        <v>107636031.25</v>
      </c>
      <c r="F20" s="284" t="n">
        <f aca="false">SUM(F4:F19)</f>
        <v>118399634.375</v>
      </c>
      <c r="G20" s="284" t="n">
        <f aca="false">SUM(G4:G19)</f>
        <v>130239597.8125</v>
      </c>
      <c r="H20" s="284" t="n">
        <f aca="false">SUM(H4:H19)</f>
        <v>143263557.59375</v>
      </c>
      <c r="I20" s="277"/>
      <c r="J20" s="285" t="n">
        <f aca="false">SUM(J4:J19)</f>
        <v>43581136.1011905</v>
      </c>
      <c r="K20" s="284" t="n">
        <f aca="false">J20*1.05</f>
        <v>45760192.90625</v>
      </c>
      <c r="L20" s="284" t="n">
        <f aca="false">K20*1.05</f>
        <v>48048202.5515625</v>
      </c>
      <c r="M20" s="284" t="n">
        <f aca="false">L20*1.05</f>
        <v>50450612.6791407</v>
      </c>
      <c r="N20" s="284" t="n">
        <f aca="false">M20*1.05</f>
        <v>52973143.3130977</v>
      </c>
      <c r="O20" s="286"/>
      <c r="Q20" s="257"/>
      <c r="R20" s="257"/>
    </row>
    <row r="21" s="256" customFormat="true" ht="15" hidden="false" customHeight="true" outlineLevel="0" collapsed="false">
      <c r="A21" s="255"/>
      <c r="B21" s="255"/>
      <c r="C21" s="255"/>
      <c r="D21" s="255"/>
      <c r="E21" s="255"/>
      <c r="F21" s="255"/>
      <c r="G21" s="255"/>
      <c r="H21" s="255"/>
      <c r="I21" s="255"/>
      <c r="J21" s="287"/>
      <c r="K21" s="288"/>
      <c r="L21" s="288"/>
      <c r="M21" s="288"/>
      <c r="N21" s="288"/>
      <c r="O21" s="255"/>
      <c r="P21" s="255"/>
      <c r="Q21" s="257"/>
      <c r="R21" s="257"/>
    </row>
    <row r="22" s="253" customFormat="true" ht="29.25" hidden="false" customHeight="true" outlineLevel="0" collapsed="false">
      <c r="A22" s="245" t="s">
        <v>1542</v>
      </c>
      <c r="B22" s="246" t="s">
        <v>1543</v>
      </c>
      <c r="C22" s="246" t="s">
        <v>1544</v>
      </c>
      <c r="D22" s="246" t="s">
        <v>1545</v>
      </c>
      <c r="E22" s="247" t="s">
        <v>1546</v>
      </c>
      <c r="F22" s="247" t="s">
        <v>1547</v>
      </c>
      <c r="G22" s="247" t="s">
        <v>1548</v>
      </c>
      <c r="H22" s="248" t="s">
        <v>1549</v>
      </c>
      <c r="I22" s="249" t="s">
        <v>1550</v>
      </c>
      <c r="J22" s="250" t="s">
        <v>1551</v>
      </c>
      <c r="K22" s="250" t="s">
        <v>1552</v>
      </c>
      <c r="L22" s="250" t="s">
        <v>1553</v>
      </c>
      <c r="M22" s="250" t="s">
        <v>1554</v>
      </c>
      <c r="N22" s="251" t="s">
        <v>1555</v>
      </c>
      <c r="O22" s="115"/>
      <c r="P22" s="115"/>
      <c r="Q22" s="257"/>
      <c r="R22" s="257"/>
      <c r="S22" s="115"/>
      <c r="T22" s="252" t="s">
        <v>17</v>
      </c>
      <c r="U22" s="252" t="s">
        <v>1556</v>
      </c>
      <c r="V22" s="252" t="s">
        <v>1557</v>
      </c>
      <c r="W22" s="252" t="s">
        <v>1558</v>
      </c>
      <c r="X22" s="252" t="s">
        <v>1559</v>
      </c>
      <c r="Y22" s="252" t="s">
        <v>1560</v>
      </c>
      <c r="Z22" s="252" t="s">
        <v>1561</v>
      </c>
    </row>
    <row r="23" s="256" customFormat="true" ht="15" hidden="false" customHeight="true" outlineLevel="0" collapsed="false">
      <c r="A23" s="289" t="s">
        <v>1580</v>
      </c>
      <c r="B23" s="289"/>
      <c r="C23" s="289"/>
      <c r="D23" s="289"/>
      <c r="E23" s="289"/>
      <c r="F23" s="289"/>
      <c r="G23" s="289"/>
      <c r="H23" s="289"/>
      <c r="I23" s="289"/>
      <c r="J23" s="289"/>
      <c r="K23" s="289"/>
      <c r="L23" s="289"/>
      <c r="M23" s="289"/>
      <c r="N23" s="289"/>
      <c r="O23" s="290"/>
      <c r="P23" s="255"/>
      <c r="Q23" s="257"/>
      <c r="R23" s="257"/>
    </row>
    <row r="24" s="256" customFormat="true" ht="15" hidden="false" customHeight="true" outlineLevel="0" collapsed="false">
      <c r="A24" s="291" t="s">
        <v>1581</v>
      </c>
      <c r="B24" s="292" t="n">
        <v>53.19</v>
      </c>
      <c r="C24" s="293" t="n">
        <v>28500</v>
      </c>
      <c r="D24" s="294" t="n">
        <f aca="false">IF(OR(B24="",C24=""),0,B24*C24)</f>
        <v>1515915</v>
      </c>
      <c r="E24" s="265" t="n">
        <f aca="false">IF(OR(B24="",C24=""),0,B24*C24*1.1)</f>
        <v>1667506.5</v>
      </c>
      <c r="F24" s="265" t="n">
        <f aca="false">IF(OR(B24="",C24=""),0,B24*C24*1.1^2)</f>
        <v>1834257.15</v>
      </c>
      <c r="G24" s="265" t="n">
        <f aca="false">IF(OR(B24="",C24=""),0,B24*C24*1.1^3)</f>
        <v>2017682.865</v>
      </c>
      <c r="H24" s="265" t="n">
        <f aca="false">IF(OR(B24="",C24=""),0,B24*C24*1.1^4)</f>
        <v>2219451.1515</v>
      </c>
      <c r="I24" s="295" t="n">
        <f aca="false">V24+W24+X24+Y24</f>
        <v>38.208</v>
      </c>
      <c r="J24" s="296" t="n">
        <f aca="false">C24*I24</f>
        <v>1088928</v>
      </c>
      <c r="K24" s="265" t="n">
        <f aca="false">J24*1.05</f>
        <v>1143374.4</v>
      </c>
      <c r="L24" s="265" t="n">
        <f aca="false">K24*1.05</f>
        <v>1200543.12</v>
      </c>
      <c r="M24" s="265" t="n">
        <f aca="false">L24*1.05</f>
        <v>1260570.276</v>
      </c>
      <c r="N24" s="265" t="n">
        <f aca="false">M24*1.05</f>
        <v>1323598.7898</v>
      </c>
      <c r="O24" s="115"/>
      <c r="P24" s="115"/>
      <c r="Q24" s="257"/>
      <c r="R24" s="257"/>
      <c r="S24" s="115"/>
      <c r="T24" s="266" t="n">
        <v>1</v>
      </c>
      <c r="U24" s="267" t="n">
        <v>0</v>
      </c>
      <c r="V24" s="268" t="n">
        <f aca="false">$D138</f>
        <v>38.208</v>
      </c>
      <c r="W24" s="268" t="n">
        <f aca="false">V24*$B$42*IF($C$42="Y",1,0)</f>
        <v>0</v>
      </c>
      <c r="X24" s="268" t="n">
        <f aca="false">$B24*$B$43*IF($C$43="Y",1,0)</f>
        <v>0</v>
      </c>
      <c r="Y24" s="268" t="n">
        <f aca="false">$B24*$B$44*IF($C$44="Y",1,0)</f>
        <v>0</v>
      </c>
      <c r="Z24" s="268" t="n">
        <f aca="false">V24+W24+X24+Y24</f>
        <v>38.208</v>
      </c>
    </row>
    <row r="25" s="256" customFormat="true" ht="15" hidden="false" customHeight="true" outlineLevel="0" collapsed="false">
      <c r="A25" s="269" t="s">
        <v>1582</v>
      </c>
      <c r="B25" s="270" t="n">
        <v>45.24</v>
      </c>
      <c r="C25" s="297" t="n">
        <v>38000</v>
      </c>
      <c r="D25" s="272" t="n">
        <f aca="false">IF(OR(B25="",C25=""),0,B25*C25)</f>
        <v>1719120</v>
      </c>
      <c r="E25" s="262" t="n">
        <f aca="false">IF(OR(B25="",C25=""),0,B25*C25*1.1)</f>
        <v>1891032</v>
      </c>
      <c r="F25" s="262" t="n">
        <f aca="false">IF(OR(B25="",C25=""),0,B25*C25*1.1^2)</f>
        <v>2080135.2</v>
      </c>
      <c r="G25" s="262" t="n">
        <f aca="false">IF(OR(B25="",C25=""),0,B25*C25*1.1^3)</f>
        <v>2288148.72</v>
      </c>
      <c r="H25" s="262" t="n">
        <f aca="false">IF(OR(B25="",C25=""),0,B25*C25*1.1^4)</f>
        <v>2516963.592</v>
      </c>
      <c r="I25" s="263" t="n">
        <f aca="false">V25+W25+X25+Y25</f>
        <v>39.888</v>
      </c>
      <c r="J25" s="264" t="n">
        <f aca="false">C25*I25</f>
        <v>1515744</v>
      </c>
      <c r="K25" s="262" t="n">
        <f aca="false">J25*1.05</f>
        <v>1591531.2</v>
      </c>
      <c r="L25" s="262" t="n">
        <f aca="false">K25*1.05</f>
        <v>1671107.76</v>
      </c>
      <c r="M25" s="262" t="n">
        <f aca="false">L25*1.05</f>
        <v>1754663.148</v>
      </c>
      <c r="N25" s="298" t="n">
        <f aca="false">M25*1.05</f>
        <v>1842396.3054</v>
      </c>
      <c r="O25" s="115"/>
      <c r="P25" s="115"/>
      <c r="Q25" s="257"/>
      <c r="R25" s="257"/>
      <c r="S25" s="115"/>
      <c r="T25" s="266" t="n">
        <v>1.5</v>
      </c>
      <c r="U25" s="267" t="n">
        <v>0</v>
      </c>
      <c r="V25" s="268" t="n">
        <f aca="false">$D139</f>
        <v>39.888</v>
      </c>
      <c r="W25" s="268" t="n">
        <f aca="false">V25*$B$42*IF($C$42="Y",1,0)</f>
        <v>0</v>
      </c>
      <c r="X25" s="268" t="n">
        <f aca="false">$B25*$B$43*IF($C$43="Y",1,0)</f>
        <v>0</v>
      </c>
      <c r="Y25" s="268" t="n">
        <f aca="false">$B25*$B$44*IF($C$44="Y",1,0)</f>
        <v>0</v>
      </c>
      <c r="Z25" s="268" t="n">
        <f aca="false">V25+W25+X25+Y25</f>
        <v>39.888</v>
      </c>
    </row>
    <row r="26" s="256" customFormat="true" ht="15" hidden="false" customHeight="true" outlineLevel="0" collapsed="false">
      <c r="A26" s="269" t="s">
        <v>1583</v>
      </c>
      <c r="B26" s="270" t="n">
        <v>40.35</v>
      </c>
      <c r="C26" s="297" t="n">
        <v>66500</v>
      </c>
      <c r="D26" s="272" t="n">
        <f aca="false">IF(OR(B26="",C26=""),0,B26*C26)</f>
        <v>2683275</v>
      </c>
      <c r="E26" s="262" t="n">
        <f aca="false">IF(OR(B26="",C26=""),0,B26*C26*1.1)</f>
        <v>2951602.5</v>
      </c>
      <c r="F26" s="262" t="n">
        <f aca="false">IF(OR(B26="",C26=""),0,B26*C26*1.1^2)</f>
        <v>3246762.75</v>
      </c>
      <c r="G26" s="262" t="n">
        <f aca="false">IF(OR(B26="",C26=""),0,B26*C26*1.1^3)</f>
        <v>3571439.025</v>
      </c>
      <c r="H26" s="262" t="n">
        <f aca="false">IF(OR(B26="",C26=""),0,B26*C26*1.1^4)</f>
        <v>3928582.9275</v>
      </c>
      <c r="I26" s="263" t="n">
        <f aca="false">V26+W26+X26+Y26</f>
        <v>40.728</v>
      </c>
      <c r="J26" s="264" t="n">
        <f aca="false">C26*I26</f>
        <v>2708412</v>
      </c>
      <c r="K26" s="262" t="n">
        <f aca="false">J26*1.05</f>
        <v>2843832.6</v>
      </c>
      <c r="L26" s="262" t="n">
        <f aca="false">K26*1.05</f>
        <v>2986024.23</v>
      </c>
      <c r="M26" s="262" t="n">
        <f aca="false">L26*1.05</f>
        <v>3135325.4415</v>
      </c>
      <c r="N26" s="298" t="n">
        <f aca="false">M26*1.05</f>
        <v>3292091.713575</v>
      </c>
      <c r="O26" s="115"/>
      <c r="P26" s="115"/>
      <c r="Q26" s="257"/>
      <c r="R26" s="257"/>
      <c r="S26" s="115"/>
      <c r="T26" s="266" t="n">
        <v>2</v>
      </c>
      <c r="U26" s="267" t="n">
        <v>0</v>
      </c>
      <c r="V26" s="268" t="n">
        <f aca="false">$D140</f>
        <v>40.728</v>
      </c>
      <c r="W26" s="268" t="n">
        <f aca="false">V26*$B$42*IF($C$42="Y",1,0)</f>
        <v>0</v>
      </c>
      <c r="X26" s="268" t="n">
        <f aca="false">$B26*$B$43*IF($C$43="Y",1,0)</f>
        <v>0</v>
      </c>
      <c r="Y26" s="268" t="n">
        <f aca="false">$B26*$B$44*IF($C$44="Y",1,0)</f>
        <v>0</v>
      </c>
      <c r="Z26" s="268" t="n">
        <f aca="false">V26+W26+X26+Y26</f>
        <v>40.728</v>
      </c>
    </row>
    <row r="27" s="256" customFormat="true" ht="15" hidden="false" customHeight="true" outlineLevel="0" collapsed="false">
      <c r="A27" s="269" t="s">
        <v>1584</v>
      </c>
      <c r="B27" s="270" t="n">
        <v>35.46</v>
      </c>
      <c r="C27" s="297" t="n">
        <v>85500</v>
      </c>
      <c r="D27" s="272" t="n">
        <f aca="false">IF(OR(B27="",C27=""),0,B27*C27)</f>
        <v>3031830</v>
      </c>
      <c r="E27" s="262" t="n">
        <f aca="false">IF(OR(B27="",C27=""),0,B27*C27*1.1)</f>
        <v>3335013</v>
      </c>
      <c r="F27" s="262" t="n">
        <f aca="false">IF(OR(B27="",C27=""),0,B27*C27*1.1^2)</f>
        <v>3668514.3</v>
      </c>
      <c r="G27" s="262" t="n">
        <f aca="false">IF(OR(B27="",C27=""),0,B27*C27*1.1^3)</f>
        <v>4035365.73</v>
      </c>
      <c r="H27" s="262" t="n">
        <f aca="false">IF(OR(B27="",C27=""),0,B27*C27*1.1^4)</f>
        <v>4438902.303</v>
      </c>
      <c r="I27" s="263" t="n">
        <f aca="false">V27+W27+X27+Y27</f>
        <v>36.28</v>
      </c>
      <c r="J27" s="264" t="n">
        <f aca="false">C27*I27</f>
        <v>3101940</v>
      </c>
      <c r="K27" s="262" t="n">
        <f aca="false">J27*1.05</f>
        <v>3257037</v>
      </c>
      <c r="L27" s="262" t="n">
        <f aca="false">K27*1.05</f>
        <v>3419888.85</v>
      </c>
      <c r="M27" s="262" t="n">
        <f aca="false">L27*1.05</f>
        <v>3590883.2925</v>
      </c>
      <c r="N27" s="298" t="n">
        <f aca="false">M27*1.05</f>
        <v>3770427.457125</v>
      </c>
      <c r="O27" s="115"/>
      <c r="P27" s="115"/>
      <c r="Q27" s="257"/>
      <c r="R27" s="257"/>
      <c r="S27" s="115"/>
      <c r="T27" s="266" t="n">
        <v>3</v>
      </c>
      <c r="U27" s="267" t="n">
        <v>0</v>
      </c>
      <c r="V27" s="268" t="n">
        <f aca="false">$D141</f>
        <v>36.28</v>
      </c>
      <c r="W27" s="268" t="n">
        <f aca="false">V27*$B$42*IF($C$42="Y",1,0)</f>
        <v>0</v>
      </c>
      <c r="X27" s="268" t="n">
        <f aca="false">$B27*$B$43*IF($C$43="Y",1,0)</f>
        <v>0</v>
      </c>
      <c r="Y27" s="268" t="n">
        <f aca="false">$B27*$B$44*IF($C$44="Y",1,0)</f>
        <v>0</v>
      </c>
      <c r="Z27" s="268" t="n">
        <f aca="false">V27+W27+X27+Y27</f>
        <v>36.28</v>
      </c>
    </row>
    <row r="28" s="256" customFormat="true" ht="15" hidden="false" customHeight="true" outlineLevel="0" collapsed="false">
      <c r="A28" s="269" t="s">
        <v>1585</v>
      </c>
      <c r="B28" s="270" t="n">
        <v>32.1</v>
      </c>
      <c r="C28" s="297" t="n">
        <v>85500</v>
      </c>
      <c r="D28" s="272" t="n">
        <f aca="false">IF(OR(B28="",C28=""),0,B28*C28)</f>
        <v>2744550</v>
      </c>
      <c r="E28" s="262" t="n">
        <f aca="false">IF(OR(B28="",C28=""),0,B28*C28*1.1)</f>
        <v>3019005</v>
      </c>
      <c r="F28" s="262" t="n">
        <f aca="false">IF(OR(B28="",C28=""),0,B28*C28*1.1^2)</f>
        <v>3320905.5</v>
      </c>
      <c r="G28" s="262" t="n">
        <f aca="false">IF(OR(B28="",C28=""),0,B28*C28*1.1^3)</f>
        <v>3652996.05</v>
      </c>
      <c r="H28" s="262" t="n">
        <f aca="false">IF(OR(B28="",C28=""),0,B28*C28*1.1^4)</f>
        <v>4018295.655</v>
      </c>
      <c r="I28" s="263" t="n">
        <f aca="false">V28+W28+X28+Y28</f>
        <v>32.502</v>
      </c>
      <c r="J28" s="264" t="n">
        <f aca="false">C28*I28</f>
        <v>2778921</v>
      </c>
      <c r="K28" s="262" t="n">
        <f aca="false">J28*1.05</f>
        <v>2917867.05</v>
      </c>
      <c r="L28" s="262" t="n">
        <f aca="false">K28*1.05</f>
        <v>3063760.4025</v>
      </c>
      <c r="M28" s="262" t="n">
        <f aca="false">L28*1.05</f>
        <v>3216948.422625</v>
      </c>
      <c r="N28" s="298" t="n">
        <f aca="false">M28*1.05</f>
        <v>3377795.84375625</v>
      </c>
      <c r="O28" s="115"/>
      <c r="P28" s="115"/>
      <c r="Q28" s="257"/>
      <c r="R28" s="257"/>
      <c r="S28" s="115"/>
      <c r="T28" s="266" t="n">
        <v>4</v>
      </c>
      <c r="U28" s="267" t="n">
        <v>0</v>
      </c>
      <c r="V28" s="268" t="n">
        <f aca="false">$D142</f>
        <v>32.502</v>
      </c>
      <c r="W28" s="268" t="n">
        <f aca="false">V28*$B$42*IF($C$42="Y",1,0)</f>
        <v>0</v>
      </c>
      <c r="X28" s="268" t="n">
        <f aca="false">$B28*$B$43*IF($C$43="Y",1,0)</f>
        <v>0</v>
      </c>
      <c r="Y28" s="268" t="n">
        <f aca="false">$B28*$B$44*IF($C$44="Y",1,0)</f>
        <v>0</v>
      </c>
      <c r="Z28" s="268" t="n">
        <f aca="false">V28+W28+X28+Y28</f>
        <v>32.502</v>
      </c>
    </row>
    <row r="29" s="256" customFormat="true" ht="15" hidden="false" customHeight="true" outlineLevel="0" collapsed="false">
      <c r="A29" s="269" t="s">
        <v>1586</v>
      </c>
      <c r="B29" s="270" t="n">
        <v>28.74</v>
      </c>
      <c r="C29" s="297" t="n">
        <v>76000</v>
      </c>
      <c r="D29" s="272" t="n">
        <f aca="false">IF(OR(B29="",C29=""),0,B29*C29)</f>
        <v>2184240</v>
      </c>
      <c r="E29" s="262" t="n">
        <f aca="false">IF(OR(B29="",C29=""),0,B29*C29*1.1)</f>
        <v>2402664</v>
      </c>
      <c r="F29" s="262" t="n">
        <f aca="false">IF(OR(B29="",C29=""),0,B29*C29*1.1^2)</f>
        <v>2642930.4</v>
      </c>
      <c r="G29" s="262" t="n">
        <f aca="false">IF(OR(B29="",C29=""),0,B29*C29*1.1^3)</f>
        <v>2907223.44</v>
      </c>
      <c r="H29" s="262" t="n">
        <f aca="false">IF(OR(B29="",C29=""),0,B29*C29*1.1^4)</f>
        <v>3197945.784</v>
      </c>
      <c r="I29" s="263" t="n">
        <f aca="false">V29+W29+X29+Y29</f>
        <v>26.0248</v>
      </c>
      <c r="J29" s="264" t="n">
        <f aca="false">C29*I29</f>
        <v>1977884.8</v>
      </c>
      <c r="K29" s="262" t="n">
        <f aca="false">J29*1.05</f>
        <v>2076779.04</v>
      </c>
      <c r="L29" s="262" t="n">
        <f aca="false">K29*1.05</f>
        <v>2180617.992</v>
      </c>
      <c r="M29" s="262" t="n">
        <f aca="false">L29*1.05</f>
        <v>2289648.8916</v>
      </c>
      <c r="N29" s="298" t="n">
        <f aca="false">M29*1.05</f>
        <v>2404131.33618</v>
      </c>
      <c r="O29" s="115"/>
      <c r="P29" s="115"/>
      <c r="Q29" s="257"/>
      <c r="R29" s="257"/>
      <c r="S29" s="115"/>
      <c r="T29" s="266" t="n">
        <v>6</v>
      </c>
      <c r="U29" s="267" t="n">
        <v>0.2</v>
      </c>
      <c r="V29" s="268" t="n">
        <f aca="false">$D143</f>
        <v>26.0248</v>
      </c>
      <c r="W29" s="268" t="n">
        <f aca="false">V29*$B$42*IF($C$42="Y",1,0)</f>
        <v>0</v>
      </c>
      <c r="X29" s="268" t="n">
        <f aca="false">$B29*$B$43*IF($C$43="Y",1,0)</f>
        <v>0</v>
      </c>
      <c r="Y29" s="268" t="n">
        <f aca="false">$B29*$B$44*IF($C$44="Y",1,0)</f>
        <v>0</v>
      </c>
      <c r="Z29" s="268" t="n">
        <f aca="false">V29+W29+X29+Y29</f>
        <v>26.0248</v>
      </c>
    </row>
    <row r="30" s="256" customFormat="true" ht="15" hidden="false" customHeight="true" outlineLevel="0" collapsed="false">
      <c r="A30" s="269" t="s">
        <v>1587</v>
      </c>
      <c r="B30" s="270" t="n">
        <v>26.83</v>
      </c>
      <c r="C30" s="297" t="n">
        <v>47500</v>
      </c>
      <c r="D30" s="272" t="n">
        <f aca="false">IF(OR(B30="",C30=""),0,B30*C30)</f>
        <v>1274425</v>
      </c>
      <c r="E30" s="262" t="n">
        <f aca="false">IF(OR(B30="",C30=""),0,B30*C30*1.1)</f>
        <v>1401867.5</v>
      </c>
      <c r="F30" s="262" t="n">
        <f aca="false">IF(OR(B30="",C30=""),0,B30*C30*1.1^2)</f>
        <v>1542054.25</v>
      </c>
      <c r="G30" s="262" t="n">
        <f aca="false">IF(OR(B30="",C30=""),0,B30*C30*1.1^3)</f>
        <v>1696259.675</v>
      </c>
      <c r="H30" s="262" t="n">
        <f aca="false">IF(OR(B30="",C30=""),0,B30*C30*1.1^4)</f>
        <v>1865885.6425</v>
      </c>
      <c r="I30" s="263" t="n">
        <f aca="false">V30+W30+X30+Y30</f>
        <v>21.6765</v>
      </c>
      <c r="J30" s="264" t="n">
        <f aca="false">C30*I30</f>
        <v>1029633.75</v>
      </c>
      <c r="K30" s="262" t="n">
        <f aca="false">J30*1.05</f>
        <v>1081115.4375</v>
      </c>
      <c r="L30" s="262" t="n">
        <f aca="false">K30*1.05</f>
        <v>1135171.209375</v>
      </c>
      <c r="M30" s="262" t="n">
        <f aca="false">L30*1.05</f>
        <v>1191929.76984375</v>
      </c>
      <c r="N30" s="298" t="n">
        <f aca="false">M30*1.05</f>
        <v>1251526.25833594</v>
      </c>
      <c r="O30" s="115"/>
      <c r="P30" s="115"/>
      <c r="Q30" s="257"/>
      <c r="R30" s="257"/>
      <c r="S30" s="115"/>
      <c r="T30" s="266" t="n">
        <v>8</v>
      </c>
      <c r="U30" s="267" t="n">
        <v>0.5</v>
      </c>
      <c r="V30" s="268" t="n">
        <f aca="false">$D144</f>
        <v>21.6765</v>
      </c>
      <c r="W30" s="268" t="n">
        <f aca="false">V30*$B$42*IF($C$42="Y",1,0)</f>
        <v>0</v>
      </c>
      <c r="X30" s="268" t="n">
        <f aca="false">$B30*$B$43*IF($C$43="Y",1,0)</f>
        <v>0</v>
      </c>
      <c r="Y30" s="268" t="n">
        <f aca="false">$B30*$B$44*IF($C$44="Y",1,0)</f>
        <v>0</v>
      </c>
      <c r="Z30" s="268" t="n">
        <f aca="false">V30+W30+X30+Y30</f>
        <v>21.6765</v>
      </c>
    </row>
    <row r="31" s="256" customFormat="true" ht="15" hidden="false" customHeight="true" outlineLevel="0" collapsed="false">
      <c r="A31" s="269" t="s">
        <v>1588</v>
      </c>
      <c r="B31" s="270" t="n">
        <v>26.23</v>
      </c>
      <c r="C31" s="297" t="n">
        <v>23750</v>
      </c>
      <c r="D31" s="272" t="n">
        <f aca="false">IF(OR(B31="",C31=""),0,B31*C31)</f>
        <v>622962.5</v>
      </c>
      <c r="E31" s="262" t="n">
        <f aca="false">IF(OR(B31="",C31=""),0,B31*C31*1.1)</f>
        <v>685258.75</v>
      </c>
      <c r="F31" s="262" t="n">
        <f aca="false">IF(OR(B31="",C31=""),0,B31*C31*1.1^2)</f>
        <v>753784.625</v>
      </c>
      <c r="G31" s="262" t="n">
        <f aca="false">IF(OR(B31="",C31=""),0,B31*C31*1.1^3)</f>
        <v>829163.0875</v>
      </c>
      <c r="H31" s="262" t="n">
        <f aca="false">IF(OR(B31="",C31=""),0,B31*C31*1.1^4)</f>
        <v>912079.39625</v>
      </c>
      <c r="I31" s="263" t="n">
        <f aca="false">V31+W31+X31+Y31</f>
        <v>20.33784</v>
      </c>
      <c r="J31" s="264" t="n">
        <f aca="false">C31*I31</f>
        <v>483023.7</v>
      </c>
      <c r="K31" s="262" t="n">
        <f aca="false">J31*1.05</f>
        <v>507174.885</v>
      </c>
      <c r="L31" s="262" t="n">
        <f aca="false">K31*1.05</f>
        <v>532533.62925</v>
      </c>
      <c r="M31" s="262" t="n">
        <f aca="false">L31*1.05</f>
        <v>559160.3107125</v>
      </c>
      <c r="N31" s="298" t="n">
        <f aca="false">M31*1.05</f>
        <v>587118.326248125</v>
      </c>
      <c r="O31" s="115"/>
      <c r="P31" s="115"/>
      <c r="Q31" s="257"/>
      <c r="R31" s="257"/>
      <c r="S31" s="115"/>
      <c r="T31" s="266" t="n">
        <v>10</v>
      </c>
      <c r="U31" s="267" t="n">
        <v>0.6</v>
      </c>
      <c r="V31" s="268" t="n">
        <f aca="false">$D145</f>
        <v>20.33784</v>
      </c>
      <c r="W31" s="268" t="n">
        <f aca="false">V31*$B$42*IF($C$42="Y",1,0)</f>
        <v>0</v>
      </c>
      <c r="X31" s="268" t="n">
        <f aca="false">$B31*$B$43*IF($C$43="Y",1,0)</f>
        <v>0</v>
      </c>
      <c r="Y31" s="268" t="n">
        <f aca="false">$B31*$B$44*IF($C$44="Y",1,0)</f>
        <v>0</v>
      </c>
      <c r="Z31" s="268" t="n">
        <f aca="false">V31+W31+X31+Y31</f>
        <v>20.33784</v>
      </c>
    </row>
    <row r="32" s="256" customFormat="true" ht="15" hidden="false" customHeight="true" outlineLevel="0" collapsed="false">
      <c r="A32" s="269" t="s">
        <v>1589</v>
      </c>
      <c r="B32" s="270" t="n">
        <v>26.29</v>
      </c>
      <c r="C32" s="297" t="n">
        <v>14250</v>
      </c>
      <c r="D32" s="272" t="n">
        <f aca="false">IF(OR(B32="",C32=""),0,B32*C32)</f>
        <v>374632.5</v>
      </c>
      <c r="E32" s="262" t="n">
        <f aca="false">IF(OR(B32="",C32=""),0,B32*C32*1.1)</f>
        <v>412095.75</v>
      </c>
      <c r="F32" s="262" t="n">
        <f aca="false">IF(OR(B32="",C32=""),0,B32*C32*1.1^2)</f>
        <v>453305.325</v>
      </c>
      <c r="G32" s="262" t="n">
        <f aca="false">IF(OR(B32="",C32=""),0,B32*C32*1.1^3)</f>
        <v>498635.8575</v>
      </c>
      <c r="H32" s="262" t="n">
        <f aca="false">IF(OR(B32="",C32=""),0,B32*C32*1.1^4)</f>
        <v>548499.44325</v>
      </c>
      <c r="I32" s="263" t="n">
        <f aca="false">V32+W32+X32+Y32</f>
        <v>20.3312</v>
      </c>
      <c r="J32" s="264" t="n">
        <f aca="false">C32*I32</f>
        <v>289719.6</v>
      </c>
      <c r="K32" s="262" t="n">
        <f aca="false">J32*1.05</f>
        <v>304205.58</v>
      </c>
      <c r="L32" s="262" t="n">
        <f aca="false">K32*1.05</f>
        <v>319415.859</v>
      </c>
      <c r="M32" s="262" t="n">
        <f aca="false">L32*1.05</f>
        <v>335386.65195</v>
      </c>
      <c r="N32" s="298" t="n">
        <f aca="false">M32*1.05</f>
        <v>352155.9845475</v>
      </c>
      <c r="O32" s="115"/>
      <c r="P32" s="115"/>
      <c r="Q32" s="115"/>
      <c r="R32" s="115"/>
      <c r="S32" s="115"/>
      <c r="T32" s="266" t="n">
        <v>12</v>
      </c>
      <c r="U32" s="267" t="n">
        <v>0.6</v>
      </c>
      <c r="V32" s="268" t="n">
        <f aca="false">$D146</f>
        <v>20.3312</v>
      </c>
      <c r="W32" s="268" t="n">
        <f aca="false">V32*$B$42*IF($C$42="Y",1,0)</f>
        <v>0</v>
      </c>
      <c r="X32" s="268" t="n">
        <f aca="false">$B32*$B$43*IF($C$43="Y",1,0)</f>
        <v>0</v>
      </c>
      <c r="Y32" s="268" t="n">
        <f aca="false">$B32*$B$44*IF($C$44="Y",1,0)</f>
        <v>0</v>
      </c>
      <c r="Z32" s="268" t="n">
        <f aca="false">V32+W32+X32+Y32</f>
        <v>20.3312</v>
      </c>
    </row>
    <row r="33" s="256" customFormat="true" ht="15" hidden="false" customHeight="true" outlineLevel="0" collapsed="false">
      <c r="A33" s="299" t="s">
        <v>1590</v>
      </c>
      <c r="B33" s="300" t="n">
        <v>26.63</v>
      </c>
      <c r="C33" s="301" t="n">
        <v>4750</v>
      </c>
      <c r="D33" s="272" t="n">
        <f aca="false">IF(OR(B33="",C33=""),0,B33*C33)</f>
        <v>126492.5</v>
      </c>
      <c r="E33" s="262" t="n">
        <f aca="false">IF(OR(B33="",C33=""),0,B33*C33*1.1)</f>
        <v>139141.75</v>
      </c>
      <c r="F33" s="262" t="n">
        <f aca="false">IF(OR(B33="",C33=""),0,B33*C33*1.1^2)</f>
        <v>153055.925</v>
      </c>
      <c r="G33" s="262" t="n">
        <f aca="false">IF(OR(B33="",C33=""),0,B33*C33*1.1^3)</f>
        <v>168361.5175</v>
      </c>
      <c r="H33" s="262" t="n">
        <f aca="false">IF(OR(B33="",C33=""),0,B33*C33*1.1^4)</f>
        <v>185197.66925</v>
      </c>
      <c r="I33" s="263" t="n">
        <f aca="false">V33+W33+X33+Y33</f>
        <v>22.8471428571429</v>
      </c>
      <c r="J33" s="264" t="n">
        <f aca="false">C33*I33</f>
        <v>108523.928571429</v>
      </c>
      <c r="K33" s="262" t="n">
        <f aca="false">J33*1.05</f>
        <v>113950.125</v>
      </c>
      <c r="L33" s="262" t="n">
        <f aca="false">K33*1.05</f>
        <v>119647.63125</v>
      </c>
      <c r="M33" s="262" t="n">
        <f aca="false">L33*1.05</f>
        <v>125630.0128125</v>
      </c>
      <c r="N33" s="298" t="n">
        <f aca="false">M33*1.05</f>
        <v>131911.513453125</v>
      </c>
      <c r="O33" s="115"/>
      <c r="P33" s="115"/>
      <c r="Q33" s="115"/>
      <c r="R33" s="115"/>
      <c r="S33" s="115"/>
      <c r="T33" s="266" t="n">
        <v>14</v>
      </c>
      <c r="U33" s="267" t="n">
        <v>0.5</v>
      </c>
      <c r="V33" s="268" t="n">
        <f aca="false">$D147</f>
        <v>22.8471428571429</v>
      </c>
      <c r="W33" s="268" t="n">
        <f aca="false">V33*$B$42*IF($C$42="Y",1,0)</f>
        <v>0</v>
      </c>
      <c r="X33" s="268" t="n">
        <f aca="false">$B33*$B$43*IF($C$43="Y",1,0)</f>
        <v>0</v>
      </c>
      <c r="Y33" s="268" t="n">
        <f aca="false">$B33*$B$44*IF($C$44="Y",1,0)</f>
        <v>0</v>
      </c>
      <c r="Z33" s="268" t="n">
        <f aca="false">V33+W33+X33+Y33</f>
        <v>22.8471428571429</v>
      </c>
    </row>
    <row r="34" s="256" customFormat="true" ht="15" hidden="false" customHeight="true" outlineLevel="0" collapsed="false">
      <c r="A34" s="299" t="s">
        <v>1591</v>
      </c>
      <c r="B34" s="300" t="n">
        <v>26.97</v>
      </c>
      <c r="C34" s="301" t="n">
        <v>3563</v>
      </c>
      <c r="D34" s="272" t="n">
        <f aca="false">IF(OR(B34="",C34=""),0,B34*C34)</f>
        <v>96094.11</v>
      </c>
      <c r="E34" s="262" t="n">
        <f aca="false">IF(OR(B34="",C34=""),0,B34*C34*1.1)</f>
        <v>105703.521</v>
      </c>
      <c r="F34" s="262" t="n">
        <f aca="false">IF(OR(B34="",C34=""),0,B34*C34*1.1^2)</f>
        <v>116273.8731</v>
      </c>
      <c r="G34" s="262" t="n">
        <f aca="false">IF(OR(B34="",C34=""),0,B34*C34*1.1^3)</f>
        <v>127901.26041</v>
      </c>
      <c r="H34" s="262" t="n">
        <f aca="false">IF(OR(B34="",C34=""),0,B34*C34*1.1^4)</f>
        <v>140691.386451</v>
      </c>
      <c r="I34" s="263" t="n">
        <f aca="false">V34+W34+X34+Y34</f>
        <v>23.6736</v>
      </c>
      <c r="J34" s="264" t="n">
        <f aca="false">C34*I34</f>
        <v>84349.0368</v>
      </c>
      <c r="K34" s="262" t="n">
        <f aca="false">J34*1.05</f>
        <v>88566.48864</v>
      </c>
      <c r="L34" s="262" t="n">
        <f aca="false">K34*1.05</f>
        <v>92994.813072</v>
      </c>
      <c r="M34" s="262" t="n">
        <f aca="false">L34*1.05</f>
        <v>97644.5537256</v>
      </c>
      <c r="N34" s="298" t="n">
        <f aca="false">M34*1.05</f>
        <v>102526.78141188</v>
      </c>
      <c r="O34" s="115"/>
      <c r="P34" s="115"/>
      <c r="Q34" s="115"/>
      <c r="R34" s="115"/>
      <c r="S34" s="115"/>
      <c r="T34" s="266" t="n">
        <v>16</v>
      </c>
      <c r="U34" s="267" t="n">
        <v>0.4</v>
      </c>
      <c r="V34" s="268" t="n">
        <f aca="false">$D148</f>
        <v>23.6736</v>
      </c>
      <c r="W34" s="268" t="n">
        <f aca="false">V34*$B$42*IF($C$42="Y",1,0)</f>
        <v>0</v>
      </c>
      <c r="X34" s="268" t="n">
        <f aca="false">$B34*$B$43*IF($C$43="Y",1,0)</f>
        <v>0</v>
      </c>
      <c r="Y34" s="268" t="n">
        <f aca="false">$B34*$B$44*IF($C$44="Y",1,0)</f>
        <v>0</v>
      </c>
      <c r="Z34" s="268" t="n">
        <f aca="false">V34+W34+X34+Y34</f>
        <v>23.6736</v>
      </c>
    </row>
    <row r="35" s="256" customFormat="true" ht="15" hidden="false" customHeight="true" outlineLevel="0" collapsed="false">
      <c r="A35" s="281" t="s">
        <v>1592</v>
      </c>
      <c r="B35" s="278" t="n">
        <v>27.31</v>
      </c>
      <c r="C35" s="302" t="n">
        <v>1188</v>
      </c>
      <c r="D35" s="277" t="n">
        <f aca="false">IF(OR(B35="",C35=""),0,B35*C35)</f>
        <v>32444.28</v>
      </c>
      <c r="E35" s="277" t="n">
        <f aca="false">IF(OR(B35="",C35=""),0,B35*C35*1.1)</f>
        <v>35688.708</v>
      </c>
      <c r="F35" s="277" t="n">
        <f aca="false">IF(OR(B35="",C35=""),0,B35*C35*1.1^2)</f>
        <v>39257.5788</v>
      </c>
      <c r="G35" s="277" t="n">
        <f aca="false">IF(OR(B35="",C35=""),0,B35*C35*1.1^3)</f>
        <v>43183.33668</v>
      </c>
      <c r="H35" s="277" t="n">
        <f aca="false">IF(OR(B35="",C35=""),0,B35*C35*1.1^4)</f>
        <v>47501.670348</v>
      </c>
      <c r="I35" s="278" t="n">
        <f aca="false">V35+W35+X35+Y35</f>
        <v>24.3253333333333</v>
      </c>
      <c r="J35" s="279" t="n">
        <f aca="false">C35*I35</f>
        <v>28898.496</v>
      </c>
      <c r="K35" s="277" t="n">
        <f aca="false">J35*1.05</f>
        <v>30343.4208</v>
      </c>
      <c r="L35" s="277" t="n">
        <f aca="false">K35*1.05</f>
        <v>31860.59184</v>
      </c>
      <c r="M35" s="277" t="n">
        <f aca="false">L35*1.05</f>
        <v>33453.621432</v>
      </c>
      <c r="N35" s="303" t="n">
        <f aca="false">M35*1.05</f>
        <v>35126.3025036</v>
      </c>
      <c r="O35" s="115"/>
      <c r="P35" s="115"/>
      <c r="Q35" s="115"/>
      <c r="R35" s="115"/>
      <c r="S35" s="115"/>
      <c r="T35" s="266" t="n">
        <v>18</v>
      </c>
      <c r="U35" s="267" t="n">
        <v>0.3</v>
      </c>
      <c r="V35" s="268" t="n">
        <f aca="false">$D149</f>
        <v>24.3253333333333</v>
      </c>
      <c r="W35" s="268" t="n">
        <f aca="false">V35*$B$42*IF($C$42="Y",1,0)</f>
        <v>0</v>
      </c>
      <c r="X35" s="268" t="n">
        <f aca="false">$B35*$B$43*IF($C$43="Y",1,0)</f>
        <v>0</v>
      </c>
      <c r="Y35" s="268" t="n">
        <f aca="false">$B35*$B$44*IF($C$44="Y",1,0)</f>
        <v>0</v>
      </c>
      <c r="Z35" s="268" t="n">
        <f aca="false">V35+W35+X35+Y35</f>
        <v>24.3253333333333</v>
      </c>
    </row>
    <row r="36" s="256" customFormat="true" ht="15" hidden="false" customHeight="true" outlineLevel="0" collapsed="false">
      <c r="A36" s="280" t="s">
        <v>1593</v>
      </c>
      <c r="B36" s="281"/>
      <c r="C36" s="304" t="n">
        <f aca="false">SUM(C24:C35)</f>
        <v>475001</v>
      </c>
      <c r="D36" s="283" t="n">
        <f aca="false">SUM(D24:D35)</f>
        <v>16405980.89</v>
      </c>
      <c r="E36" s="284" t="n">
        <f aca="false">SUM(E24:E35)</f>
        <v>18046578.979</v>
      </c>
      <c r="F36" s="284" t="n">
        <f aca="false">SUM(F24:F35)</f>
        <v>19851236.8769</v>
      </c>
      <c r="G36" s="284" t="n">
        <f aca="false">SUM(G24:G35)</f>
        <v>21836360.56459</v>
      </c>
      <c r="H36" s="284" t="n">
        <f aca="false">SUM(H24:H35)</f>
        <v>24019996.621049</v>
      </c>
      <c r="I36" s="277"/>
      <c r="J36" s="285" t="n">
        <f aca="false">SUM(J24:J35)</f>
        <v>15195978.3113714</v>
      </c>
      <c r="K36" s="284" t="n">
        <f aca="false">J36*1.05</f>
        <v>15955777.22694</v>
      </c>
      <c r="L36" s="284" t="n">
        <f aca="false">K36*1.05</f>
        <v>16753566.088287</v>
      </c>
      <c r="M36" s="284" t="n">
        <f aca="false">L36*1.05</f>
        <v>17591244.3927014</v>
      </c>
      <c r="N36" s="284" t="n">
        <f aca="false">M36*1.05</f>
        <v>18470806.6123364</v>
      </c>
      <c r="O36" s="286"/>
    </row>
    <row r="37" s="256" customFormat="true" ht="15" hidden="false" customHeight="true" outlineLevel="0" collapsed="false">
      <c r="A37" s="255"/>
      <c r="B37" s="255"/>
      <c r="C37" s="255"/>
      <c r="D37" s="255"/>
      <c r="E37" s="255"/>
      <c r="F37" s="255"/>
      <c r="G37" s="255"/>
      <c r="H37" s="255"/>
      <c r="I37" s="255"/>
      <c r="J37" s="286"/>
      <c r="K37" s="288"/>
      <c r="L37" s="288"/>
      <c r="M37" s="288"/>
      <c r="N37" s="288"/>
      <c r="O37" s="255"/>
      <c r="P37" s="255"/>
    </row>
    <row r="38" s="256" customFormat="true" ht="15" hidden="false" customHeight="true" outlineLevel="0" collapsed="false">
      <c r="A38" s="305" t="s">
        <v>1594</v>
      </c>
      <c r="B38" s="255"/>
      <c r="C38" s="306" t="n">
        <f aca="false">C20+C36</f>
        <v>3600001</v>
      </c>
      <c r="D38" s="307" t="n">
        <f aca="false">D20+D36</f>
        <v>114256918.39</v>
      </c>
      <c r="E38" s="308" t="n">
        <f aca="false">E20+E36</f>
        <v>125682610.229</v>
      </c>
      <c r="F38" s="308" t="n">
        <f aca="false">F20+F36</f>
        <v>138250871.2519</v>
      </c>
      <c r="G38" s="308" t="n">
        <f aca="false">G20+G36</f>
        <v>152075958.37709</v>
      </c>
      <c r="H38" s="308" t="n">
        <f aca="false">H20+H36</f>
        <v>167283554.214799</v>
      </c>
      <c r="I38" s="308"/>
      <c r="J38" s="308" t="n">
        <f aca="false">J20+J36</f>
        <v>58777114.4125619</v>
      </c>
      <c r="K38" s="308" t="n">
        <f aca="false">K20+K36</f>
        <v>61715970.13319</v>
      </c>
      <c r="L38" s="308" t="n">
        <f aca="false">L20+L36</f>
        <v>64801768.6398495</v>
      </c>
      <c r="M38" s="308" t="n">
        <f aca="false">M20+M36</f>
        <v>68041857.071842</v>
      </c>
      <c r="N38" s="308" t="n">
        <f aca="false">N20+N36</f>
        <v>71443949.9254341</v>
      </c>
      <c r="O38" s="286"/>
      <c r="Q38" s="309"/>
    </row>
    <row r="39" s="256" customFormat="true" ht="21.75" hidden="false" customHeight="true" outlineLevel="0" collapsed="false">
      <c r="A39" s="310" t="s">
        <v>1595</v>
      </c>
      <c r="B39" s="310"/>
      <c r="C39" s="310"/>
      <c r="D39" s="310"/>
      <c r="E39" s="310"/>
      <c r="F39" s="310"/>
      <c r="G39" s="310"/>
      <c r="H39" s="310"/>
      <c r="I39" s="310"/>
      <c r="J39" s="310"/>
      <c r="K39" s="310"/>
      <c r="L39" s="310"/>
      <c r="M39" s="310"/>
      <c r="N39" s="310"/>
    </row>
    <row r="40" s="256" customFormat="true" ht="15" hidden="false" customHeight="true" outlineLevel="0" collapsed="false">
      <c r="A40" s="311" t="s">
        <v>1596</v>
      </c>
      <c r="B40" s="311" t="s">
        <v>486</v>
      </c>
      <c r="C40" s="311" t="s">
        <v>1597</v>
      </c>
      <c r="D40" s="311" t="s">
        <v>218</v>
      </c>
    </row>
    <row r="41" s="256" customFormat="true" ht="15" hidden="false" customHeight="true" outlineLevel="0" collapsed="false">
      <c r="A41" s="312" t="s">
        <v>1598</v>
      </c>
      <c r="B41" s="313" t="n">
        <v>60</v>
      </c>
      <c r="C41" s="314" t="s">
        <v>507</v>
      </c>
      <c r="D41" s="315" t="s">
        <v>1599</v>
      </c>
      <c r="G41" s="316" t="s">
        <v>1600</v>
      </c>
      <c r="H41" s="316"/>
      <c r="I41" s="316"/>
      <c r="J41" s="316"/>
      <c r="K41" s="316"/>
      <c r="L41" s="316"/>
      <c r="M41" s="316"/>
      <c r="N41" s="316"/>
    </row>
    <row r="42" s="256" customFormat="true" ht="15" hidden="false" customHeight="true" outlineLevel="0" collapsed="false">
      <c r="A42" s="312" t="s">
        <v>1601</v>
      </c>
      <c r="B42" s="317" t="n">
        <v>0.41</v>
      </c>
      <c r="C42" s="314" t="s">
        <v>507</v>
      </c>
      <c r="D42" s="315" t="s">
        <v>1602</v>
      </c>
      <c r="G42" s="316"/>
      <c r="H42" s="316"/>
      <c r="I42" s="316"/>
      <c r="J42" s="316"/>
      <c r="K42" s="316"/>
      <c r="L42" s="316"/>
      <c r="M42" s="316"/>
      <c r="N42" s="316"/>
    </row>
    <row r="43" s="256" customFormat="true" ht="15" hidden="false" customHeight="true" outlineLevel="0" collapsed="false">
      <c r="A43" s="312" t="s">
        <v>1603</v>
      </c>
      <c r="B43" s="317" t="n">
        <v>0.1</v>
      </c>
      <c r="C43" s="314" t="s">
        <v>507</v>
      </c>
      <c r="D43" s="315" t="s">
        <v>1604</v>
      </c>
      <c r="G43" s="316"/>
      <c r="H43" s="316"/>
      <c r="I43" s="316"/>
      <c r="J43" s="316"/>
      <c r="K43" s="316"/>
      <c r="L43" s="316"/>
      <c r="M43" s="316"/>
      <c r="N43" s="316"/>
    </row>
    <row r="44" s="256" customFormat="true" ht="15" hidden="false" customHeight="true" outlineLevel="0" collapsed="false">
      <c r="A44" s="312" t="s">
        <v>1605</v>
      </c>
      <c r="B44" s="317" t="n">
        <v>0.1</v>
      </c>
      <c r="C44" s="314" t="s">
        <v>507</v>
      </c>
      <c r="D44" s="315" t="s">
        <v>1606</v>
      </c>
    </row>
    <row r="45" s="256" customFormat="true" ht="15" hidden="false" customHeight="true" outlineLevel="0" collapsed="false">
      <c r="A45" s="312" t="s">
        <v>1607</v>
      </c>
      <c r="B45" s="317" t="n">
        <v>0.62</v>
      </c>
      <c r="C45" s="318" t="s">
        <v>1608</v>
      </c>
      <c r="D45" s="315" t="s">
        <v>1609</v>
      </c>
    </row>
    <row r="46" s="256" customFormat="true" ht="15" hidden="false" customHeight="true" outlineLevel="0" collapsed="false">
      <c r="A46" s="312" t="s">
        <v>1610</v>
      </c>
      <c r="B46" s="317" t="n">
        <v>0.37</v>
      </c>
      <c r="C46" s="318" t="s">
        <v>1608</v>
      </c>
      <c r="D46" s="315" t="s">
        <v>1609</v>
      </c>
    </row>
    <row r="47" s="256" customFormat="true" ht="15" hidden="false" customHeight="true" outlineLevel="0" collapsed="false">
      <c r="E47" s="115"/>
    </row>
    <row r="48" s="256" customFormat="true" ht="15" hidden="false" customHeight="true" outlineLevel="0" collapsed="false">
      <c r="A48" s="319" t="s">
        <v>1611</v>
      </c>
      <c r="B48" s="319"/>
      <c r="C48" s="319"/>
      <c r="D48" s="319"/>
      <c r="E48" s="115"/>
    </row>
    <row r="49" s="256" customFormat="true" ht="15" hidden="false" customHeight="true" outlineLevel="0" collapsed="false">
      <c r="A49" s="115" t="s">
        <v>1612</v>
      </c>
      <c r="B49" s="320" t="n">
        <v>0.4</v>
      </c>
      <c r="C49" s="321" t="s">
        <v>1536</v>
      </c>
      <c r="D49" s="115" t="s">
        <v>1613</v>
      </c>
      <c r="E49" s="115"/>
    </row>
    <row r="50" s="256" customFormat="true" ht="15" hidden="false" customHeight="true" outlineLevel="0" collapsed="false">
      <c r="A50" s="322" t="s">
        <v>1614</v>
      </c>
      <c r="B50" s="322"/>
      <c r="C50" s="322"/>
      <c r="D50" s="322"/>
      <c r="E50" s="115"/>
    </row>
    <row r="51" s="256" customFormat="true" ht="15" hidden="false" customHeight="true" outlineLevel="0" collapsed="false">
      <c r="B51" s="115"/>
      <c r="C51" s="115"/>
      <c r="D51" s="115"/>
      <c r="E51" s="115"/>
      <c r="F51" s="115"/>
      <c r="G51" s="115"/>
      <c r="H51" s="115"/>
      <c r="I51" s="115"/>
      <c r="J51" s="115"/>
    </row>
    <row r="52" customFormat="false" ht="24.75" hidden="false" customHeight="true" outlineLevel="1" collapsed="false">
      <c r="A52" s="323"/>
      <c r="B52" s="324"/>
      <c r="C52" s="324"/>
      <c r="D52" s="324"/>
      <c r="E52" s="324"/>
      <c r="F52" s="324"/>
      <c r="G52" s="325"/>
      <c r="H52" s="325"/>
      <c r="I52" s="325"/>
      <c r="J52" s="325"/>
      <c r="K52" s="325"/>
      <c r="L52" s="325"/>
      <c r="M52" s="325"/>
      <c r="N52" s="325"/>
      <c r="O52" s="325"/>
      <c r="P52" s="325"/>
      <c r="Q52" s="325"/>
      <c r="R52" s="325"/>
      <c r="S52" s="325"/>
      <c r="T52" s="325"/>
      <c r="U52" s="325"/>
      <c r="V52" s="325"/>
      <c r="W52" s="325"/>
      <c r="X52" s="325"/>
      <c r="Y52" s="325"/>
      <c r="Z52" s="325"/>
      <c r="AA52" s="325"/>
      <c r="AB52" s="325"/>
      <c r="AC52" s="325"/>
      <c r="AD52" s="325"/>
      <c r="AE52" s="325"/>
      <c r="AF52" s="325"/>
      <c r="AG52" s="325"/>
      <c r="AH52" s="325"/>
      <c r="AI52" s="325"/>
      <c r="AJ52" s="325"/>
      <c r="AK52" s="325"/>
      <c r="AL52" s="325"/>
      <c r="AM52" s="325"/>
      <c r="AN52" s="325"/>
      <c r="AO52" s="325"/>
      <c r="AP52" s="325"/>
      <c r="AQ52" s="325"/>
      <c r="AR52" s="325"/>
      <c r="AS52" s="325"/>
      <c r="AT52" s="325"/>
      <c r="AU52" s="325"/>
      <c r="AV52" s="325"/>
      <c r="AW52" s="325"/>
      <c r="AX52" s="325"/>
      <c r="AY52" s="325"/>
      <c r="AZ52" s="325"/>
      <c r="BA52" s="325"/>
      <c r="BB52" s="325"/>
      <c r="BC52" s="325"/>
      <c r="BD52" s="325"/>
      <c r="BE52" s="325"/>
      <c r="BF52" s="325"/>
      <c r="BG52" s="325"/>
      <c r="BH52" s="325"/>
      <c r="BI52" s="325"/>
      <c r="BJ52" s="325"/>
      <c r="BK52" s="325"/>
      <c r="BL52" s="325"/>
      <c r="BM52" s="325"/>
      <c r="BN52" s="325"/>
    </row>
    <row r="53" customFormat="false" ht="24.75" hidden="false" customHeight="true" outlineLevel="1" collapsed="false">
      <c r="A53" s="323" t="s">
        <v>1615</v>
      </c>
      <c r="B53" s="326" t="s">
        <v>1616</v>
      </c>
      <c r="C53" s="326"/>
      <c r="D53" s="327" t="s">
        <v>1617</v>
      </c>
      <c r="E53" s="327"/>
      <c r="F53" s="327" t="s">
        <v>1617</v>
      </c>
      <c r="G53" s="327"/>
      <c r="H53" s="327" t="s">
        <v>1617</v>
      </c>
      <c r="I53" s="327"/>
      <c r="J53" s="327" t="s">
        <v>1617</v>
      </c>
      <c r="K53" s="327"/>
      <c r="L53" s="327" t="s">
        <v>1617</v>
      </c>
      <c r="M53" s="327"/>
      <c r="N53" s="327" t="s">
        <v>1617</v>
      </c>
      <c r="O53" s="327"/>
      <c r="P53" s="325"/>
      <c r="Q53" s="325"/>
      <c r="R53" s="325"/>
      <c r="S53" s="325"/>
      <c r="T53" s="325"/>
      <c r="U53" s="325"/>
      <c r="V53" s="325"/>
      <c r="W53" s="325"/>
      <c r="X53" s="325"/>
      <c r="Y53" s="325"/>
      <c r="Z53" s="325"/>
      <c r="AA53" s="325"/>
      <c r="AB53" s="325"/>
      <c r="AC53" s="325"/>
      <c r="AD53" s="325"/>
      <c r="AE53" s="325"/>
      <c r="AF53" s="325"/>
      <c r="AG53" s="325"/>
      <c r="AH53" s="325"/>
      <c r="AI53" s="325"/>
      <c r="AJ53" s="325"/>
      <c r="AK53" s="325"/>
      <c r="AL53" s="325"/>
      <c r="AM53" s="325"/>
      <c r="AN53" s="325"/>
      <c r="AO53" s="325"/>
      <c r="AP53" s="325"/>
      <c r="AQ53" s="325"/>
      <c r="AR53" s="325"/>
      <c r="AS53" s="325"/>
      <c r="AT53" s="325"/>
      <c r="AU53" s="325"/>
      <c r="AV53" s="325"/>
      <c r="AW53" s="325"/>
      <c r="AX53" s="325"/>
      <c r="AY53" s="325"/>
      <c r="AZ53" s="325"/>
      <c r="BA53" s="325"/>
      <c r="BB53" s="325"/>
      <c r="BC53" s="325"/>
      <c r="BD53" s="325"/>
      <c r="BE53" s="325"/>
      <c r="BF53" s="325"/>
      <c r="BG53" s="325"/>
      <c r="BH53" s="325"/>
      <c r="BI53" s="325"/>
    </row>
    <row r="54" customFormat="false" ht="24.75" hidden="false" customHeight="true" outlineLevel="1" collapsed="false">
      <c r="A54" s="323" t="s">
        <v>1618</v>
      </c>
      <c r="F54" s="328" t="s">
        <v>1619</v>
      </c>
      <c r="G54" s="329"/>
      <c r="H54" s="328" t="s">
        <v>1620</v>
      </c>
      <c r="I54" s="329"/>
      <c r="J54" s="328" t="s">
        <v>1620</v>
      </c>
      <c r="K54" s="329"/>
      <c r="L54" s="328" t="s">
        <v>1620</v>
      </c>
      <c r="M54" s="329"/>
      <c r="N54" s="328" t="s">
        <v>1620</v>
      </c>
      <c r="O54" s="329"/>
      <c r="P54" s="330" t="s">
        <v>1620</v>
      </c>
      <c r="Q54" s="325"/>
      <c r="R54" s="330" t="s">
        <v>1620</v>
      </c>
      <c r="S54" s="325"/>
      <c r="T54" s="325"/>
      <c r="U54" s="325"/>
      <c r="V54" s="325"/>
      <c r="W54" s="325"/>
      <c r="X54" s="325"/>
      <c r="Y54" s="325"/>
      <c r="Z54" s="325"/>
      <c r="AA54" s="325"/>
      <c r="AB54" s="325"/>
      <c r="AC54" s="325"/>
      <c r="AD54" s="325"/>
      <c r="AE54" s="325"/>
      <c r="AF54" s="325"/>
      <c r="AG54" s="325"/>
      <c r="AH54" s="325"/>
      <c r="AI54" s="325"/>
      <c r="AJ54" s="325"/>
      <c r="AK54" s="325"/>
      <c r="AL54" s="325"/>
      <c r="AM54" s="325"/>
      <c r="AN54" s="325"/>
      <c r="AO54" s="325"/>
      <c r="AP54" s="325"/>
      <c r="AQ54" s="325"/>
      <c r="AR54" s="325"/>
      <c r="AS54" s="325"/>
      <c r="AT54" s="325"/>
      <c r="AU54" s="325"/>
      <c r="AV54" s="325"/>
      <c r="AW54" s="325"/>
      <c r="AX54" s="325"/>
      <c r="AY54" s="325"/>
      <c r="AZ54" s="325"/>
      <c r="BA54" s="325"/>
      <c r="BB54" s="325"/>
      <c r="BC54" s="325"/>
      <c r="BD54" s="325"/>
      <c r="BE54" s="325"/>
      <c r="BF54" s="325"/>
    </row>
    <row r="55" customFormat="false" ht="24.75" hidden="false" customHeight="true" outlineLevel="0" collapsed="false">
      <c r="A55" s="323"/>
      <c r="E55" s="244" t="n">
        <v>0.025</v>
      </c>
      <c r="F55" s="244" t="n">
        <v>0.05</v>
      </c>
      <c r="G55" s="331" t="n">
        <v>0.1</v>
      </c>
      <c r="H55" s="331" t="n">
        <v>0.15</v>
      </c>
      <c r="I55" s="331" t="n">
        <v>0.2</v>
      </c>
      <c r="J55" s="331" t="n">
        <v>0.25</v>
      </c>
      <c r="K55" s="331" t="n">
        <v>0.3</v>
      </c>
      <c r="L55" s="331" t="n">
        <v>0.35</v>
      </c>
      <c r="M55" s="331" t="n">
        <v>0.4</v>
      </c>
      <c r="N55" s="331" t="n">
        <v>0.45</v>
      </c>
      <c r="O55" s="331" t="n">
        <v>0.5</v>
      </c>
      <c r="P55" s="331" t="n">
        <v>0.55</v>
      </c>
      <c r="Q55" s="331" t="n">
        <v>0.6</v>
      </c>
      <c r="R55" s="331" t="n">
        <v>0.65</v>
      </c>
      <c r="S55" s="331" t="n">
        <v>0.7</v>
      </c>
      <c r="T55" s="331" t="n">
        <v>0.75</v>
      </c>
      <c r="U55" s="331" t="n">
        <v>0.8</v>
      </c>
      <c r="V55" s="331" t="n">
        <v>0.85</v>
      </c>
      <c r="W55" s="331" t="n">
        <v>0.9</v>
      </c>
      <c r="X55" s="331" t="n">
        <v>0.95</v>
      </c>
      <c r="Y55" s="331" t="n">
        <v>1</v>
      </c>
      <c r="AA55" s="325"/>
      <c r="AB55" s="325"/>
      <c r="AC55" s="325"/>
      <c r="AD55" s="325"/>
      <c r="AE55" s="325"/>
      <c r="AF55" s="325"/>
      <c r="AG55" s="325"/>
      <c r="AH55" s="325"/>
      <c r="AI55" s="325"/>
      <c r="AJ55" s="325"/>
      <c r="AK55" s="325"/>
      <c r="AL55" s="325"/>
      <c r="AM55" s="325"/>
      <c r="AN55" s="325"/>
      <c r="AO55" s="325"/>
      <c r="AP55" s="325"/>
      <c r="AQ55" s="325"/>
      <c r="AR55" s="325"/>
      <c r="AS55" s="325"/>
      <c r="AT55" s="325"/>
      <c r="AU55" s="325"/>
      <c r="AV55" s="325"/>
      <c r="AW55" s="325"/>
      <c r="AX55" s="325"/>
      <c r="AY55" s="325"/>
      <c r="AZ55" s="325"/>
      <c r="BA55" s="325"/>
      <c r="BB55" s="325"/>
      <c r="BC55" s="325"/>
      <c r="BD55" s="325"/>
      <c r="BE55" s="325"/>
      <c r="BF55" s="325"/>
      <c r="BG55" s="325"/>
      <c r="BH55" s="325"/>
      <c r="BI55" s="325"/>
      <c r="BJ55" s="325"/>
      <c r="BK55" s="325"/>
      <c r="BL55" s="325"/>
      <c r="BM55" s="325"/>
      <c r="BN55" s="325"/>
    </row>
    <row r="56" customFormat="false" ht="24.75" hidden="false" customHeight="true" outlineLevel="0" collapsed="false">
      <c r="A56" s="332" t="s">
        <v>1621</v>
      </c>
      <c r="B56" s="333" t="str">
        <f aca="false">'P&amp;L'!B27</f>
        <v>Month 1</v>
      </c>
      <c r="C56" s="333" t="str">
        <f aca="false">'P&amp;L'!C27</f>
        <v>Month 2</v>
      </c>
      <c r="D56" s="333" t="str">
        <f aca="false">'P&amp;L'!D27</f>
        <v>Month 3</v>
      </c>
      <c r="E56" s="333" t="str">
        <f aca="false">'P&amp;L'!E27</f>
        <v>Month 4</v>
      </c>
      <c r="F56" s="333" t="str">
        <f aca="false">'P&amp;L'!F27</f>
        <v>Month 5</v>
      </c>
      <c r="G56" s="333" t="str">
        <f aca="false">'P&amp;L'!G27</f>
        <v>Month 6</v>
      </c>
      <c r="H56" s="333" t="str">
        <f aca="false">'P&amp;L'!H27</f>
        <v>Month 7</v>
      </c>
      <c r="I56" s="333" t="str">
        <f aca="false">'P&amp;L'!I27</f>
        <v>Month 8</v>
      </c>
      <c r="J56" s="333" t="str">
        <f aca="false">'P&amp;L'!J27</f>
        <v>Month 9</v>
      </c>
      <c r="K56" s="333" t="str">
        <f aca="false">'P&amp;L'!K27</f>
        <v>Month 10</v>
      </c>
      <c r="L56" s="333" t="str">
        <f aca="false">'P&amp;L'!L27</f>
        <v>Month 11</v>
      </c>
      <c r="M56" s="333" t="str">
        <f aca="false">'P&amp;L'!M27</f>
        <v>Month 12</v>
      </c>
      <c r="N56" s="333" t="s">
        <v>1622</v>
      </c>
      <c r="O56" s="333" t="s">
        <v>1623</v>
      </c>
      <c r="P56" s="333" t="s">
        <v>1624</v>
      </c>
      <c r="Q56" s="333" t="s">
        <v>1625</v>
      </c>
      <c r="R56" s="333" t="s">
        <v>1626</v>
      </c>
      <c r="S56" s="333" t="s">
        <v>1627</v>
      </c>
      <c r="T56" s="333" t="s">
        <v>1628</v>
      </c>
      <c r="U56" s="333" t="s">
        <v>1629</v>
      </c>
      <c r="V56" s="333" t="s">
        <v>1630</v>
      </c>
      <c r="W56" s="333" t="s">
        <v>1631</v>
      </c>
      <c r="X56" s="333" t="s">
        <v>1632</v>
      </c>
      <c r="Y56" s="333" t="s">
        <v>1633</v>
      </c>
      <c r="Z56" s="333" t="s">
        <v>1634</v>
      </c>
      <c r="AA56" s="333" t="s">
        <v>1635</v>
      </c>
      <c r="AB56" s="333" t="s">
        <v>1636</v>
      </c>
      <c r="AC56" s="333" t="s">
        <v>1637</v>
      </c>
      <c r="AD56" s="333" t="s">
        <v>1638</v>
      </c>
      <c r="AE56" s="333" t="s">
        <v>1639</v>
      </c>
      <c r="AF56" s="333" t="s">
        <v>1640</v>
      </c>
      <c r="AG56" s="333" t="s">
        <v>1641</v>
      </c>
      <c r="AH56" s="333" t="s">
        <v>1642</v>
      </c>
      <c r="AI56" s="333" t="s">
        <v>1643</v>
      </c>
      <c r="AJ56" s="333" t="s">
        <v>1644</v>
      </c>
      <c r="AK56" s="333" t="s">
        <v>1645</v>
      </c>
      <c r="AL56" s="333" t="s">
        <v>1646</v>
      </c>
      <c r="AM56" s="333" t="s">
        <v>1647</v>
      </c>
      <c r="AN56" s="333" t="s">
        <v>1648</v>
      </c>
      <c r="AO56" s="333" t="s">
        <v>1649</v>
      </c>
      <c r="AP56" s="333" t="s">
        <v>1650</v>
      </c>
      <c r="AQ56" s="333" t="s">
        <v>1651</v>
      </c>
      <c r="AR56" s="333" t="s">
        <v>1652</v>
      </c>
      <c r="AS56" s="333" t="s">
        <v>1653</v>
      </c>
      <c r="AT56" s="333" t="s">
        <v>1654</v>
      </c>
      <c r="AU56" s="333" t="s">
        <v>1655</v>
      </c>
      <c r="AV56" s="333" t="s">
        <v>1656</v>
      </c>
      <c r="AW56" s="333" t="s">
        <v>1657</v>
      </c>
      <c r="AX56" s="333" t="s">
        <v>1658</v>
      </c>
      <c r="AY56" s="333" t="s">
        <v>1659</v>
      </c>
      <c r="AZ56" s="333" t="s">
        <v>1660</v>
      </c>
      <c r="BA56" s="333" t="s">
        <v>1661</v>
      </c>
      <c r="BB56" s="333" t="s">
        <v>1662</v>
      </c>
      <c r="BC56" s="333" t="s">
        <v>1663</v>
      </c>
      <c r="BD56" s="333" t="s">
        <v>1664</v>
      </c>
      <c r="BE56" s="333" t="s">
        <v>1665</v>
      </c>
      <c r="BF56" s="333" t="s">
        <v>1666</v>
      </c>
      <c r="BG56" s="333" t="s">
        <v>1667</v>
      </c>
      <c r="BH56" s="333" t="s">
        <v>1668</v>
      </c>
      <c r="BI56" s="333" t="s">
        <v>1669</v>
      </c>
      <c r="BJ56" s="333" t="str">
        <f aca="false">'P&amp;L'!BJ27</f>
        <v>Year 1</v>
      </c>
      <c r="BK56" s="333" t="str">
        <f aca="false">'P&amp;L'!BK27</f>
        <v>Year 2</v>
      </c>
      <c r="BL56" s="333" t="str">
        <f aca="false">'P&amp;L'!BL27</f>
        <v>Year 3</v>
      </c>
      <c r="BM56" s="333" t="str">
        <f aca="false">'P&amp;L'!BM27</f>
        <v>Year 4</v>
      </c>
      <c r="BN56" s="333" t="str">
        <f aca="false">'P&amp;L'!BN27</f>
        <v>Year 5</v>
      </c>
    </row>
    <row r="57" customFormat="false" ht="24.75" hidden="false" customHeight="true" outlineLevel="0" collapsed="false">
      <c r="A57" s="334" t="s">
        <v>1563</v>
      </c>
      <c r="B57" s="335"/>
      <c r="C57" s="335"/>
      <c r="D57" s="335"/>
      <c r="E57" s="336" t="n">
        <v>37.202380952381</v>
      </c>
      <c r="F57" s="336" t="n">
        <v>74.4047619047619</v>
      </c>
      <c r="G57" s="337" t="n">
        <v>148.809523809524</v>
      </c>
      <c r="H57" s="338" t="n">
        <v>223.214285714286</v>
      </c>
      <c r="I57" s="338" t="n">
        <v>297.619047619048</v>
      </c>
      <c r="J57" s="338" t="n">
        <v>372.02380952381</v>
      </c>
      <c r="K57" s="338" t="n">
        <v>446.428571428571</v>
      </c>
      <c r="L57" s="338" t="n">
        <v>520.833333333333</v>
      </c>
      <c r="M57" s="338" t="n">
        <v>595.238095238095</v>
      </c>
      <c r="N57" s="339" t="n">
        <v>669.642857142857</v>
      </c>
      <c r="O57" s="339" t="n">
        <v>744.047619047619</v>
      </c>
      <c r="P57" s="339" t="n">
        <v>818.452380952381</v>
      </c>
      <c r="Q57" s="339" t="n">
        <v>892.857142857143</v>
      </c>
      <c r="R57" s="339" t="n">
        <v>967.261904761905</v>
      </c>
      <c r="S57" s="339" t="n">
        <v>1041.66666666667</v>
      </c>
      <c r="T57" s="339" t="n">
        <v>1116.07142857143</v>
      </c>
      <c r="U57" s="339" t="n">
        <v>1190.47619047619</v>
      </c>
      <c r="V57" s="339" t="n">
        <v>1264.88095238095</v>
      </c>
      <c r="W57" s="339" t="n">
        <v>1339.28571428571</v>
      </c>
      <c r="X57" s="339" t="n">
        <v>1413.69047619048</v>
      </c>
      <c r="Y57" s="339" t="n">
        <v>1488.09523809524</v>
      </c>
      <c r="Z57" s="340" t="n">
        <v>2604.16666666667</v>
      </c>
      <c r="AA57" s="340" t="n">
        <v>2604.16666666667</v>
      </c>
      <c r="AB57" s="340" t="n">
        <v>2604.16666666667</v>
      </c>
      <c r="AC57" s="340" t="n">
        <v>2604.16666666667</v>
      </c>
      <c r="AD57" s="340" t="n">
        <v>2604.16666666667</v>
      </c>
      <c r="AE57" s="340" t="n">
        <v>2604.16666666667</v>
      </c>
      <c r="AF57" s="340" t="n">
        <v>2604.16666666667</v>
      </c>
      <c r="AG57" s="340" t="n">
        <v>2604.16666666667</v>
      </c>
      <c r="AH57" s="340" t="n">
        <v>2604.16666666667</v>
      </c>
      <c r="AI57" s="340" t="n">
        <v>2604.16666666667</v>
      </c>
      <c r="AJ57" s="340" t="n">
        <v>2604.16666666667</v>
      </c>
      <c r="AK57" s="340" t="n">
        <v>2604.16666666667</v>
      </c>
      <c r="AL57" s="341" t="n">
        <v>2604.16666666667</v>
      </c>
      <c r="AM57" s="341" t="n">
        <v>2604.16666666667</v>
      </c>
      <c r="AN57" s="341" t="n">
        <v>2604.16666666667</v>
      </c>
      <c r="AO57" s="341" t="n">
        <v>2604.16666666667</v>
      </c>
      <c r="AP57" s="341" t="n">
        <v>2604.16666666667</v>
      </c>
      <c r="AQ57" s="341" t="n">
        <v>2604.16666666667</v>
      </c>
      <c r="AR57" s="341" t="n">
        <v>2604.16666666667</v>
      </c>
      <c r="AS57" s="341" t="n">
        <v>2604.16666666667</v>
      </c>
      <c r="AT57" s="341" t="n">
        <v>2604.16666666667</v>
      </c>
      <c r="AU57" s="341" t="n">
        <v>2604.16666666667</v>
      </c>
      <c r="AV57" s="341" t="n">
        <v>2604.16666666667</v>
      </c>
      <c r="AW57" s="341" t="n">
        <v>2604.16666666667</v>
      </c>
      <c r="AX57" s="342" t="n">
        <v>2604.16666666667</v>
      </c>
      <c r="AY57" s="342" t="n">
        <v>2604.16666666667</v>
      </c>
      <c r="AZ57" s="342" t="n">
        <v>2604.16666666667</v>
      </c>
      <c r="BA57" s="342" t="n">
        <v>2604.16666666667</v>
      </c>
      <c r="BB57" s="342" t="n">
        <v>2604.16666666667</v>
      </c>
      <c r="BC57" s="342" t="n">
        <v>2604.16666666667</v>
      </c>
      <c r="BD57" s="342" t="n">
        <v>2604.16666666667</v>
      </c>
      <c r="BE57" s="342" t="n">
        <v>2604.16666666667</v>
      </c>
      <c r="BF57" s="342" t="n">
        <v>2604.16666666667</v>
      </c>
      <c r="BG57" s="342" t="n">
        <v>2604.16666666667</v>
      </c>
      <c r="BH57" s="342" t="n">
        <v>2604.16666666667</v>
      </c>
      <c r="BI57" s="342" t="n">
        <v>2604.16666666667</v>
      </c>
      <c r="BJ57" s="343" t="n">
        <f aca="false">SUM(E57:M57)</f>
        <v>2715.77380952381</v>
      </c>
      <c r="BK57" s="343" t="n">
        <f aca="false">SUM(N57:Y57)</f>
        <v>12946.4285714286</v>
      </c>
      <c r="BL57" s="343" t="n">
        <f aca="false">SUM(AL57:AW57)</f>
        <v>31250</v>
      </c>
      <c r="BM57" s="343" t="n">
        <f aca="false">SUM(AL57:AW57)</f>
        <v>31250</v>
      </c>
      <c r="BN57" s="343" t="n">
        <f aca="false">SUM(AX57:BI57)</f>
        <v>31250</v>
      </c>
    </row>
    <row r="58" customFormat="false" ht="24.75" hidden="false" customHeight="true" outlineLevel="0" collapsed="false">
      <c r="A58" s="334" t="s">
        <v>1564</v>
      </c>
      <c r="B58" s="344"/>
      <c r="C58" s="344"/>
      <c r="D58" s="344"/>
      <c r="E58" s="345" t="n">
        <v>37.202380952381</v>
      </c>
      <c r="F58" s="345" t="n">
        <v>74.4047619047619</v>
      </c>
      <c r="G58" s="346" t="n">
        <v>148.809523809524</v>
      </c>
      <c r="H58" s="347" t="n">
        <v>223.214285714286</v>
      </c>
      <c r="I58" s="347" t="n">
        <v>297.619047619048</v>
      </c>
      <c r="J58" s="347" t="n">
        <v>372.02380952381</v>
      </c>
      <c r="K58" s="347" t="n">
        <v>446.428571428571</v>
      </c>
      <c r="L58" s="347" t="n">
        <v>520.833333333333</v>
      </c>
      <c r="M58" s="347" t="n">
        <v>595.238095238095</v>
      </c>
      <c r="N58" s="348" t="n">
        <v>669.642857142857</v>
      </c>
      <c r="O58" s="348" t="n">
        <v>744.047619047619</v>
      </c>
      <c r="P58" s="348" t="n">
        <v>818.452380952381</v>
      </c>
      <c r="Q58" s="348" t="n">
        <v>892.857142857143</v>
      </c>
      <c r="R58" s="348" t="n">
        <v>967.261904761905</v>
      </c>
      <c r="S58" s="348" t="n">
        <v>1041.66666666667</v>
      </c>
      <c r="T58" s="348" t="n">
        <v>1116.07142857143</v>
      </c>
      <c r="U58" s="348" t="n">
        <v>1190.47619047619</v>
      </c>
      <c r="V58" s="348" t="n">
        <v>1264.88095238095</v>
      </c>
      <c r="W58" s="348" t="n">
        <v>1339.28571428571</v>
      </c>
      <c r="X58" s="348" t="n">
        <v>1413.69047619048</v>
      </c>
      <c r="Y58" s="348" t="n">
        <v>1488.09523809524</v>
      </c>
      <c r="Z58" s="349" t="n">
        <v>2604.16666666667</v>
      </c>
      <c r="AA58" s="349" t="n">
        <v>2604.16666666667</v>
      </c>
      <c r="AB58" s="349" t="n">
        <v>2604.16666666667</v>
      </c>
      <c r="AC58" s="349" t="n">
        <v>2604.16666666667</v>
      </c>
      <c r="AD58" s="349" t="n">
        <v>2604.16666666667</v>
      </c>
      <c r="AE58" s="349" t="n">
        <v>2604.16666666667</v>
      </c>
      <c r="AF58" s="349" t="n">
        <v>2604.16666666667</v>
      </c>
      <c r="AG58" s="349" t="n">
        <v>2604.16666666667</v>
      </c>
      <c r="AH58" s="349" t="n">
        <v>2604.16666666667</v>
      </c>
      <c r="AI58" s="349" t="n">
        <v>2604.16666666667</v>
      </c>
      <c r="AJ58" s="349" t="n">
        <v>2604.16666666667</v>
      </c>
      <c r="AK58" s="349" t="n">
        <v>2604.16666666667</v>
      </c>
      <c r="AL58" s="350" t="n">
        <v>2604.16666666667</v>
      </c>
      <c r="AM58" s="350" t="n">
        <v>2604.16666666667</v>
      </c>
      <c r="AN58" s="350" t="n">
        <v>2604.16666666667</v>
      </c>
      <c r="AO58" s="350" t="n">
        <v>2604.16666666667</v>
      </c>
      <c r="AP58" s="350" t="n">
        <v>2604.16666666667</v>
      </c>
      <c r="AQ58" s="350" t="n">
        <v>2604.16666666667</v>
      </c>
      <c r="AR58" s="350" t="n">
        <v>2604.16666666667</v>
      </c>
      <c r="AS58" s="350" t="n">
        <v>2604.16666666667</v>
      </c>
      <c r="AT58" s="350" t="n">
        <v>2604.16666666667</v>
      </c>
      <c r="AU58" s="350" t="n">
        <v>2604.16666666667</v>
      </c>
      <c r="AV58" s="350" t="n">
        <v>2604.16666666667</v>
      </c>
      <c r="AW58" s="350" t="n">
        <v>2604.16666666667</v>
      </c>
      <c r="AX58" s="351" t="n">
        <v>2604.16666666667</v>
      </c>
      <c r="AY58" s="351" t="n">
        <v>2604.16666666667</v>
      </c>
      <c r="AZ58" s="351" t="n">
        <v>2604.16666666667</v>
      </c>
      <c r="BA58" s="351" t="n">
        <v>2604.16666666667</v>
      </c>
      <c r="BB58" s="351" t="n">
        <v>2604.16666666667</v>
      </c>
      <c r="BC58" s="351" t="n">
        <v>2604.16666666667</v>
      </c>
      <c r="BD58" s="351" t="n">
        <v>2604.16666666667</v>
      </c>
      <c r="BE58" s="351" t="n">
        <v>2604.16666666667</v>
      </c>
      <c r="BF58" s="351" t="n">
        <v>2604.16666666667</v>
      </c>
      <c r="BG58" s="351" t="n">
        <v>2604.16666666667</v>
      </c>
      <c r="BH58" s="351" t="n">
        <v>2604.16666666667</v>
      </c>
      <c r="BI58" s="351" t="n">
        <v>2604.16666666667</v>
      </c>
      <c r="BJ58" s="352" t="n">
        <f aca="false">SUM(E58:M58)</f>
        <v>2715.77380952381</v>
      </c>
      <c r="BK58" s="352" t="n">
        <f aca="false">SUM(N58:Y58)</f>
        <v>12946.4285714286</v>
      </c>
      <c r="BL58" s="352" t="n">
        <f aca="false">SUM(AL58:AW58)</f>
        <v>31250</v>
      </c>
      <c r="BM58" s="352" t="n">
        <f aca="false">SUM(AL58:AW58)</f>
        <v>31250</v>
      </c>
      <c r="BN58" s="352" t="n">
        <f aca="false">SUM(AX58:BI58)</f>
        <v>31250</v>
      </c>
    </row>
    <row r="59" customFormat="false" ht="24.75" hidden="false" customHeight="true" outlineLevel="0" collapsed="false">
      <c r="A59" s="334" t="s">
        <v>1565</v>
      </c>
      <c r="B59" s="344"/>
      <c r="C59" s="344"/>
      <c r="D59" s="344"/>
      <c r="E59" s="345" t="n">
        <v>111.607142857143</v>
      </c>
      <c r="F59" s="345" t="n">
        <v>223.214285714286</v>
      </c>
      <c r="G59" s="346" t="n">
        <v>446.428571428572</v>
      </c>
      <c r="H59" s="347" t="n">
        <v>669.642857142857</v>
      </c>
      <c r="I59" s="347" t="n">
        <v>892.857142857143</v>
      </c>
      <c r="J59" s="347" t="n">
        <v>1116.07142857143</v>
      </c>
      <c r="K59" s="347" t="n">
        <v>1339.28571428571</v>
      </c>
      <c r="L59" s="347" t="n">
        <v>1562.5</v>
      </c>
      <c r="M59" s="347" t="n">
        <v>1785.71428571429</v>
      </c>
      <c r="N59" s="348" t="n">
        <v>2008.92857142857</v>
      </c>
      <c r="O59" s="348" t="n">
        <v>2232.14285714286</v>
      </c>
      <c r="P59" s="348" t="n">
        <v>2455.35714285714</v>
      </c>
      <c r="Q59" s="348" t="n">
        <v>2678.57142857143</v>
      </c>
      <c r="R59" s="348" t="n">
        <v>2901.78571428572</v>
      </c>
      <c r="S59" s="348" t="n">
        <v>3125</v>
      </c>
      <c r="T59" s="348" t="n">
        <v>3348.21428571429</v>
      </c>
      <c r="U59" s="348" t="n">
        <v>3571.42857142857</v>
      </c>
      <c r="V59" s="348" t="n">
        <v>3794.64285714286</v>
      </c>
      <c r="W59" s="348" t="n">
        <v>4017.85714285714</v>
      </c>
      <c r="X59" s="348" t="n">
        <v>4241.07142857143</v>
      </c>
      <c r="Y59" s="348" t="n">
        <v>4464.28571428572</v>
      </c>
      <c r="Z59" s="349" t="n">
        <v>7812.5</v>
      </c>
      <c r="AA59" s="349" t="n">
        <v>7812.5</v>
      </c>
      <c r="AB59" s="349" t="n">
        <v>7812.5</v>
      </c>
      <c r="AC59" s="349" t="n">
        <v>7812.5</v>
      </c>
      <c r="AD59" s="349" t="n">
        <v>7812.5</v>
      </c>
      <c r="AE59" s="349" t="n">
        <v>7812.5</v>
      </c>
      <c r="AF59" s="349" t="n">
        <v>7812.5</v>
      </c>
      <c r="AG59" s="349" t="n">
        <v>7812.5</v>
      </c>
      <c r="AH59" s="349" t="n">
        <v>7812.5</v>
      </c>
      <c r="AI59" s="349" t="n">
        <v>7812.5</v>
      </c>
      <c r="AJ59" s="349" t="n">
        <v>7812.5</v>
      </c>
      <c r="AK59" s="349" t="n">
        <v>7812.5</v>
      </c>
      <c r="AL59" s="350" t="n">
        <v>7812.5</v>
      </c>
      <c r="AM59" s="350" t="n">
        <v>7812.5</v>
      </c>
      <c r="AN59" s="350" t="n">
        <v>7812.5</v>
      </c>
      <c r="AO59" s="350" t="n">
        <v>7812.5</v>
      </c>
      <c r="AP59" s="350" t="n">
        <v>7812.5</v>
      </c>
      <c r="AQ59" s="350" t="n">
        <v>7812.5</v>
      </c>
      <c r="AR59" s="350" t="n">
        <v>7812.5</v>
      </c>
      <c r="AS59" s="350" t="n">
        <v>7812.5</v>
      </c>
      <c r="AT59" s="350" t="n">
        <v>7812.5</v>
      </c>
      <c r="AU59" s="350" t="n">
        <v>7812.5</v>
      </c>
      <c r="AV59" s="350" t="n">
        <v>7812.5</v>
      </c>
      <c r="AW59" s="350" t="n">
        <v>7812.5</v>
      </c>
      <c r="AX59" s="351" t="n">
        <v>7812.5</v>
      </c>
      <c r="AY59" s="351" t="n">
        <v>7812.5</v>
      </c>
      <c r="AZ59" s="351" t="n">
        <v>7812.5</v>
      </c>
      <c r="BA59" s="351" t="n">
        <v>7812.5</v>
      </c>
      <c r="BB59" s="351" t="n">
        <v>7812.5</v>
      </c>
      <c r="BC59" s="351" t="n">
        <v>7812.5</v>
      </c>
      <c r="BD59" s="351" t="n">
        <v>7812.5</v>
      </c>
      <c r="BE59" s="351" t="n">
        <v>7812.5</v>
      </c>
      <c r="BF59" s="351" t="n">
        <v>7812.5</v>
      </c>
      <c r="BG59" s="351" t="n">
        <v>7812.5</v>
      </c>
      <c r="BH59" s="351" t="n">
        <v>7812.5</v>
      </c>
      <c r="BI59" s="351" t="n">
        <v>7812.5</v>
      </c>
      <c r="BJ59" s="352" t="n">
        <f aca="false">SUM(E59:M59)</f>
        <v>8147.32142857143</v>
      </c>
      <c r="BK59" s="352" t="n">
        <f aca="false">SUM(N59:Y59)</f>
        <v>38839.2857142857</v>
      </c>
      <c r="BL59" s="352" t="n">
        <f aca="false">SUM(AL59:AW59)</f>
        <v>93750</v>
      </c>
      <c r="BM59" s="352" t="n">
        <f aca="false">SUM(AL59:AW59)</f>
        <v>93750</v>
      </c>
      <c r="BN59" s="352" t="n">
        <f aca="false">SUM(AX59:BI59)</f>
        <v>93750</v>
      </c>
    </row>
    <row r="60" customFormat="false" ht="24.75" hidden="false" customHeight="true" outlineLevel="0" collapsed="false">
      <c r="A60" s="334" t="s">
        <v>1566</v>
      </c>
      <c r="B60" s="344"/>
      <c r="C60" s="344"/>
      <c r="D60" s="344"/>
      <c r="E60" s="345" t="n">
        <v>223.214285714286</v>
      </c>
      <c r="F60" s="345" t="n">
        <v>446.428571428572</v>
      </c>
      <c r="G60" s="346" t="n">
        <v>892.857142857143</v>
      </c>
      <c r="H60" s="347" t="n">
        <v>1339.28571428571</v>
      </c>
      <c r="I60" s="347" t="n">
        <v>1785.71428571429</v>
      </c>
      <c r="J60" s="347" t="n">
        <v>2232.14285714286</v>
      </c>
      <c r="K60" s="347" t="n">
        <v>2678.57142857143</v>
      </c>
      <c r="L60" s="347" t="n">
        <v>3125</v>
      </c>
      <c r="M60" s="347" t="n">
        <v>3571.42857142857</v>
      </c>
      <c r="N60" s="348" t="n">
        <v>4017.85714285714</v>
      </c>
      <c r="O60" s="348" t="n">
        <v>4464.28571428572</v>
      </c>
      <c r="P60" s="348" t="n">
        <v>4910.71428571429</v>
      </c>
      <c r="Q60" s="348" t="n">
        <v>5357.14285714286</v>
      </c>
      <c r="R60" s="348" t="n">
        <v>5803.57142857143</v>
      </c>
      <c r="S60" s="348" t="n">
        <v>6250</v>
      </c>
      <c r="T60" s="348" t="n">
        <v>6696.42857142857</v>
      </c>
      <c r="U60" s="348" t="n">
        <v>7142.85714285714</v>
      </c>
      <c r="V60" s="348" t="n">
        <v>7589.28571428572</v>
      </c>
      <c r="W60" s="348" t="n">
        <v>8035.71428571429</v>
      </c>
      <c r="X60" s="348" t="n">
        <v>8482.14285714286</v>
      </c>
      <c r="Y60" s="348" t="n">
        <v>8928.57142857143</v>
      </c>
      <c r="Z60" s="349" t="n">
        <v>15625</v>
      </c>
      <c r="AA60" s="349" t="n">
        <v>15625</v>
      </c>
      <c r="AB60" s="349" t="n">
        <v>15625</v>
      </c>
      <c r="AC60" s="349" t="n">
        <v>15625</v>
      </c>
      <c r="AD60" s="349" t="n">
        <v>15625</v>
      </c>
      <c r="AE60" s="349" t="n">
        <v>15625</v>
      </c>
      <c r="AF60" s="349" t="n">
        <v>15625</v>
      </c>
      <c r="AG60" s="349" t="n">
        <v>15625</v>
      </c>
      <c r="AH60" s="349" t="n">
        <v>15625</v>
      </c>
      <c r="AI60" s="349" t="n">
        <v>15625</v>
      </c>
      <c r="AJ60" s="349" t="n">
        <v>15625</v>
      </c>
      <c r="AK60" s="349" t="n">
        <v>15625</v>
      </c>
      <c r="AL60" s="350" t="n">
        <v>15625</v>
      </c>
      <c r="AM60" s="350" t="n">
        <v>15625</v>
      </c>
      <c r="AN60" s="350" t="n">
        <v>15625</v>
      </c>
      <c r="AO60" s="350" t="n">
        <v>15625</v>
      </c>
      <c r="AP60" s="350" t="n">
        <v>15625</v>
      </c>
      <c r="AQ60" s="350" t="n">
        <v>15625</v>
      </c>
      <c r="AR60" s="350" t="n">
        <v>15625</v>
      </c>
      <c r="AS60" s="350" t="n">
        <v>15625</v>
      </c>
      <c r="AT60" s="350" t="n">
        <v>15625</v>
      </c>
      <c r="AU60" s="350" t="n">
        <v>15625</v>
      </c>
      <c r="AV60" s="350" t="n">
        <v>15625</v>
      </c>
      <c r="AW60" s="350" t="n">
        <v>15625</v>
      </c>
      <c r="AX60" s="351" t="n">
        <v>15625</v>
      </c>
      <c r="AY60" s="351" t="n">
        <v>15625</v>
      </c>
      <c r="AZ60" s="351" t="n">
        <v>15625</v>
      </c>
      <c r="BA60" s="351" t="n">
        <v>15625</v>
      </c>
      <c r="BB60" s="351" t="n">
        <v>15625</v>
      </c>
      <c r="BC60" s="351" t="n">
        <v>15625</v>
      </c>
      <c r="BD60" s="351" t="n">
        <v>15625</v>
      </c>
      <c r="BE60" s="351" t="n">
        <v>15625</v>
      </c>
      <c r="BF60" s="351" t="n">
        <v>15625</v>
      </c>
      <c r="BG60" s="351" t="n">
        <v>15625</v>
      </c>
      <c r="BH60" s="351" t="n">
        <v>15625</v>
      </c>
      <c r="BI60" s="351" t="n">
        <v>15625</v>
      </c>
      <c r="BJ60" s="352" t="n">
        <f aca="false">SUM(E60:M60)</f>
        <v>16294.6428571429</v>
      </c>
      <c r="BK60" s="352" t="n">
        <f aca="false">SUM(N60:Y60)</f>
        <v>77678.5714285715</v>
      </c>
      <c r="BL60" s="352" t="n">
        <f aca="false">SUM(AL60:AW60)</f>
        <v>187500</v>
      </c>
      <c r="BM60" s="352" t="n">
        <f aca="false">SUM(AL60:AW60)</f>
        <v>187500</v>
      </c>
      <c r="BN60" s="352" t="n">
        <f aca="false">SUM(AX60:BI60)</f>
        <v>187500</v>
      </c>
    </row>
    <row r="61" customFormat="false" ht="24.75" hidden="false" customHeight="true" outlineLevel="0" collapsed="false">
      <c r="A61" s="334" t="s">
        <v>1567</v>
      </c>
      <c r="B61" s="344"/>
      <c r="C61" s="344"/>
      <c r="D61" s="344"/>
      <c r="E61" s="345" t="n">
        <v>297.619047619048</v>
      </c>
      <c r="F61" s="345" t="n">
        <v>595.238095238095</v>
      </c>
      <c r="G61" s="346" t="n">
        <v>1190.47619047619</v>
      </c>
      <c r="H61" s="347" t="n">
        <v>1785.71428571429</v>
      </c>
      <c r="I61" s="347" t="n">
        <v>2380.95238095238</v>
      </c>
      <c r="J61" s="347" t="n">
        <v>2976.19047619048</v>
      </c>
      <c r="K61" s="347" t="n">
        <v>3571.42857142857</v>
      </c>
      <c r="L61" s="347" t="n">
        <v>4166.66666666667</v>
      </c>
      <c r="M61" s="347" t="n">
        <v>4761.90476190476</v>
      </c>
      <c r="N61" s="348" t="n">
        <v>5357.14285714286</v>
      </c>
      <c r="O61" s="348" t="n">
        <v>5952.38095238095</v>
      </c>
      <c r="P61" s="348" t="n">
        <v>6547.61904761905</v>
      </c>
      <c r="Q61" s="348" t="n">
        <v>7142.85714285714</v>
      </c>
      <c r="R61" s="348" t="n">
        <v>7738.09523809524</v>
      </c>
      <c r="S61" s="348" t="n">
        <v>8333.33333333333</v>
      </c>
      <c r="T61" s="348" t="n">
        <v>8928.57142857143</v>
      </c>
      <c r="U61" s="348" t="n">
        <v>9523.80952380953</v>
      </c>
      <c r="V61" s="348" t="n">
        <v>10119.0476190476</v>
      </c>
      <c r="W61" s="348" t="n">
        <v>10714.2857142857</v>
      </c>
      <c r="X61" s="348" t="n">
        <v>11309.5238095238</v>
      </c>
      <c r="Y61" s="348" t="n">
        <v>11904.7619047619</v>
      </c>
      <c r="Z61" s="349" t="n">
        <v>20833.3333333333</v>
      </c>
      <c r="AA61" s="349" t="n">
        <v>20833.3333333333</v>
      </c>
      <c r="AB61" s="349" t="n">
        <v>20833.3333333333</v>
      </c>
      <c r="AC61" s="349" t="n">
        <v>20833.3333333333</v>
      </c>
      <c r="AD61" s="349" t="n">
        <v>20833.3333333333</v>
      </c>
      <c r="AE61" s="349" t="n">
        <v>20833.3333333333</v>
      </c>
      <c r="AF61" s="349" t="n">
        <v>20833.3333333333</v>
      </c>
      <c r="AG61" s="349" t="n">
        <v>20833.3333333333</v>
      </c>
      <c r="AH61" s="349" t="n">
        <v>20833.3333333333</v>
      </c>
      <c r="AI61" s="349" t="n">
        <v>20833.3333333333</v>
      </c>
      <c r="AJ61" s="349" t="n">
        <v>20833.3333333333</v>
      </c>
      <c r="AK61" s="349" t="n">
        <v>20833.3333333333</v>
      </c>
      <c r="AL61" s="350" t="n">
        <v>20833.3333333333</v>
      </c>
      <c r="AM61" s="350" t="n">
        <v>20833.3333333333</v>
      </c>
      <c r="AN61" s="350" t="n">
        <v>20833.3333333333</v>
      </c>
      <c r="AO61" s="350" t="n">
        <v>20833.3333333333</v>
      </c>
      <c r="AP61" s="350" t="n">
        <v>20833.3333333333</v>
      </c>
      <c r="AQ61" s="350" t="n">
        <v>20833.3333333333</v>
      </c>
      <c r="AR61" s="350" t="n">
        <v>20833.3333333333</v>
      </c>
      <c r="AS61" s="350" t="n">
        <v>20833.3333333333</v>
      </c>
      <c r="AT61" s="350" t="n">
        <v>20833.3333333333</v>
      </c>
      <c r="AU61" s="350" t="n">
        <v>20833.3333333333</v>
      </c>
      <c r="AV61" s="350" t="n">
        <v>20833.3333333333</v>
      </c>
      <c r="AW61" s="350" t="n">
        <v>20833.3333333333</v>
      </c>
      <c r="AX61" s="351" t="n">
        <v>20833.3333333333</v>
      </c>
      <c r="AY61" s="351" t="n">
        <v>20833.3333333333</v>
      </c>
      <c r="AZ61" s="351" t="n">
        <v>20833.3333333333</v>
      </c>
      <c r="BA61" s="351" t="n">
        <v>20833.3333333333</v>
      </c>
      <c r="BB61" s="351" t="n">
        <v>20833.3333333333</v>
      </c>
      <c r="BC61" s="351" t="n">
        <v>20833.3333333333</v>
      </c>
      <c r="BD61" s="351" t="n">
        <v>20833.3333333333</v>
      </c>
      <c r="BE61" s="351" t="n">
        <v>20833.3333333333</v>
      </c>
      <c r="BF61" s="351" t="n">
        <v>20833.3333333333</v>
      </c>
      <c r="BG61" s="351" t="n">
        <v>20833.3333333333</v>
      </c>
      <c r="BH61" s="351" t="n">
        <v>20833.3333333333</v>
      </c>
      <c r="BI61" s="351" t="n">
        <v>20833.3333333333</v>
      </c>
      <c r="BJ61" s="352" t="n">
        <f aca="false">SUM(E61:M61)</f>
        <v>21726.1904761905</v>
      </c>
      <c r="BK61" s="352" t="n">
        <f aca="false">SUM(N61:Y61)</f>
        <v>103571.428571429</v>
      </c>
      <c r="BL61" s="352" t="n">
        <f aca="false">SUM(AL61:AW61)</f>
        <v>250000</v>
      </c>
      <c r="BM61" s="352" t="n">
        <f aca="false">SUM(AL61:AW61)</f>
        <v>250000</v>
      </c>
      <c r="BN61" s="352" t="n">
        <f aca="false">SUM(AX61:BI61)</f>
        <v>250000</v>
      </c>
    </row>
    <row r="62" customFormat="false" ht="24.75" hidden="false" customHeight="true" outlineLevel="0" collapsed="false">
      <c r="A62" s="334" t="s">
        <v>1568</v>
      </c>
      <c r="B62" s="344"/>
      <c r="C62" s="344"/>
      <c r="D62" s="344"/>
      <c r="E62" s="345" t="n">
        <v>297.619047619048</v>
      </c>
      <c r="F62" s="345" t="n">
        <v>595.238095238095</v>
      </c>
      <c r="G62" s="346" t="n">
        <v>1190.47619047619</v>
      </c>
      <c r="H62" s="347" t="n">
        <v>1785.71428571429</v>
      </c>
      <c r="I62" s="347" t="n">
        <v>2380.95238095238</v>
      </c>
      <c r="J62" s="347" t="n">
        <v>2976.19047619048</v>
      </c>
      <c r="K62" s="347" t="n">
        <v>3571.42857142857</v>
      </c>
      <c r="L62" s="347" t="n">
        <v>4166.66666666667</v>
      </c>
      <c r="M62" s="347" t="n">
        <v>4761.90476190476</v>
      </c>
      <c r="N62" s="348" t="n">
        <v>5357.14285714286</v>
      </c>
      <c r="O62" s="348" t="n">
        <v>5952.38095238095</v>
      </c>
      <c r="P62" s="348" t="n">
        <v>6547.61904761905</v>
      </c>
      <c r="Q62" s="348" t="n">
        <v>7142.85714285714</v>
      </c>
      <c r="R62" s="348" t="n">
        <v>7738.09523809524</v>
      </c>
      <c r="S62" s="348" t="n">
        <v>8333.33333333333</v>
      </c>
      <c r="T62" s="348" t="n">
        <v>8928.57142857143</v>
      </c>
      <c r="U62" s="348" t="n">
        <v>9523.80952380953</v>
      </c>
      <c r="V62" s="348" t="n">
        <v>10119.0476190476</v>
      </c>
      <c r="W62" s="348" t="n">
        <v>10714.2857142857</v>
      </c>
      <c r="X62" s="348" t="n">
        <v>11309.5238095238</v>
      </c>
      <c r="Y62" s="348" t="n">
        <v>11904.7619047619</v>
      </c>
      <c r="Z62" s="349" t="n">
        <v>20833.3333333333</v>
      </c>
      <c r="AA62" s="349" t="n">
        <v>20833.3333333333</v>
      </c>
      <c r="AB62" s="349" t="n">
        <v>20833.3333333333</v>
      </c>
      <c r="AC62" s="349" t="n">
        <v>20833.3333333333</v>
      </c>
      <c r="AD62" s="349" t="n">
        <v>20833.3333333333</v>
      </c>
      <c r="AE62" s="349" t="n">
        <v>20833.3333333333</v>
      </c>
      <c r="AF62" s="349" t="n">
        <v>20833.3333333333</v>
      </c>
      <c r="AG62" s="349" t="n">
        <v>20833.3333333333</v>
      </c>
      <c r="AH62" s="349" t="n">
        <v>20833.3333333333</v>
      </c>
      <c r="AI62" s="349" t="n">
        <v>20833.3333333333</v>
      </c>
      <c r="AJ62" s="349" t="n">
        <v>20833.3333333333</v>
      </c>
      <c r="AK62" s="349" t="n">
        <v>20833.3333333333</v>
      </c>
      <c r="AL62" s="350" t="n">
        <v>20833.3333333333</v>
      </c>
      <c r="AM62" s="350" t="n">
        <v>20833.3333333333</v>
      </c>
      <c r="AN62" s="350" t="n">
        <v>20833.3333333333</v>
      </c>
      <c r="AO62" s="350" t="n">
        <v>20833.3333333333</v>
      </c>
      <c r="AP62" s="350" t="n">
        <v>20833.3333333333</v>
      </c>
      <c r="AQ62" s="350" t="n">
        <v>20833.3333333333</v>
      </c>
      <c r="AR62" s="350" t="n">
        <v>20833.3333333333</v>
      </c>
      <c r="AS62" s="350" t="n">
        <v>20833.3333333333</v>
      </c>
      <c r="AT62" s="350" t="n">
        <v>20833.3333333333</v>
      </c>
      <c r="AU62" s="350" t="n">
        <v>20833.3333333333</v>
      </c>
      <c r="AV62" s="350" t="n">
        <v>20833.3333333333</v>
      </c>
      <c r="AW62" s="350" t="n">
        <v>20833.3333333333</v>
      </c>
      <c r="AX62" s="351" t="n">
        <v>20833.3333333333</v>
      </c>
      <c r="AY62" s="351" t="n">
        <v>20833.3333333333</v>
      </c>
      <c r="AZ62" s="351" t="n">
        <v>20833.3333333333</v>
      </c>
      <c r="BA62" s="351" t="n">
        <v>20833.3333333333</v>
      </c>
      <c r="BB62" s="351" t="n">
        <v>20833.3333333333</v>
      </c>
      <c r="BC62" s="351" t="n">
        <v>20833.3333333333</v>
      </c>
      <c r="BD62" s="351" t="n">
        <v>20833.3333333333</v>
      </c>
      <c r="BE62" s="351" t="n">
        <v>20833.3333333333</v>
      </c>
      <c r="BF62" s="351" t="n">
        <v>20833.3333333333</v>
      </c>
      <c r="BG62" s="351" t="n">
        <v>20833.3333333333</v>
      </c>
      <c r="BH62" s="351" t="n">
        <v>20833.3333333333</v>
      </c>
      <c r="BI62" s="351" t="n">
        <v>20833.3333333333</v>
      </c>
      <c r="BJ62" s="352" t="n">
        <f aca="false">SUM(E62:M62)</f>
        <v>21726.1904761905</v>
      </c>
      <c r="BK62" s="352" t="n">
        <f aca="false">SUM(N62:Y62)</f>
        <v>103571.428571429</v>
      </c>
      <c r="BL62" s="352" t="n">
        <f aca="false">SUM(AL62:AW62)</f>
        <v>250000</v>
      </c>
      <c r="BM62" s="352" t="n">
        <f aca="false">SUM(AL62:AW62)</f>
        <v>250000</v>
      </c>
      <c r="BN62" s="352" t="n">
        <f aca="false">SUM(AX62:BI62)</f>
        <v>250000</v>
      </c>
    </row>
    <row r="63" customFormat="false" ht="24.75" hidden="false" customHeight="true" outlineLevel="0" collapsed="false">
      <c r="A63" s="334" t="s">
        <v>1569</v>
      </c>
      <c r="B63" s="344"/>
      <c r="C63" s="344"/>
      <c r="D63" s="344"/>
      <c r="E63" s="345" t="n">
        <v>372.02380952381</v>
      </c>
      <c r="F63" s="345" t="n">
        <v>744.047619047619</v>
      </c>
      <c r="G63" s="346" t="n">
        <v>1488.09523809524</v>
      </c>
      <c r="H63" s="347" t="n">
        <v>2232.14285714286</v>
      </c>
      <c r="I63" s="347" t="n">
        <v>2976.19047619048</v>
      </c>
      <c r="J63" s="347" t="n">
        <v>3720.2380952381</v>
      </c>
      <c r="K63" s="347" t="n">
        <v>4464.28571428572</v>
      </c>
      <c r="L63" s="347" t="n">
        <v>5208.33333333333</v>
      </c>
      <c r="M63" s="347" t="n">
        <v>5952.38095238095</v>
      </c>
      <c r="N63" s="348" t="n">
        <v>6696.42857142857</v>
      </c>
      <c r="O63" s="348" t="n">
        <v>7440.47619047619</v>
      </c>
      <c r="P63" s="348" t="n">
        <v>8184.52380952381</v>
      </c>
      <c r="Q63" s="348" t="n">
        <v>8928.57142857143</v>
      </c>
      <c r="R63" s="348" t="n">
        <v>9672.61904761905</v>
      </c>
      <c r="S63" s="348" t="n">
        <v>10416.6666666667</v>
      </c>
      <c r="T63" s="348" t="n">
        <v>11160.7142857143</v>
      </c>
      <c r="U63" s="348" t="n">
        <v>11904.7619047619</v>
      </c>
      <c r="V63" s="348" t="n">
        <v>12648.8095238095</v>
      </c>
      <c r="W63" s="348" t="n">
        <v>13392.8571428571</v>
      </c>
      <c r="X63" s="348" t="n">
        <v>14136.9047619048</v>
      </c>
      <c r="Y63" s="348" t="n">
        <v>14880.9523809524</v>
      </c>
      <c r="Z63" s="349" t="n">
        <v>26041.6666666667</v>
      </c>
      <c r="AA63" s="349" t="n">
        <v>26041.6666666667</v>
      </c>
      <c r="AB63" s="349" t="n">
        <v>26041.6666666667</v>
      </c>
      <c r="AC63" s="349" t="n">
        <v>26041.6666666667</v>
      </c>
      <c r="AD63" s="349" t="n">
        <v>26041.6666666667</v>
      </c>
      <c r="AE63" s="349" t="n">
        <v>26041.6666666667</v>
      </c>
      <c r="AF63" s="349" t="n">
        <v>26041.6666666667</v>
      </c>
      <c r="AG63" s="349" t="n">
        <v>26041.6666666667</v>
      </c>
      <c r="AH63" s="349" t="n">
        <v>26041.6666666667</v>
      </c>
      <c r="AI63" s="349" t="n">
        <v>26041.6666666667</v>
      </c>
      <c r="AJ63" s="349" t="n">
        <v>26041.6666666667</v>
      </c>
      <c r="AK63" s="349" t="n">
        <v>26041.6666666667</v>
      </c>
      <c r="AL63" s="350" t="n">
        <v>26041.6666666667</v>
      </c>
      <c r="AM63" s="350" t="n">
        <v>26041.6666666667</v>
      </c>
      <c r="AN63" s="350" t="n">
        <v>26041.6666666667</v>
      </c>
      <c r="AO63" s="350" t="n">
        <v>26041.6666666667</v>
      </c>
      <c r="AP63" s="350" t="n">
        <v>26041.6666666667</v>
      </c>
      <c r="AQ63" s="350" t="n">
        <v>26041.6666666667</v>
      </c>
      <c r="AR63" s="350" t="n">
        <v>26041.6666666667</v>
      </c>
      <c r="AS63" s="350" t="n">
        <v>26041.6666666667</v>
      </c>
      <c r="AT63" s="350" t="n">
        <v>26041.6666666667</v>
      </c>
      <c r="AU63" s="350" t="n">
        <v>26041.6666666667</v>
      </c>
      <c r="AV63" s="350" t="n">
        <v>26041.6666666667</v>
      </c>
      <c r="AW63" s="350" t="n">
        <v>26041.6666666667</v>
      </c>
      <c r="AX63" s="351" t="n">
        <v>26041.6666666667</v>
      </c>
      <c r="AY63" s="351" t="n">
        <v>26041.6666666667</v>
      </c>
      <c r="AZ63" s="351" t="n">
        <v>26041.6666666667</v>
      </c>
      <c r="BA63" s="351" t="n">
        <v>26041.6666666667</v>
      </c>
      <c r="BB63" s="351" t="n">
        <v>26041.6666666667</v>
      </c>
      <c r="BC63" s="351" t="n">
        <v>26041.6666666667</v>
      </c>
      <c r="BD63" s="351" t="n">
        <v>26041.6666666667</v>
      </c>
      <c r="BE63" s="351" t="n">
        <v>26041.6666666667</v>
      </c>
      <c r="BF63" s="351" t="n">
        <v>26041.6666666667</v>
      </c>
      <c r="BG63" s="351" t="n">
        <v>26041.6666666667</v>
      </c>
      <c r="BH63" s="351" t="n">
        <v>26041.6666666667</v>
      </c>
      <c r="BI63" s="351" t="n">
        <v>26041.6666666667</v>
      </c>
      <c r="BJ63" s="352" t="n">
        <f aca="false">SUM(E63:M63)</f>
        <v>27157.7380952381</v>
      </c>
      <c r="BK63" s="352" t="n">
        <f aca="false">SUM(N63:Y63)</f>
        <v>129464.285714286</v>
      </c>
      <c r="BL63" s="352" t="n">
        <f aca="false">SUM(AL63:AW63)</f>
        <v>312500</v>
      </c>
      <c r="BM63" s="352" t="n">
        <f aca="false">SUM(AL63:AW63)</f>
        <v>312500</v>
      </c>
      <c r="BN63" s="352" t="n">
        <f aca="false">SUM(AX63:BI63)</f>
        <v>312500</v>
      </c>
    </row>
    <row r="64" customFormat="false" ht="24.75" hidden="false" customHeight="true" outlineLevel="0" collapsed="false">
      <c r="A64" s="334" t="s">
        <v>1570</v>
      </c>
      <c r="B64" s="344"/>
      <c r="C64" s="344"/>
      <c r="D64" s="344"/>
      <c r="E64" s="345" t="n">
        <v>297.619047619048</v>
      </c>
      <c r="F64" s="345" t="n">
        <v>595.238095238095</v>
      </c>
      <c r="G64" s="346" t="n">
        <v>1190.47619047619</v>
      </c>
      <c r="H64" s="347" t="n">
        <v>1785.71428571429</v>
      </c>
      <c r="I64" s="347" t="n">
        <v>2380.95238095238</v>
      </c>
      <c r="J64" s="347" t="n">
        <v>2976.19047619048</v>
      </c>
      <c r="K64" s="347" t="n">
        <v>3571.42857142857</v>
      </c>
      <c r="L64" s="347" t="n">
        <v>4166.66666666667</v>
      </c>
      <c r="M64" s="347" t="n">
        <v>4761.90476190476</v>
      </c>
      <c r="N64" s="348" t="n">
        <v>5357.14285714286</v>
      </c>
      <c r="O64" s="348" t="n">
        <v>5952.38095238095</v>
      </c>
      <c r="P64" s="348" t="n">
        <v>6547.61904761905</v>
      </c>
      <c r="Q64" s="348" t="n">
        <v>7142.85714285714</v>
      </c>
      <c r="R64" s="348" t="n">
        <v>7738.09523809524</v>
      </c>
      <c r="S64" s="348" t="n">
        <v>8333.33333333333</v>
      </c>
      <c r="T64" s="348" t="n">
        <v>8928.57142857143</v>
      </c>
      <c r="U64" s="348" t="n">
        <v>9523.80952380953</v>
      </c>
      <c r="V64" s="348" t="n">
        <v>10119.0476190476</v>
      </c>
      <c r="W64" s="348" t="n">
        <v>10714.2857142857</v>
      </c>
      <c r="X64" s="348" t="n">
        <v>11309.5238095238</v>
      </c>
      <c r="Y64" s="348" t="n">
        <v>11904.7619047619</v>
      </c>
      <c r="Z64" s="349" t="n">
        <v>20833.3333333333</v>
      </c>
      <c r="AA64" s="349" t="n">
        <v>20833.3333333333</v>
      </c>
      <c r="AB64" s="349" t="n">
        <v>20833.3333333333</v>
      </c>
      <c r="AC64" s="349" t="n">
        <v>20833.3333333333</v>
      </c>
      <c r="AD64" s="349" t="n">
        <v>20833.3333333333</v>
      </c>
      <c r="AE64" s="349" t="n">
        <v>20833.3333333333</v>
      </c>
      <c r="AF64" s="349" t="n">
        <v>20833.3333333333</v>
      </c>
      <c r="AG64" s="349" t="n">
        <v>20833.3333333333</v>
      </c>
      <c r="AH64" s="349" t="n">
        <v>20833.3333333333</v>
      </c>
      <c r="AI64" s="349" t="n">
        <v>20833.3333333333</v>
      </c>
      <c r="AJ64" s="349" t="n">
        <v>20833.3333333333</v>
      </c>
      <c r="AK64" s="349" t="n">
        <v>20833.3333333333</v>
      </c>
      <c r="AL64" s="350" t="n">
        <v>20833.3333333333</v>
      </c>
      <c r="AM64" s="350" t="n">
        <v>20833.3333333333</v>
      </c>
      <c r="AN64" s="350" t="n">
        <v>20833.3333333333</v>
      </c>
      <c r="AO64" s="350" t="n">
        <v>20833.3333333333</v>
      </c>
      <c r="AP64" s="350" t="n">
        <v>20833.3333333333</v>
      </c>
      <c r="AQ64" s="350" t="n">
        <v>20833.3333333333</v>
      </c>
      <c r="AR64" s="350" t="n">
        <v>20833.3333333333</v>
      </c>
      <c r="AS64" s="350" t="n">
        <v>20833.3333333333</v>
      </c>
      <c r="AT64" s="350" t="n">
        <v>20833.3333333333</v>
      </c>
      <c r="AU64" s="350" t="n">
        <v>20833.3333333333</v>
      </c>
      <c r="AV64" s="350" t="n">
        <v>20833.3333333333</v>
      </c>
      <c r="AW64" s="350" t="n">
        <v>20833.3333333333</v>
      </c>
      <c r="AX64" s="351" t="n">
        <v>20833.3333333333</v>
      </c>
      <c r="AY64" s="351" t="n">
        <v>20833.3333333333</v>
      </c>
      <c r="AZ64" s="351" t="n">
        <v>20833.3333333333</v>
      </c>
      <c r="BA64" s="351" t="n">
        <v>20833.3333333333</v>
      </c>
      <c r="BB64" s="351" t="n">
        <v>20833.3333333333</v>
      </c>
      <c r="BC64" s="351" t="n">
        <v>20833.3333333333</v>
      </c>
      <c r="BD64" s="351" t="n">
        <v>20833.3333333333</v>
      </c>
      <c r="BE64" s="351" t="n">
        <v>20833.3333333333</v>
      </c>
      <c r="BF64" s="351" t="n">
        <v>20833.3333333333</v>
      </c>
      <c r="BG64" s="351" t="n">
        <v>20833.3333333333</v>
      </c>
      <c r="BH64" s="351" t="n">
        <v>20833.3333333333</v>
      </c>
      <c r="BI64" s="351" t="n">
        <v>20833.3333333333</v>
      </c>
      <c r="BJ64" s="352" t="n">
        <f aca="false">SUM(E64:M64)</f>
        <v>21726.1904761905</v>
      </c>
      <c r="BK64" s="352" t="n">
        <f aca="false">SUM(N64:Y64)</f>
        <v>103571.428571429</v>
      </c>
      <c r="BL64" s="352" t="n">
        <f aca="false">SUM(AL64:AW64)</f>
        <v>250000</v>
      </c>
      <c r="BM64" s="352" t="n">
        <f aca="false">SUM(AL64:AW64)</f>
        <v>250000</v>
      </c>
      <c r="BN64" s="352" t="n">
        <f aca="false">SUM(AX64:BI64)</f>
        <v>250000</v>
      </c>
    </row>
    <row r="65" customFormat="false" ht="24.75" hidden="false" customHeight="true" outlineLevel="0" collapsed="false">
      <c r="A65" s="334" t="s">
        <v>1571</v>
      </c>
      <c r="B65" s="344"/>
      <c r="C65" s="344"/>
      <c r="D65" s="344"/>
      <c r="E65" s="345" t="n">
        <v>334.821428571429</v>
      </c>
      <c r="F65" s="345" t="n">
        <v>669.642857142857</v>
      </c>
      <c r="G65" s="346" t="n">
        <v>1339.28571428571</v>
      </c>
      <c r="H65" s="347" t="n">
        <v>2008.92857142857</v>
      </c>
      <c r="I65" s="347" t="n">
        <v>2678.57142857143</v>
      </c>
      <c r="J65" s="347" t="n">
        <v>3348.21428571429</v>
      </c>
      <c r="K65" s="347" t="n">
        <v>4017.85714285714</v>
      </c>
      <c r="L65" s="347" t="n">
        <v>4687.5</v>
      </c>
      <c r="M65" s="347" t="n">
        <v>5357.14285714286</v>
      </c>
      <c r="N65" s="348" t="n">
        <v>6026.78571428572</v>
      </c>
      <c r="O65" s="348" t="n">
        <v>6696.42857142857</v>
      </c>
      <c r="P65" s="348" t="n">
        <v>7366.07142857143</v>
      </c>
      <c r="Q65" s="348" t="n">
        <v>8035.71428571429</v>
      </c>
      <c r="R65" s="348" t="n">
        <v>8705.35714285714</v>
      </c>
      <c r="S65" s="348" t="n">
        <v>9375</v>
      </c>
      <c r="T65" s="348" t="n">
        <v>10044.6428571429</v>
      </c>
      <c r="U65" s="348" t="n">
        <v>10714.2857142857</v>
      </c>
      <c r="V65" s="348" t="n">
        <v>11383.9285714286</v>
      </c>
      <c r="W65" s="348" t="n">
        <v>12053.5714285714</v>
      </c>
      <c r="X65" s="348" t="n">
        <v>12723.2142857143</v>
      </c>
      <c r="Y65" s="348" t="n">
        <v>13392.8571428571</v>
      </c>
      <c r="Z65" s="349" t="n">
        <v>23437.5</v>
      </c>
      <c r="AA65" s="349" t="n">
        <v>23437.5</v>
      </c>
      <c r="AB65" s="349" t="n">
        <v>23437.5</v>
      </c>
      <c r="AC65" s="349" t="n">
        <v>23437.5</v>
      </c>
      <c r="AD65" s="349" t="n">
        <v>23437.5</v>
      </c>
      <c r="AE65" s="349" t="n">
        <v>23437.5</v>
      </c>
      <c r="AF65" s="349" t="n">
        <v>23437.5</v>
      </c>
      <c r="AG65" s="349" t="n">
        <v>23437.5</v>
      </c>
      <c r="AH65" s="349" t="n">
        <v>23437.5</v>
      </c>
      <c r="AI65" s="349" t="n">
        <v>23437.5</v>
      </c>
      <c r="AJ65" s="349" t="n">
        <v>23437.5</v>
      </c>
      <c r="AK65" s="349" t="n">
        <v>23437.5</v>
      </c>
      <c r="AL65" s="350" t="n">
        <v>23437.5</v>
      </c>
      <c r="AM65" s="350" t="n">
        <v>23437.5</v>
      </c>
      <c r="AN65" s="350" t="n">
        <v>23437.5</v>
      </c>
      <c r="AO65" s="350" t="n">
        <v>23437.5</v>
      </c>
      <c r="AP65" s="350" t="n">
        <v>23437.5</v>
      </c>
      <c r="AQ65" s="350" t="n">
        <v>23437.5</v>
      </c>
      <c r="AR65" s="350" t="n">
        <v>23437.5</v>
      </c>
      <c r="AS65" s="350" t="n">
        <v>23437.5</v>
      </c>
      <c r="AT65" s="350" t="n">
        <v>23437.5</v>
      </c>
      <c r="AU65" s="350" t="n">
        <v>23437.5</v>
      </c>
      <c r="AV65" s="350" t="n">
        <v>23437.5</v>
      </c>
      <c r="AW65" s="350" t="n">
        <v>23437.5</v>
      </c>
      <c r="AX65" s="351" t="n">
        <v>23437.5</v>
      </c>
      <c r="AY65" s="351" t="n">
        <v>23437.5</v>
      </c>
      <c r="AZ65" s="351" t="n">
        <v>23437.5</v>
      </c>
      <c r="BA65" s="351" t="n">
        <v>23437.5</v>
      </c>
      <c r="BB65" s="351" t="n">
        <v>23437.5</v>
      </c>
      <c r="BC65" s="351" t="n">
        <v>23437.5</v>
      </c>
      <c r="BD65" s="351" t="n">
        <v>23437.5</v>
      </c>
      <c r="BE65" s="351" t="n">
        <v>23437.5</v>
      </c>
      <c r="BF65" s="351" t="n">
        <v>23437.5</v>
      </c>
      <c r="BG65" s="351" t="n">
        <v>23437.5</v>
      </c>
      <c r="BH65" s="351" t="n">
        <v>23437.5</v>
      </c>
      <c r="BI65" s="351" t="n">
        <v>23437.5</v>
      </c>
      <c r="BJ65" s="352" t="n">
        <f aca="false">SUM(E65:M65)</f>
        <v>24441.9642857143</v>
      </c>
      <c r="BK65" s="352" t="n">
        <f aca="false">SUM(N65:Y65)</f>
        <v>116517.857142857</v>
      </c>
      <c r="BL65" s="352" t="n">
        <f aca="false">SUM(AL65:AW65)</f>
        <v>281250</v>
      </c>
      <c r="BM65" s="352" t="n">
        <f aca="false">SUM(AL65:AW65)</f>
        <v>281250</v>
      </c>
      <c r="BN65" s="352" t="n">
        <f aca="false">SUM(AX65:BI65)</f>
        <v>281250</v>
      </c>
    </row>
    <row r="66" customFormat="false" ht="24.75" hidden="false" customHeight="true" outlineLevel="0" collapsed="false">
      <c r="A66" s="334" t="s">
        <v>1572</v>
      </c>
      <c r="B66" s="344"/>
      <c r="C66" s="344"/>
      <c r="D66" s="344"/>
      <c r="E66" s="345" t="n">
        <v>260.416666666667</v>
      </c>
      <c r="F66" s="345" t="n">
        <v>520.833333333333</v>
      </c>
      <c r="G66" s="346" t="n">
        <v>1041.66666666667</v>
      </c>
      <c r="H66" s="347" t="n">
        <v>1562.5</v>
      </c>
      <c r="I66" s="347" t="n">
        <v>2083.33333333333</v>
      </c>
      <c r="J66" s="347" t="n">
        <v>2604.16666666667</v>
      </c>
      <c r="K66" s="347" t="n">
        <v>3125</v>
      </c>
      <c r="L66" s="347" t="n">
        <v>3645.83333333333</v>
      </c>
      <c r="M66" s="347" t="n">
        <v>4166.66666666667</v>
      </c>
      <c r="N66" s="348" t="n">
        <v>4687.5</v>
      </c>
      <c r="O66" s="348" t="n">
        <v>5208.33333333333</v>
      </c>
      <c r="P66" s="348" t="n">
        <v>5729.16666666667</v>
      </c>
      <c r="Q66" s="348" t="n">
        <v>6250</v>
      </c>
      <c r="R66" s="348" t="n">
        <v>6770.83333333333</v>
      </c>
      <c r="S66" s="348" t="n">
        <v>7291.66666666667</v>
      </c>
      <c r="T66" s="348" t="n">
        <v>7812.5</v>
      </c>
      <c r="U66" s="348" t="n">
        <v>8333.33333333333</v>
      </c>
      <c r="V66" s="348" t="n">
        <v>8854.16666666667</v>
      </c>
      <c r="W66" s="348" t="n">
        <v>9375</v>
      </c>
      <c r="X66" s="348" t="n">
        <v>9895.83333333333</v>
      </c>
      <c r="Y66" s="348" t="n">
        <v>10416.6666666667</v>
      </c>
      <c r="Z66" s="349" t="n">
        <v>18229.1666666667</v>
      </c>
      <c r="AA66" s="349" t="n">
        <v>18229.1666666667</v>
      </c>
      <c r="AB66" s="349" t="n">
        <v>18229.1666666667</v>
      </c>
      <c r="AC66" s="349" t="n">
        <v>18229.1666666667</v>
      </c>
      <c r="AD66" s="349" t="n">
        <v>18229.1666666667</v>
      </c>
      <c r="AE66" s="349" t="n">
        <v>18229.1666666667</v>
      </c>
      <c r="AF66" s="349" t="n">
        <v>18229.1666666667</v>
      </c>
      <c r="AG66" s="349" t="n">
        <v>18229.1666666667</v>
      </c>
      <c r="AH66" s="349" t="n">
        <v>18229.1666666667</v>
      </c>
      <c r="AI66" s="349" t="n">
        <v>18229.1666666667</v>
      </c>
      <c r="AJ66" s="349" t="n">
        <v>18229.1666666667</v>
      </c>
      <c r="AK66" s="349" t="n">
        <v>18229.1666666667</v>
      </c>
      <c r="AL66" s="350" t="n">
        <v>18229.1666666667</v>
      </c>
      <c r="AM66" s="350" t="n">
        <v>18229.1666666667</v>
      </c>
      <c r="AN66" s="350" t="n">
        <v>18229.1666666667</v>
      </c>
      <c r="AO66" s="350" t="n">
        <v>18229.1666666667</v>
      </c>
      <c r="AP66" s="350" t="n">
        <v>18229.1666666667</v>
      </c>
      <c r="AQ66" s="350" t="n">
        <v>18229.1666666667</v>
      </c>
      <c r="AR66" s="350" t="n">
        <v>18229.1666666667</v>
      </c>
      <c r="AS66" s="350" t="n">
        <v>18229.1666666667</v>
      </c>
      <c r="AT66" s="350" t="n">
        <v>18229.1666666667</v>
      </c>
      <c r="AU66" s="350" t="n">
        <v>18229.1666666667</v>
      </c>
      <c r="AV66" s="350" t="n">
        <v>18229.1666666667</v>
      </c>
      <c r="AW66" s="350" t="n">
        <v>18229.1666666667</v>
      </c>
      <c r="AX66" s="351" t="n">
        <v>18229.1666666667</v>
      </c>
      <c r="AY66" s="351" t="n">
        <v>18229.1666666667</v>
      </c>
      <c r="AZ66" s="351" t="n">
        <v>18229.1666666667</v>
      </c>
      <c r="BA66" s="351" t="n">
        <v>18229.1666666667</v>
      </c>
      <c r="BB66" s="351" t="n">
        <v>18229.1666666667</v>
      </c>
      <c r="BC66" s="351" t="n">
        <v>18229.1666666667</v>
      </c>
      <c r="BD66" s="351" t="n">
        <v>18229.1666666667</v>
      </c>
      <c r="BE66" s="351" t="n">
        <v>18229.1666666667</v>
      </c>
      <c r="BF66" s="351" t="n">
        <v>18229.1666666667</v>
      </c>
      <c r="BG66" s="351" t="n">
        <v>18229.1666666667</v>
      </c>
      <c r="BH66" s="351" t="n">
        <v>18229.1666666667</v>
      </c>
      <c r="BI66" s="351" t="n">
        <v>18229.1666666667</v>
      </c>
      <c r="BJ66" s="352" t="n">
        <f aca="false">SUM(E66:M66)</f>
        <v>19010.4166666667</v>
      </c>
      <c r="BK66" s="352" t="n">
        <f aca="false">SUM(N66:Y66)</f>
        <v>90625</v>
      </c>
      <c r="BL66" s="352" t="n">
        <f aca="false">SUM(AL66:AW66)</f>
        <v>218750</v>
      </c>
      <c r="BM66" s="352" t="n">
        <f aca="false">SUM(AL66:AW66)</f>
        <v>218750</v>
      </c>
      <c r="BN66" s="352" t="n">
        <f aca="false">SUM(AX66:BI66)</f>
        <v>218750</v>
      </c>
    </row>
    <row r="67" customFormat="false" ht="24.75" hidden="false" customHeight="true" outlineLevel="0" collapsed="false">
      <c r="A67" s="334" t="s">
        <v>1573</v>
      </c>
      <c r="B67" s="344"/>
      <c r="C67" s="344"/>
      <c r="D67" s="344"/>
      <c r="E67" s="345" t="n">
        <v>297.619047619048</v>
      </c>
      <c r="F67" s="345" t="n">
        <v>595.238095238095</v>
      </c>
      <c r="G67" s="346" t="n">
        <v>1190.47619047619</v>
      </c>
      <c r="H67" s="347" t="n">
        <v>1785.71428571429</v>
      </c>
      <c r="I67" s="347" t="n">
        <v>2380.95238095238</v>
      </c>
      <c r="J67" s="347" t="n">
        <v>2976.19047619048</v>
      </c>
      <c r="K67" s="347" t="n">
        <v>3571.42857142857</v>
      </c>
      <c r="L67" s="347" t="n">
        <v>4166.66666666667</v>
      </c>
      <c r="M67" s="347" t="n">
        <v>4761.90476190476</v>
      </c>
      <c r="N67" s="348" t="n">
        <v>5357.14285714286</v>
      </c>
      <c r="O67" s="348" t="n">
        <v>5952.38095238095</v>
      </c>
      <c r="P67" s="348" t="n">
        <v>6547.61904761905</v>
      </c>
      <c r="Q67" s="348" t="n">
        <v>7142.85714285714</v>
      </c>
      <c r="R67" s="348" t="n">
        <v>7738.09523809524</v>
      </c>
      <c r="S67" s="348" t="n">
        <v>8333.33333333333</v>
      </c>
      <c r="T67" s="348" t="n">
        <v>8928.57142857143</v>
      </c>
      <c r="U67" s="348" t="n">
        <v>9523.80952380953</v>
      </c>
      <c r="V67" s="348" t="n">
        <v>10119.0476190476</v>
      </c>
      <c r="W67" s="348" t="n">
        <v>10714.2857142857</v>
      </c>
      <c r="X67" s="348" t="n">
        <v>11309.5238095238</v>
      </c>
      <c r="Y67" s="348" t="n">
        <v>11904.7619047619</v>
      </c>
      <c r="Z67" s="349" t="n">
        <v>20833.3333333333</v>
      </c>
      <c r="AA67" s="349" t="n">
        <v>20833.3333333333</v>
      </c>
      <c r="AB67" s="349" t="n">
        <v>20833.3333333333</v>
      </c>
      <c r="AC67" s="349" t="n">
        <v>20833.3333333333</v>
      </c>
      <c r="AD67" s="349" t="n">
        <v>20833.3333333333</v>
      </c>
      <c r="AE67" s="349" t="n">
        <v>20833.3333333333</v>
      </c>
      <c r="AF67" s="349" t="n">
        <v>20833.3333333333</v>
      </c>
      <c r="AG67" s="349" t="n">
        <v>20833.3333333333</v>
      </c>
      <c r="AH67" s="349" t="n">
        <v>20833.3333333333</v>
      </c>
      <c r="AI67" s="349" t="n">
        <v>20833.3333333333</v>
      </c>
      <c r="AJ67" s="349" t="n">
        <v>20833.3333333333</v>
      </c>
      <c r="AK67" s="349" t="n">
        <v>20833.3333333333</v>
      </c>
      <c r="AL67" s="350" t="n">
        <v>20833.3333333333</v>
      </c>
      <c r="AM67" s="350" t="n">
        <v>20833.3333333333</v>
      </c>
      <c r="AN67" s="350" t="n">
        <v>20833.3333333333</v>
      </c>
      <c r="AO67" s="350" t="n">
        <v>20833.3333333333</v>
      </c>
      <c r="AP67" s="350" t="n">
        <v>20833.3333333333</v>
      </c>
      <c r="AQ67" s="350" t="n">
        <v>20833.3333333333</v>
      </c>
      <c r="AR67" s="350" t="n">
        <v>20833.3333333333</v>
      </c>
      <c r="AS67" s="350" t="n">
        <v>20833.3333333333</v>
      </c>
      <c r="AT67" s="350" t="n">
        <v>20833.3333333333</v>
      </c>
      <c r="AU67" s="350" t="n">
        <v>20833.3333333333</v>
      </c>
      <c r="AV67" s="350" t="n">
        <v>20833.3333333333</v>
      </c>
      <c r="AW67" s="350" t="n">
        <v>20833.3333333333</v>
      </c>
      <c r="AX67" s="351" t="n">
        <v>20833.3333333333</v>
      </c>
      <c r="AY67" s="351" t="n">
        <v>20833.3333333333</v>
      </c>
      <c r="AZ67" s="351" t="n">
        <v>20833.3333333333</v>
      </c>
      <c r="BA67" s="351" t="n">
        <v>20833.3333333333</v>
      </c>
      <c r="BB67" s="351" t="n">
        <v>20833.3333333333</v>
      </c>
      <c r="BC67" s="351" t="n">
        <v>20833.3333333333</v>
      </c>
      <c r="BD67" s="351" t="n">
        <v>20833.3333333333</v>
      </c>
      <c r="BE67" s="351" t="n">
        <v>20833.3333333333</v>
      </c>
      <c r="BF67" s="351" t="n">
        <v>20833.3333333333</v>
      </c>
      <c r="BG67" s="351" t="n">
        <v>20833.3333333333</v>
      </c>
      <c r="BH67" s="351" t="n">
        <v>20833.3333333333</v>
      </c>
      <c r="BI67" s="351" t="n">
        <v>20833.3333333333</v>
      </c>
      <c r="BJ67" s="352" t="n">
        <f aca="false">SUM(E67:M67)</f>
        <v>21726.1904761905</v>
      </c>
      <c r="BK67" s="352" t="n">
        <f aca="false">SUM(N67:Y67)</f>
        <v>103571.428571429</v>
      </c>
      <c r="BL67" s="352" t="n">
        <f aca="false">SUM(AL67:AW67)</f>
        <v>250000</v>
      </c>
      <c r="BM67" s="352" t="n">
        <f aca="false">SUM(AL67:AW67)</f>
        <v>250000</v>
      </c>
      <c r="BN67" s="352" t="n">
        <f aca="false">SUM(AX67:BI67)</f>
        <v>250000</v>
      </c>
    </row>
    <row r="68" customFormat="false" ht="24.75" hidden="false" customHeight="true" outlineLevel="0" collapsed="false">
      <c r="A68" s="334" t="s">
        <v>1574</v>
      </c>
      <c r="B68" s="344"/>
      <c r="C68" s="344"/>
      <c r="D68" s="344"/>
      <c r="E68" s="345" t="n">
        <v>483.630952380952</v>
      </c>
      <c r="F68" s="345" t="n">
        <v>967.261904761905</v>
      </c>
      <c r="G68" s="346" t="n">
        <v>1934.52380952381</v>
      </c>
      <c r="H68" s="347" t="n">
        <v>2901.78571428571</v>
      </c>
      <c r="I68" s="347" t="n">
        <v>3869.04761904762</v>
      </c>
      <c r="J68" s="347" t="n">
        <v>4836.30952380952</v>
      </c>
      <c r="K68" s="347" t="n">
        <v>5803.57142857143</v>
      </c>
      <c r="L68" s="347" t="n">
        <v>6770.83333333333</v>
      </c>
      <c r="M68" s="347" t="n">
        <v>7738.09523809524</v>
      </c>
      <c r="N68" s="348" t="n">
        <v>8705.35714285714</v>
      </c>
      <c r="O68" s="348" t="n">
        <v>9672.61904761905</v>
      </c>
      <c r="P68" s="348" t="n">
        <v>10639.880952381</v>
      </c>
      <c r="Q68" s="348" t="n">
        <v>11607.1428571429</v>
      </c>
      <c r="R68" s="348" t="n">
        <v>12574.4047619048</v>
      </c>
      <c r="S68" s="348" t="n">
        <v>13541.6666666667</v>
      </c>
      <c r="T68" s="348" t="n">
        <v>14508.9285714286</v>
      </c>
      <c r="U68" s="348" t="n">
        <v>15476.1904761905</v>
      </c>
      <c r="V68" s="348" t="n">
        <v>16443.4523809524</v>
      </c>
      <c r="W68" s="348" t="n">
        <v>17410.7142857143</v>
      </c>
      <c r="X68" s="348" t="n">
        <v>18377.9761904762</v>
      </c>
      <c r="Y68" s="348" t="n">
        <v>19345.2380952381</v>
      </c>
      <c r="Z68" s="349" t="n">
        <v>33854.1666666667</v>
      </c>
      <c r="AA68" s="349" t="n">
        <v>33854.1666666667</v>
      </c>
      <c r="AB68" s="349" t="n">
        <v>33854.1666666667</v>
      </c>
      <c r="AC68" s="349" t="n">
        <v>33854.1666666667</v>
      </c>
      <c r="AD68" s="349" t="n">
        <v>33854.1666666667</v>
      </c>
      <c r="AE68" s="349" t="n">
        <v>33854.1666666667</v>
      </c>
      <c r="AF68" s="349" t="n">
        <v>33854.1666666667</v>
      </c>
      <c r="AG68" s="349" t="n">
        <v>33854.1666666667</v>
      </c>
      <c r="AH68" s="349" t="n">
        <v>33854.1666666667</v>
      </c>
      <c r="AI68" s="349" t="n">
        <v>33854.1666666667</v>
      </c>
      <c r="AJ68" s="349" t="n">
        <v>33854.1666666667</v>
      </c>
      <c r="AK68" s="349" t="n">
        <v>33854.1666666667</v>
      </c>
      <c r="AL68" s="350" t="n">
        <v>33854.1666666667</v>
      </c>
      <c r="AM68" s="350" t="n">
        <v>33854.1666666667</v>
      </c>
      <c r="AN68" s="350" t="n">
        <v>33854.1666666667</v>
      </c>
      <c r="AO68" s="350" t="n">
        <v>33854.1666666667</v>
      </c>
      <c r="AP68" s="350" t="n">
        <v>33854.1666666667</v>
      </c>
      <c r="AQ68" s="350" t="n">
        <v>33854.1666666667</v>
      </c>
      <c r="AR68" s="350" t="n">
        <v>33854.1666666667</v>
      </c>
      <c r="AS68" s="350" t="n">
        <v>33854.1666666667</v>
      </c>
      <c r="AT68" s="350" t="n">
        <v>33854.1666666667</v>
      </c>
      <c r="AU68" s="350" t="n">
        <v>33854.1666666667</v>
      </c>
      <c r="AV68" s="350" t="n">
        <v>33854.1666666667</v>
      </c>
      <c r="AW68" s="350" t="n">
        <v>33854.1666666667</v>
      </c>
      <c r="AX68" s="351" t="n">
        <v>33854.1666666667</v>
      </c>
      <c r="AY68" s="351" t="n">
        <v>33854.1666666667</v>
      </c>
      <c r="AZ68" s="351" t="n">
        <v>33854.1666666667</v>
      </c>
      <c r="BA68" s="351" t="n">
        <v>33854.1666666667</v>
      </c>
      <c r="BB68" s="351" t="n">
        <v>33854.1666666667</v>
      </c>
      <c r="BC68" s="351" t="n">
        <v>33854.1666666667</v>
      </c>
      <c r="BD68" s="351" t="n">
        <v>33854.1666666667</v>
      </c>
      <c r="BE68" s="351" t="n">
        <v>33854.1666666667</v>
      </c>
      <c r="BF68" s="351" t="n">
        <v>33854.1666666667</v>
      </c>
      <c r="BG68" s="351" t="n">
        <v>33854.1666666667</v>
      </c>
      <c r="BH68" s="351" t="n">
        <v>33854.1666666667</v>
      </c>
      <c r="BI68" s="351" t="n">
        <v>33854.1666666667</v>
      </c>
      <c r="BJ68" s="352" t="n">
        <f aca="false">SUM(E68:M68)</f>
        <v>35305.0595238095</v>
      </c>
      <c r="BK68" s="352" t="n">
        <f aca="false">SUM(N68:Y68)</f>
        <v>168303.571428572</v>
      </c>
      <c r="BL68" s="352" t="n">
        <f aca="false">SUM(AL68:AW68)</f>
        <v>406250</v>
      </c>
      <c r="BM68" s="352" t="n">
        <f aca="false">SUM(AL68:AW68)</f>
        <v>406250</v>
      </c>
      <c r="BN68" s="352" t="n">
        <f aca="false">SUM(AX68:BI68)</f>
        <v>406250</v>
      </c>
    </row>
    <row r="69" customFormat="false" ht="24.75" hidden="false" customHeight="true" outlineLevel="0" collapsed="false">
      <c r="A69" s="334" t="s">
        <v>1575</v>
      </c>
      <c r="B69" s="344"/>
      <c r="C69" s="344"/>
      <c r="D69" s="344"/>
      <c r="E69" s="345" t="n">
        <v>297.619047619048</v>
      </c>
      <c r="F69" s="345" t="n">
        <v>595.238095238095</v>
      </c>
      <c r="G69" s="346" t="n">
        <v>1190.47619047619</v>
      </c>
      <c r="H69" s="347" t="n">
        <v>1785.71428571429</v>
      </c>
      <c r="I69" s="347" t="n">
        <v>2380.95238095238</v>
      </c>
      <c r="J69" s="347" t="n">
        <v>2976.19047619048</v>
      </c>
      <c r="K69" s="347" t="n">
        <v>3571.42857142857</v>
      </c>
      <c r="L69" s="347" t="n">
        <v>4166.66666666667</v>
      </c>
      <c r="M69" s="347" t="n">
        <v>4761.90476190476</v>
      </c>
      <c r="N69" s="348" t="n">
        <v>5357.14285714286</v>
      </c>
      <c r="O69" s="348" t="n">
        <v>5952.38095238095</v>
      </c>
      <c r="P69" s="348" t="n">
        <v>6547.61904761905</v>
      </c>
      <c r="Q69" s="348" t="n">
        <v>7142.85714285714</v>
      </c>
      <c r="R69" s="348" t="n">
        <v>7738.09523809524</v>
      </c>
      <c r="S69" s="348" t="n">
        <v>8333.33333333333</v>
      </c>
      <c r="T69" s="348" t="n">
        <v>8928.57142857143</v>
      </c>
      <c r="U69" s="348" t="n">
        <v>9523.80952380953</v>
      </c>
      <c r="V69" s="348" t="n">
        <v>10119.0476190476</v>
      </c>
      <c r="W69" s="348" t="n">
        <v>10714.2857142857</v>
      </c>
      <c r="X69" s="348" t="n">
        <v>11309.5238095238</v>
      </c>
      <c r="Y69" s="348" t="n">
        <v>11904.7619047619</v>
      </c>
      <c r="Z69" s="349" t="n">
        <v>20833.3333333333</v>
      </c>
      <c r="AA69" s="349" t="n">
        <v>20833.3333333333</v>
      </c>
      <c r="AB69" s="349" t="n">
        <v>20833.3333333333</v>
      </c>
      <c r="AC69" s="349" t="n">
        <v>20833.3333333333</v>
      </c>
      <c r="AD69" s="349" t="n">
        <v>20833.3333333333</v>
      </c>
      <c r="AE69" s="349" t="n">
        <v>20833.3333333333</v>
      </c>
      <c r="AF69" s="349" t="n">
        <v>20833.3333333333</v>
      </c>
      <c r="AG69" s="349" t="n">
        <v>20833.3333333333</v>
      </c>
      <c r="AH69" s="349" t="n">
        <v>20833.3333333333</v>
      </c>
      <c r="AI69" s="349" t="n">
        <v>20833.3333333333</v>
      </c>
      <c r="AJ69" s="349" t="n">
        <v>20833.3333333333</v>
      </c>
      <c r="AK69" s="349" t="n">
        <v>20833.3333333333</v>
      </c>
      <c r="AL69" s="350" t="n">
        <v>20833.3333333333</v>
      </c>
      <c r="AM69" s="350" t="n">
        <v>20833.3333333333</v>
      </c>
      <c r="AN69" s="350" t="n">
        <v>20833.3333333333</v>
      </c>
      <c r="AO69" s="350" t="n">
        <v>20833.3333333333</v>
      </c>
      <c r="AP69" s="350" t="n">
        <v>20833.3333333333</v>
      </c>
      <c r="AQ69" s="350" t="n">
        <v>20833.3333333333</v>
      </c>
      <c r="AR69" s="350" t="n">
        <v>20833.3333333333</v>
      </c>
      <c r="AS69" s="350" t="n">
        <v>20833.3333333333</v>
      </c>
      <c r="AT69" s="350" t="n">
        <v>20833.3333333333</v>
      </c>
      <c r="AU69" s="350" t="n">
        <v>20833.3333333333</v>
      </c>
      <c r="AV69" s="350" t="n">
        <v>20833.3333333333</v>
      </c>
      <c r="AW69" s="350" t="n">
        <v>20833.3333333333</v>
      </c>
      <c r="AX69" s="351" t="n">
        <v>20833.3333333333</v>
      </c>
      <c r="AY69" s="351" t="n">
        <v>20833.3333333333</v>
      </c>
      <c r="AZ69" s="351" t="n">
        <v>20833.3333333333</v>
      </c>
      <c r="BA69" s="351" t="n">
        <v>20833.3333333333</v>
      </c>
      <c r="BB69" s="351" t="n">
        <v>20833.3333333333</v>
      </c>
      <c r="BC69" s="351" t="n">
        <v>20833.3333333333</v>
      </c>
      <c r="BD69" s="351" t="n">
        <v>20833.3333333333</v>
      </c>
      <c r="BE69" s="351" t="n">
        <v>20833.3333333333</v>
      </c>
      <c r="BF69" s="351" t="n">
        <v>20833.3333333333</v>
      </c>
      <c r="BG69" s="351" t="n">
        <v>20833.3333333333</v>
      </c>
      <c r="BH69" s="351" t="n">
        <v>20833.3333333333</v>
      </c>
      <c r="BI69" s="351" t="n">
        <v>20833.3333333333</v>
      </c>
      <c r="BJ69" s="352" t="n">
        <f aca="false">SUM(E69:M69)</f>
        <v>21726.1904761905</v>
      </c>
      <c r="BK69" s="352" t="n">
        <f aca="false">SUM(N69:Y69)</f>
        <v>103571.428571429</v>
      </c>
      <c r="BL69" s="352" t="n">
        <f aca="false">SUM(AL69:AW69)</f>
        <v>250000</v>
      </c>
      <c r="BM69" s="352" t="n">
        <f aca="false">SUM(AL69:AW69)</f>
        <v>250000</v>
      </c>
      <c r="BN69" s="352" t="n">
        <f aca="false">SUM(AX69:BI69)</f>
        <v>250000</v>
      </c>
    </row>
    <row r="70" s="360" customFormat="true" ht="24.75" hidden="false" customHeight="true" outlineLevel="1" collapsed="false">
      <c r="A70" s="353" t="s">
        <v>1576</v>
      </c>
      <c r="B70" s="354"/>
      <c r="C70" s="354"/>
      <c r="D70" s="354"/>
      <c r="E70" s="345" t="n">
        <v>223.214285714286</v>
      </c>
      <c r="F70" s="345" t="n">
        <v>446.428571428572</v>
      </c>
      <c r="G70" s="346" t="n">
        <v>892.857142857143</v>
      </c>
      <c r="H70" s="355" t="n">
        <v>1339.28571428571</v>
      </c>
      <c r="I70" s="355" t="n">
        <v>1785.71428571429</v>
      </c>
      <c r="J70" s="355" t="n">
        <v>2232.14285714286</v>
      </c>
      <c r="K70" s="355" t="n">
        <v>2678.57142857143</v>
      </c>
      <c r="L70" s="355" t="n">
        <v>3125</v>
      </c>
      <c r="M70" s="355" t="n">
        <v>3571.42857142857</v>
      </c>
      <c r="N70" s="356" t="n">
        <v>4017.85714285714</v>
      </c>
      <c r="O70" s="356" t="n">
        <v>4464.28571428572</v>
      </c>
      <c r="P70" s="356" t="n">
        <v>4910.71428571429</v>
      </c>
      <c r="Q70" s="356" t="n">
        <v>5357.14285714286</v>
      </c>
      <c r="R70" s="356" t="n">
        <v>5803.57142857143</v>
      </c>
      <c r="S70" s="356" t="n">
        <v>6250</v>
      </c>
      <c r="T70" s="356" t="n">
        <v>6696.42857142857</v>
      </c>
      <c r="U70" s="356" t="n">
        <v>7142.85714285714</v>
      </c>
      <c r="V70" s="356" t="n">
        <v>7589.28571428572</v>
      </c>
      <c r="W70" s="356" t="n">
        <v>8035.71428571429</v>
      </c>
      <c r="X70" s="356" t="n">
        <v>8482.14285714286</v>
      </c>
      <c r="Y70" s="356" t="n">
        <v>8928.57142857143</v>
      </c>
      <c r="Z70" s="357" t="n">
        <v>15625</v>
      </c>
      <c r="AA70" s="357" t="n">
        <v>15625</v>
      </c>
      <c r="AB70" s="357" t="n">
        <v>15625</v>
      </c>
      <c r="AC70" s="357" t="n">
        <v>15625</v>
      </c>
      <c r="AD70" s="357" t="n">
        <v>15625</v>
      </c>
      <c r="AE70" s="357" t="n">
        <v>15625</v>
      </c>
      <c r="AF70" s="357" t="n">
        <v>15625</v>
      </c>
      <c r="AG70" s="357" t="n">
        <v>15625</v>
      </c>
      <c r="AH70" s="357" t="n">
        <v>15625</v>
      </c>
      <c r="AI70" s="357" t="n">
        <v>15625</v>
      </c>
      <c r="AJ70" s="357" t="n">
        <v>15625</v>
      </c>
      <c r="AK70" s="357" t="n">
        <v>15625</v>
      </c>
      <c r="AL70" s="358" t="n">
        <v>15625</v>
      </c>
      <c r="AM70" s="358" t="n">
        <v>15625</v>
      </c>
      <c r="AN70" s="358" t="n">
        <v>15625</v>
      </c>
      <c r="AO70" s="358" t="n">
        <v>15625</v>
      </c>
      <c r="AP70" s="358" t="n">
        <v>15625</v>
      </c>
      <c r="AQ70" s="358" t="n">
        <v>15625</v>
      </c>
      <c r="AR70" s="358" t="n">
        <v>15625</v>
      </c>
      <c r="AS70" s="358" t="n">
        <v>15625</v>
      </c>
      <c r="AT70" s="358" t="n">
        <v>15625</v>
      </c>
      <c r="AU70" s="358" t="n">
        <v>15625</v>
      </c>
      <c r="AV70" s="358" t="n">
        <v>15625</v>
      </c>
      <c r="AW70" s="358" t="n">
        <v>15625</v>
      </c>
      <c r="AX70" s="359" t="n">
        <v>15625</v>
      </c>
      <c r="AY70" s="359" t="n">
        <v>15625</v>
      </c>
      <c r="AZ70" s="359" t="n">
        <v>15625</v>
      </c>
      <c r="BA70" s="359" t="n">
        <v>15625</v>
      </c>
      <c r="BB70" s="359" t="n">
        <v>15625</v>
      </c>
      <c r="BC70" s="359" t="n">
        <v>15625</v>
      </c>
      <c r="BD70" s="359" t="n">
        <v>15625</v>
      </c>
      <c r="BE70" s="359" t="n">
        <v>15625</v>
      </c>
      <c r="BF70" s="359" t="n">
        <v>15625</v>
      </c>
      <c r="BG70" s="359" t="n">
        <v>15625</v>
      </c>
      <c r="BH70" s="359" t="n">
        <v>15625</v>
      </c>
      <c r="BI70" s="359" t="n">
        <v>15625</v>
      </c>
      <c r="BJ70" s="352" t="n">
        <f aca="false">SUM(E70:M70)</f>
        <v>16294.6428571429</v>
      </c>
      <c r="BK70" s="352" t="n">
        <f aca="false">SUM(N70:Y70)</f>
        <v>77678.5714285715</v>
      </c>
      <c r="BL70" s="352" t="n">
        <f aca="false">SUM(AL70:AW70)</f>
        <v>187500</v>
      </c>
      <c r="BM70" s="352" t="n">
        <f aca="false">SUM(AL70:AW70)</f>
        <v>187500</v>
      </c>
      <c r="BN70" s="352" t="n">
        <f aca="false">SUM(AX70:BI70)</f>
        <v>187500</v>
      </c>
    </row>
    <row r="71" s="360" customFormat="true" ht="24.75" hidden="false" customHeight="true" outlineLevel="1" collapsed="false">
      <c r="A71" s="353" t="s">
        <v>1577</v>
      </c>
      <c r="B71" s="354"/>
      <c r="C71" s="354"/>
      <c r="D71" s="354"/>
      <c r="E71" s="345" t="n">
        <v>74.4047619047619</v>
      </c>
      <c r="F71" s="345" t="n">
        <v>148.809523809524</v>
      </c>
      <c r="G71" s="346" t="n">
        <v>297.619047619048</v>
      </c>
      <c r="H71" s="355" t="n">
        <v>446.428571428571</v>
      </c>
      <c r="I71" s="355" t="n">
        <v>595.238095238095</v>
      </c>
      <c r="J71" s="355" t="n">
        <v>744.047619047619</v>
      </c>
      <c r="K71" s="355" t="n">
        <v>892.857142857143</v>
      </c>
      <c r="L71" s="355" t="n">
        <v>1041.66666666667</v>
      </c>
      <c r="M71" s="355" t="n">
        <v>1190.47619047619</v>
      </c>
      <c r="N71" s="356" t="n">
        <v>1339.28571428571</v>
      </c>
      <c r="O71" s="356" t="n">
        <v>1488.09523809524</v>
      </c>
      <c r="P71" s="356" t="n">
        <v>1636.90476190476</v>
      </c>
      <c r="Q71" s="356" t="n">
        <v>1785.71428571429</v>
      </c>
      <c r="R71" s="356" t="n">
        <v>1934.52380952381</v>
      </c>
      <c r="S71" s="356" t="n">
        <v>2083.33333333333</v>
      </c>
      <c r="T71" s="356" t="n">
        <v>2232.14285714286</v>
      </c>
      <c r="U71" s="356" t="n">
        <v>2380.95238095238</v>
      </c>
      <c r="V71" s="356" t="n">
        <v>2529.76190476191</v>
      </c>
      <c r="W71" s="356" t="n">
        <v>2678.57142857143</v>
      </c>
      <c r="X71" s="356" t="n">
        <v>2827.38095238095</v>
      </c>
      <c r="Y71" s="356" t="n">
        <v>2976.19047619048</v>
      </c>
      <c r="Z71" s="357" t="n">
        <v>5208.33333333333</v>
      </c>
      <c r="AA71" s="357" t="n">
        <v>5208.33333333333</v>
      </c>
      <c r="AB71" s="357" t="n">
        <v>5208.33333333333</v>
      </c>
      <c r="AC71" s="357" t="n">
        <v>5208.33333333333</v>
      </c>
      <c r="AD71" s="357" t="n">
        <v>5208.33333333333</v>
      </c>
      <c r="AE71" s="357" t="n">
        <v>5208.33333333333</v>
      </c>
      <c r="AF71" s="357" t="n">
        <v>5208.33333333333</v>
      </c>
      <c r="AG71" s="357" t="n">
        <v>5208.33333333333</v>
      </c>
      <c r="AH71" s="357" t="n">
        <v>5208.33333333333</v>
      </c>
      <c r="AI71" s="357" t="n">
        <v>5208.33333333333</v>
      </c>
      <c r="AJ71" s="357" t="n">
        <v>5208.33333333333</v>
      </c>
      <c r="AK71" s="357" t="n">
        <v>5208.33333333333</v>
      </c>
      <c r="AL71" s="361" t="n">
        <v>5208.33333333333</v>
      </c>
      <c r="AM71" s="358" t="n">
        <v>5208.33333333333</v>
      </c>
      <c r="AN71" s="358" t="n">
        <v>5208.33333333333</v>
      </c>
      <c r="AO71" s="358" t="n">
        <v>5208.33333333333</v>
      </c>
      <c r="AP71" s="358" t="n">
        <v>5208.33333333333</v>
      </c>
      <c r="AQ71" s="358" t="n">
        <v>5208.33333333333</v>
      </c>
      <c r="AR71" s="358" t="n">
        <v>5208.33333333333</v>
      </c>
      <c r="AS71" s="358" t="n">
        <v>5208.33333333333</v>
      </c>
      <c r="AT71" s="358" t="n">
        <v>5208.33333333333</v>
      </c>
      <c r="AU71" s="358" t="n">
        <v>5208.33333333333</v>
      </c>
      <c r="AV71" s="358" t="n">
        <v>5208.33333333333</v>
      </c>
      <c r="AW71" s="358" t="n">
        <v>5208.33333333333</v>
      </c>
      <c r="AX71" s="362" t="n">
        <v>5208.33333333333</v>
      </c>
      <c r="AY71" s="359" t="n">
        <v>5208.33333333333</v>
      </c>
      <c r="AZ71" s="359" t="n">
        <v>5208.33333333333</v>
      </c>
      <c r="BA71" s="359" t="n">
        <v>5208.33333333333</v>
      </c>
      <c r="BB71" s="359" t="n">
        <v>5208.33333333333</v>
      </c>
      <c r="BC71" s="359" t="n">
        <v>5208.33333333333</v>
      </c>
      <c r="BD71" s="359" t="n">
        <v>5208.33333333333</v>
      </c>
      <c r="BE71" s="359" t="n">
        <v>5208.33333333333</v>
      </c>
      <c r="BF71" s="359" t="n">
        <v>5208.33333333333</v>
      </c>
      <c r="BG71" s="359" t="n">
        <v>5208.33333333333</v>
      </c>
      <c r="BH71" s="359" t="n">
        <v>5208.33333333333</v>
      </c>
      <c r="BI71" s="359" t="n">
        <v>5208.33333333333</v>
      </c>
      <c r="BJ71" s="352" t="n">
        <f aca="false">SUM(E71:M71)</f>
        <v>5431.54761904762</v>
      </c>
      <c r="BK71" s="352" t="n">
        <f aca="false">SUM(N71:Y71)</f>
        <v>25892.8571428572</v>
      </c>
      <c r="BL71" s="352" t="n">
        <f aca="false">SUM(AL71:AW71)</f>
        <v>62500</v>
      </c>
      <c r="BM71" s="352" t="n">
        <f aca="false">SUM(AL71:AW71)</f>
        <v>62500</v>
      </c>
      <c r="BN71" s="352" t="n">
        <f aca="false">SUM(AX71:BI71)</f>
        <v>62500</v>
      </c>
    </row>
    <row r="72" s="360" customFormat="true" ht="24.75" hidden="false" customHeight="true" outlineLevel="1" collapsed="false">
      <c r="A72" s="353" t="s">
        <v>1578</v>
      </c>
      <c r="B72" s="354"/>
      <c r="C72" s="354"/>
      <c r="D72" s="354"/>
      <c r="E72" s="345" t="n">
        <v>74.4047619047619</v>
      </c>
      <c r="F72" s="345" t="n">
        <v>148.809523809524</v>
      </c>
      <c r="G72" s="346" t="n">
        <v>297.619047619048</v>
      </c>
      <c r="H72" s="355" t="n">
        <v>446.428571428571</v>
      </c>
      <c r="I72" s="355" t="n">
        <v>595.238095238095</v>
      </c>
      <c r="J72" s="355" t="n">
        <v>744.047619047619</v>
      </c>
      <c r="K72" s="355" t="n">
        <v>892.857142857143</v>
      </c>
      <c r="L72" s="355" t="n">
        <v>1041.66666666667</v>
      </c>
      <c r="M72" s="355" t="n">
        <v>1190.47619047619</v>
      </c>
      <c r="N72" s="356" t="n">
        <v>1339.28571428571</v>
      </c>
      <c r="O72" s="356" t="n">
        <v>1488.09523809524</v>
      </c>
      <c r="P72" s="356" t="n">
        <v>1636.90476190476</v>
      </c>
      <c r="Q72" s="356" t="n">
        <v>1785.71428571429</v>
      </c>
      <c r="R72" s="356" t="n">
        <v>1934.52380952381</v>
      </c>
      <c r="S72" s="356" t="n">
        <v>2083.33333333333</v>
      </c>
      <c r="T72" s="356" t="n">
        <v>2232.14285714286</v>
      </c>
      <c r="U72" s="356" t="n">
        <v>2380.95238095238</v>
      </c>
      <c r="V72" s="356" t="n">
        <v>2529.76190476191</v>
      </c>
      <c r="W72" s="356" t="n">
        <v>2678.57142857143</v>
      </c>
      <c r="X72" s="356" t="n">
        <v>2827.38095238095</v>
      </c>
      <c r="Y72" s="356" t="n">
        <v>2976.19047619048</v>
      </c>
      <c r="Z72" s="357" t="n">
        <v>5208.33333333333</v>
      </c>
      <c r="AA72" s="357" t="n">
        <v>5208.33333333333</v>
      </c>
      <c r="AB72" s="357" t="n">
        <v>5208.33333333333</v>
      </c>
      <c r="AC72" s="357" t="n">
        <v>5208.33333333333</v>
      </c>
      <c r="AD72" s="357" t="n">
        <v>5208.33333333333</v>
      </c>
      <c r="AE72" s="357" t="n">
        <v>5208.33333333333</v>
      </c>
      <c r="AF72" s="357" t="n">
        <v>5208.33333333333</v>
      </c>
      <c r="AG72" s="357" t="n">
        <v>5208.33333333333</v>
      </c>
      <c r="AH72" s="357" t="n">
        <v>5208.33333333333</v>
      </c>
      <c r="AI72" s="357" t="n">
        <v>5208.33333333333</v>
      </c>
      <c r="AJ72" s="357" t="n">
        <v>5208.33333333333</v>
      </c>
      <c r="AK72" s="357" t="n">
        <v>5208.33333333333</v>
      </c>
      <c r="AL72" s="361" t="n">
        <v>5208.33333333333</v>
      </c>
      <c r="AM72" s="358" t="n">
        <v>5208.33333333333</v>
      </c>
      <c r="AN72" s="358" t="n">
        <v>5208.33333333333</v>
      </c>
      <c r="AO72" s="358" t="n">
        <v>5208.33333333333</v>
      </c>
      <c r="AP72" s="358" t="n">
        <v>5208.33333333333</v>
      </c>
      <c r="AQ72" s="358" t="n">
        <v>5208.33333333333</v>
      </c>
      <c r="AR72" s="358" t="n">
        <v>5208.33333333333</v>
      </c>
      <c r="AS72" s="358" t="n">
        <v>5208.33333333333</v>
      </c>
      <c r="AT72" s="358" t="n">
        <v>5208.33333333333</v>
      </c>
      <c r="AU72" s="358" t="n">
        <v>5208.33333333333</v>
      </c>
      <c r="AV72" s="358" t="n">
        <v>5208.33333333333</v>
      </c>
      <c r="AW72" s="358" t="n">
        <v>5208.33333333333</v>
      </c>
      <c r="AX72" s="362" t="n">
        <v>5208.33333333333</v>
      </c>
      <c r="AY72" s="359" t="n">
        <v>5208.33333333333</v>
      </c>
      <c r="AZ72" s="359" t="n">
        <v>5208.33333333333</v>
      </c>
      <c r="BA72" s="359" t="n">
        <v>5208.33333333333</v>
      </c>
      <c r="BB72" s="359" t="n">
        <v>5208.33333333333</v>
      </c>
      <c r="BC72" s="359" t="n">
        <v>5208.33333333333</v>
      </c>
      <c r="BD72" s="359" t="n">
        <v>5208.33333333333</v>
      </c>
      <c r="BE72" s="359" t="n">
        <v>5208.33333333333</v>
      </c>
      <c r="BF72" s="359" t="n">
        <v>5208.33333333333</v>
      </c>
      <c r="BG72" s="359" t="n">
        <v>5208.33333333333</v>
      </c>
      <c r="BH72" s="359" t="n">
        <v>5208.33333333333</v>
      </c>
      <c r="BI72" s="359" t="n">
        <v>5208.33333333333</v>
      </c>
      <c r="BJ72" s="352" t="n">
        <f aca="false">SUM(E72:M72)</f>
        <v>5431.54761904762</v>
      </c>
      <c r="BK72" s="352" t="n">
        <f aca="false">SUM(N72:Y72)</f>
        <v>25892.8571428572</v>
      </c>
      <c r="BL72" s="352" t="n">
        <f aca="false">SUM(AL72:AW72)</f>
        <v>62500</v>
      </c>
      <c r="BM72" s="352" t="n">
        <f aca="false">SUM(AL72:AW72)</f>
        <v>62500</v>
      </c>
      <c r="BN72" s="352" t="n">
        <f aca="false">SUM(AX72:BI72)</f>
        <v>62500</v>
      </c>
    </row>
    <row r="73" s="360" customFormat="true" ht="24.75" hidden="false" customHeight="true" outlineLevel="1" collapsed="false">
      <c r="A73" s="354"/>
      <c r="B73" s="354"/>
      <c r="C73" s="354"/>
      <c r="D73" s="354"/>
      <c r="E73" s="345"/>
      <c r="F73" s="345"/>
      <c r="G73" s="346"/>
      <c r="H73" s="345"/>
      <c r="I73" s="345"/>
      <c r="J73" s="345"/>
      <c r="K73" s="345"/>
      <c r="L73" s="345"/>
      <c r="M73" s="345"/>
      <c r="N73" s="345"/>
      <c r="O73" s="345"/>
      <c r="P73" s="345"/>
      <c r="Q73" s="345"/>
      <c r="R73" s="345"/>
      <c r="S73" s="345"/>
      <c r="T73" s="345"/>
      <c r="U73" s="345"/>
      <c r="V73" s="345"/>
      <c r="W73" s="345"/>
      <c r="X73" s="345"/>
      <c r="Y73" s="345"/>
      <c r="Z73" s="345"/>
      <c r="AA73" s="345"/>
      <c r="AB73" s="345"/>
      <c r="AC73" s="345"/>
      <c r="AD73" s="345"/>
      <c r="AE73" s="345"/>
      <c r="AF73" s="345"/>
      <c r="AG73" s="345"/>
      <c r="AH73" s="345"/>
      <c r="AI73" s="345"/>
      <c r="AJ73" s="345"/>
      <c r="AK73" s="345"/>
      <c r="AL73" s="354"/>
      <c r="AM73" s="345"/>
      <c r="AN73" s="345"/>
      <c r="AO73" s="345"/>
      <c r="AP73" s="345"/>
      <c r="AQ73" s="345"/>
      <c r="AR73" s="345"/>
      <c r="AS73" s="345"/>
      <c r="AT73" s="345"/>
      <c r="AU73" s="345"/>
      <c r="AV73" s="345"/>
      <c r="AW73" s="345"/>
      <c r="AX73" s="354"/>
      <c r="AY73" s="345"/>
      <c r="AZ73" s="345"/>
      <c r="BA73" s="345"/>
      <c r="BB73" s="345"/>
      <c r="BC73" s="345"/>
      <c r="BD73" s="345"/>
      <c r="BE73" s="345"/>
      <c r="BF73" s="345"/>
      <c r="BG73" s="345"/>
      <c r="BH73" s="345"/>
      <c r="BI73" s="345"/>
      <c r="BJ73" s="347"/>
      <c r="BK73" s="347"/>
      <c r="BL73" s="347"/>
      <c r="BM73" s="347"/>
      <c r="BN73" s="347"/>
    </row>
    <row r="74" s="360" customFormat="true" ht="24.75" hidden="false" customHeight="true" outlineLevel="1" collapsed="false">
      <c r="A74" s="353" t="s">
        <v>1581</v>
      </c>
      <c r="B74" s="354"/>
      <c r="C74" s="354"/>
      <c r="D74" s="354"/>
      <c r="E74" s="345" t="n">
        <v>33.9285714285714</v>
      </c>
      <c r="F74" s="345" t="n">
        <v>67.8571428571429</v>
      </c>
      <c r="G74" s="346" t="n">
        <v>135.714285714286</v>
      </c>
      <c r="H74" s="355" t="n">
        <v>203.571428571429</v>
      </c>
      <c r="I74" s="355" t="n">
        <v>271.428571428571</v>
      </c>
      <c r="J74" s="355" t="n">
        <v>339.285714285714</v>
      </c>
      <c r="K74" s="355" t="n">
        <v>407.142857142857</v>
      </c>
      <c r="L74" s="355" t="n">
        <v>475</v>
      </c>
      <c r="M74" s="355" t="n">
        <v>542.857142857143</v>
      </c>
      <c r="N74" s="356" t="n">
        <v>610.714285714286</v>
      </c>
      <c r="O74" s="356" t="n">
        <v>678.571428571429</v>
      </c>
      <c r="P74" s="356" t="n">
        <v>746.428571428571</v>
      </c>
      <c r="Q74" s="356" t="n">
        <v>814.285714285714</v>
      </c>
      <c r="R74" s="356" t="n">
        <v>882.142857142857</v>
      </c>
      <c r="S74" s="356" t="n">
        <v>950</v>
      </c>
      <c r="T74" s="356" t="n">
        <v>1017.85714285714</v>
      </c>
      <c r="U74" s="356" t="n">
        <v>1085.71428571429</v>
      </c>
      <c r="V74" s="356" t="n">
        <v>1153.57142857143</v>
      </c>
      <c r="W74" s="356" t="n">
        <v>1221.42857142857</v>
      </c>
      <c r="X74" s="356" t="n">
        <v>1289.28571428571</v>
      </c>
      <c r="Y74" s="356" t="n">
        <v>1357.14285714286</v>
      </c>
      <c r="Z74" s="357" t="n">
        <v>2375</v>
      </c>
      <c r="AA74" s="357" t="n">
        <v>2375</v>
      </c>
      <c r="AB74" s="357" t="n">
        <v>2375</v>
      </c>
      <c r="AC74" s="357" t="n">
        <v>2375</v>
      </c>
      <c r="AD74" s="357" t="n">
        <v>2375</v>
      </c>
      <c r="AE74" s="357" t="n">
        <v>2375</v>
      </c>
      <c r="AF74" s="357" t="n">
        <v>2375</v>
      </c>
      <c r="AG74" s="357" t="n">
        <v>2375</v>
      </c>
      <c r="AH74" s="357" t="n">
        <v>2375</v>
      </c>
      <c r="AI74" s="357" t="n">
        <v>2375</v>
      </c>
      <c r="AJ74" s="357" t="n">
        <v>2375</v>
      </c>
      <c r="AK74" s="357" t="n">
        <v>2375</v>
      </c>
      <c r="AL74" s="361" t="n">
        <v>2375</v>
      </c>
      <c r="AM74" s="358" t="n">
        <v>2375</v>
      </c>
      <c r="AN74" s="358" t="n">
        <v>2375</v>
      </c>
      <c r="AO74" s="358" t="n">
        <v>2375</v>
      </c>
      <c r="AP74" s="358" t="n">
        <v>2375</v>
      </c>
      <c r="AQ74" s="358" t="n">
        <v>2375</v>
      </c>
      <c r="AR74" s="358" t="n">
        <v>2375</v>
      </c>
      <c r="AS74" s="358" t="n">
        <v>2375</v>
      </c>
      <c r="AT74" s="358" t="n">
        <v>2375</v>
      </c>
      <c r="AU74" s="358" t="n">
        <v>2375</v>
      </c>
      <c r="AV74" s="358" t="n">
        <v>2375</v>
      </c>
      <c r="AW74" s="358" t="n">
        <v>2375</v>
      </c>
      <c r="AX74" s="362" t="n">
        <v>2375</v>
      </c>
      <c r="AY74" s="359" t="n">
        <v>2375</v>
      </c>
      <c r="AZ74" s="359" t="n">
        <v>2375</v>
      </c>
      <c r="BA74" s="359" t="n">
        <v>2375</v>
      </c>
      <c r="BB74" s="359" t="n">
        <v>2375</v>
      </c>
      <c r="BC74" s="359" t="n">
        <v>2375</v>
      </c>
      <c r="BD74" s="359" t="n">
        <v>2375</v>
      </c>
      <c r="BE74" s="359" t="n">
        <v>2375</v>
      </c>
      <c r="BF74" s="359" t="n">
        <v>2375</v>
      </c>
      <c r="BG74" s="359" t="n">
        <v>2375</v>
      </c>
      <c r="BH74" s="359" t="n">
        <v>2375</v>
      </c>
      <c r="BI74" s="359" t="n">
        <v>2375</v>
      </c>
      <c r="BJ74" s="352" t="n">
        <f aca="false">SUM(E74:M74)</f>
        <v>2476.78571428571</v>
      </c>
      <c r="BK74" s="352" t="n">
        <f aca="false">SUM(N74:Y74)</f>
        <v>11807.1428571429</v>
      </c>
      <c r="BL74" s="352" t="n">
        <f aca="false">SUM(AL74:AW74)</f>
        <v>28500</v>
      </c>
      <c r="BM74" s="352" t="n">
        <f aca="false">SUM(AL74:AW74)</f>
        <v>28500</v>
      </c>
      <c r="BN74" s="352" t="n">
        <f aca="false">SUM(AX74:BI74)</f>
        <v>28500</v>
      </c>
    </row>
    <row r="75" s="360" customFormat="true" ht="24.75" hidden="false" customHeight="true" outlineLevel="1" collapsed="false">
      <c r="A75" s="353" t="s">
        <v>1582</v>
      </c>
      <c r="B75" s="354"/>
      <c r="C75" s="354"/>
      <c r="D75" s="354"/>
      <c r="E75" s="345" t="n">
        <v>45.2380952380952</v>
      </c>
      <c r="F75" s="345" t="n">
        <v>90.4761904761905</v>
      </c>
      <c r="G75" s="346" t="n">
        <v>180.952380952381</v>
      </c>
      <c r="H75" s="355" t="n">
        <v>271.428571428571</v>
      </c>
      <c r="I75" s="355" t="n">
        <v>361.904761904762</v>
      </c>
      <c r="J75" s="355" t="n">
        <v>452.380952380952</v>
      </c>
      <c r="K75" s="355" t="n">
        <v>542.857142857143</v>
      </c>
      <c r="L75" s="355" t="n">
        <v>633.333333333333</v>
      </c>
      <c r="M75" s="355" t="n">
        <v>723.809523809524</v>
      </c>
      <c r="N75" s="356" t="n">
        <v>814.285714285714</v>
      </c>
      <c r="O75" s="356" t="n">
        <v>904.761904761905</v>
      </c>
      <c r="P75" s="356" t="n">
        <v>995.238095238095</v>
      </c>
      <c r="Q75" s="356" t="n">
        <v>1085.71428571429</v>
      </c>
      <c r="R75" s="356" t="n">
        <v>1176.19047619048</v>
      </c>
      <c r="S75" s="356" t="n">
        <v>1266.66666666667</v>
      </c>
      <c r="T75" s="356" t="n">
        <v>1357.14285714286</v>
      </c>
      <c r="U75" s="356" t="n">
        <v>1447.61904761905</v>
      </c>
      <c r="V75" s="356" t="n">
        <v>1538.09523809524</v>
      </c>
      <c r="W75" s="356" t="n">
        <v>1628.57142857143</v>
      </c>
      <c r="X75" s="356" t="n">
        <v>1719.04761904762</v>
      </c>
      <c r="Y75" s="356" t="n">
        <v>1809.52380952381</v>
      </c>
      <c r="Z75" s="357" t="n">
        <v>3166.66666666667</v>
      </c>
      <c r="AA75" s="357" t="n">
        <v>3166.66666666667</v>
      </c>
      <c r="AB75" s="357" t="n">
        <v>3166.66666666667</v>
      </c>
      <c r="AC75" s="357" t="n">
        <v>3166.66666666667</v>
      </c>
      <c r="AD75" s="357" t="n">
        <v>3166.66666666667</v>
      </c>
      <c r="AE75" s="357" t="n">
        <v>3166.66666666667</v>
      </c>
      <c r="AF75" s="357" t="n">
        <v>3166.66666666667</v>
      </c>
      <c r="AG75" s="357" t="n">
        <v>3166.66666666667</v>
      </c>
      <c r="AH75" s="357" t="n">
        <v>3166.66666666667</v>
      </c>
      <c r="AI75" s="357" t="n">
        <v>3166.66666666667</v>
      </c>
      <c r="AJ75" s="357" t="n">
        <v>3166.66666666667</v>
      </c>
      <c r="AK75" s="357" t="n">
        <v>3166.66666666667</v>
      </c>
      <c r="AL75" s="361" t="n">
        <v>3166.66666666667</v>
      </c>
      <c r="AM75" s="358" t="n">
        <v>3166.66666666667</v>
      </c>
      <c r="AN75" s="358" t="n">
        <v>3166.66666666667</v>
      </c>
      <c r="AO75" s="358" t="n">
        <v>3166.66666666667</v>
      </c>
      <c r="AP75" s="358" t="n">
        <v>3166.66666666667</v>
      </c>
      <c r="AQ75" s="358" t="n">
        <v>3166.66666666667</v>
      </c>
      <c r="AR75" s="358" t="n">
        <v>3166.66666666667</v>
      </c>
      <c r="AS75" s="358" t="n">
        <v>3166.66666666667</v>
      </c>
      <c r="AT75" s="358" t="n">
        <v>3166.66666666667</v>
      </c>
      <c r="AU75" s="358" t="n">
        <v>3166.66666666667</v>
      </c>
      <c r="AV75" s="358" t="n">
        <v>3166.66666666667</v>
      </c>
      <c r="AW75" s="358" t="n">
        <v>3166.66666666667</v>
      </c>
      <c r="AX75" s="362" t="n">
        <v>3166.66666666667</v>
      </c>
      <c r="AY75" s="359" t="n">
        <v>3166.66666666667</v>
      </c>
      <c r="AZ75" s="359" t="n">
        <v>3166.66666666667</v>
      </c>
      <c r="BA75" s="359" t="n">
        <v>3166.66666666667</v>
      </c>
      <c r="BB75" s="359" t="n">
        <v>3166.66666666667</v>
      </c>
      <c r="BC75" s="359" t="n">
        <v>3166.66666666667</v>
      </c>
      <c r="BD75" s="359" t="n">
        <v>3166.66666666667</v>
      </c>
      <c r="BE75" s="359" t="n">
        <v>3166.66666666667</v>
      </c>
      <c r="BF75" s="359" t="n">
        <v>3166.66666666667</v>
      </c>
      <c r="BG75" s="359" t="n">
        <v>3166.66666666667</v>
      </c>
      <c r="BH75" s="359" t="n">
        <v>3166.66666666667</v>
      </c>
      <c r="BI75" s="359" t="n">
        <v>3166.66666666667</v>
      </c>
      <c r="BJ75" s="352" t="n">
        <f aca="false">SUM(E75:M75)</f>
        <v>3302.38095238095</v>
      </c>
      <c r="BK75" s="352" t="n">
        <f aca="false">SUM(N75:Y75)</f>
        <v>15742.8571428572</v>
      </c>
      <c r="BL75" s="352" t="n">
        <f aca="false">SUM(AL75:AW75)</f>
        <v>38000</v>
      </c>
      <c r="BM75" s="352" t="n">
        <f aca="false">SUM(AL75:AW75)</f>
        <v>38000</v>
      </c>
      <c r="BN75" s="352" t="n">
        <f aca="false">SUM(AX75:BI75)</f>
        <v>38000</v>
      </c>
    </row>
    <row r="76" s="360" customFormat="true" ht="24.75" hidden="false" customHeight="true" outlineLevel="1" collapsed="false">
      <c r="A76" s="353" t="s">
        <v>1583</v>
      </c>
      <c r="B76" s="354"/>
      <c r="C76" s="354"/>
      <c r="D76" s="354"/>
      <c r="E76" s="345" t="n">
        <v>79.1666666666667</v>
      </c>
      <c r="F76" s="345" t="n">
        <v>158.333333333333</v>
      </c>
      <c r="G76" s="346" t="n">
        <v>316.666666666667</v>
      </c>
      <c r="H76" s="355" t="n">
        <v>475</v>
      </c>
      <c r="I76" s="355" t="n">
        <v>633.333333333333</v>
      </c>
      <c r="J76" s="355" t="n">
        <v>791.666666666667</v>
      </c>
      <c r="K76" s="355" t="n">
        <v>950</v>
      </c>
      <c r="L76" s="355" t="n">
        <v>1108.33333333333</v>
      </c>
      <c r="M76" s="355" t="n">
        <v>1266.66666666667</v>
      </c>
      <c r="N76" s="356" t="n">
        <v>1425</v>
      </c>
      <c r="O76" s="356" t="n">
        <v>1583.33333333333</v>
      </c>
      <c r="P76" s="363" t="n">
        <v>1741.66666666667</v>
      </c>
      <c r="Q76" s="363" t="n">
        <v>1900</v>
      </c>
      <c r="R76" s="363" t="n">
        <v>2058.33333333333</v>
      </c>
      <c r="S76" s="363" t="n">
        <v>2216.66666666667</v>
      </c>
      <c r="T76" s="363" t="n">
        <v>2375</v>
      </c>
      <c r="U76" s="363" t="n">
        <v>2533.33333333333</v>
      </c>
      <c r="V76" s="363" t="n">
        <v>2691.66666666667</v>
      </c>
      <c r="W76" s="363" t="n">
        <v>2850</v>
      </c>
      <c r="X76" s="363" t="n">
        <v>3008.33333333333</v>
      </c>
      <c r="Y76" s="363" t="n">
        <v>3166.66666666667</v>
      </c>
      <c r="Z76" s="364" t="n">
        <v>5541.66666666667</v>
      </c>
      <c r="AA76" s="364" t="n">
        <v>5541.66666666667</v>
      </c>
      <c r="AB76" s="364" t="n">
        <v>5541.66666666667</v>
      </c>
      <c r="AC76" s="364" t="n">
        <v>5541.66666666667</v>
      </c>
      <c r="AD76" s="364" t="n">
        <v>5541.66666666667</v>
      </c>
      <c r="AE76" s="364" t="n">
        <v>5541.66666666667</v>
      </c>
      <c r="AF76" s="364" t="n">
        <v>5541.66666666667</v>
      </c>
      <c r="AG76" s="364" t="n">
        <v>5541.66666666667</v>
      </c>
      <c r="AH76" s="364" t="n">
        <v>5541.66666666667</v>
      </c>
      <c r="AI76" s="364" t="n">
        <v>5541.66666666667</v>
      </c>
      <c r="AJ76" s="364" t="n">
        <v>5541.66666666667</v>
      </c>
      <c r="AK76" s="364" t="n">
        <v>5541.66666666667</v>
      </c>
      <c r="AL76" s="361" t="n">
        <v>5541.66666666667</v>
      </c>
      <c r="AM76" s="361" t="n">
        <v>5541.66666666667</v>
      </c>
      <c r="AN76" s="361" t="n">
        <v>5541.66666666667</v>
      </c>
      <c r="AO76" s="361" t="n">
        <v>5541.66666666667</v>
      </c>
      <c r="AP76" s="361" t="n">
        <v>5541.66666666667</v>
      </c>
      <c r="AQ76" s="361" t="n">
        <v>5541.66666666667</v>
      </c>
      <c r="AR76" s="361" t="n">
        <v>5541.66666666667</v>
      </c>
      <c r="AS76" s="361" t="n">
        <v>5541.66666666667</v>
      </c>
      <c r="AT76" s="361" t="n">
        <v>5541.66666666667</v>
      </c>
      <c r="AU76" s="361" t="n">
        <v>5541.66666666667</v>
      </c>
      <c r="AV76" s="361" t="n">
        <v>5541.66666666667</v>
      </c>
      <c r="AW76" s="361" t="n">
        <v>5541.66666666667</v>
      </c>
      <c r="AX76" s="362" t="n">
        <v>5541.66666666667</v>
      </c>
      <c r="AY76" s="362" t="n">
        <v>5541.66666666667</v>
      </c>
      <c r="AZ76" s="362" t="n">
        <v>5541.66666666667</v>
      </c>
      <c r="BA76" s="362" t="n">
        <v>5541.66666666667</v>
      </c>
      <c r="BB76" s="362" t="n">
        <v>5541.66666666667</v>
      </c>
      <c r="BC76" s="362" t="n">
        <v>5541.66666666667</v>
      </c>
      <c r="BD76" s="362" t="n">
        <v>5541.66666666667</v>
      </c>
      <c r="BE76" s="362" t="n">
        <v>5541.66666666667</v>
      </c>
      <c r="BF76" s="362" t="n">
        <v>5541.66666666667</v>
      </c>
      <c r="BG76" s="362" t="n">
        <v>5541.66666666667</v>
      </c>
      <c r="BH76" s="362" t="n">
        <v>5541.66666666667</v>
      </c>
      <c r="BI76" s="362" t="n">
        <v>5541.66666666667</v>
      </c>
      <c r="BJ76" s="352" t="n">
        <f aca="false">SUM(E76:M76)</f>
        <v>5779.16666666667</v>
      </c>
      <c r="BK76" s="352" t="n">
        <f aca="false">SUM(N76:Y76)</f>
        <v>27550</v>
      </c>
      <c r="BL76" s="352" t="n">
        <f aca="false">SUM(AL76:AW76)</f>
        <v>66500</v>
      </c>
      <c r="BM76" s="352" t="n">
        <f aca="false">SUM(AL76:AW76)</f>
        <v>66500</v>
      </c>
      <c r="BN76" s="352" t="n">
        <f aca="false">SUM(AX76:BI76)</f>
        <v>66500</v>
      </c>
    </row>
    <row r="77" s="360" customFormat="true" ht="24.75" hidden="false" customHeight="true" outlineLevel="1" collapsed="false">
      <c r="A77" s="353" t="s">
        <v>1584</v>
      </c>
      <c r="B77" s="354"/>
      <c r="C77" s="354"/>
      <c r="D77" s="354"/>
      <c r="E77" s="345" t="n">
        <v>101.785714285714</v>
      </c>
      <c r="F77" s="345" t="n">
        <v>203.571428571429</v>
      </c>
      <c r="G77" s="346" t="n">
        <v>407.142857142857</v>
      </c>
      <c r="H77" s="365" t="n">
        <v>610.714285714286</v>
      </c>
      <c r="I77" s="365" t="n">
        <v>814.285714285714</v>
      </c>
      <c r="J77" s="365" t="n">
        <v>1017.85714285714</v>
      </c>
      <c r="K77" s="365" t="n">
        <v>1221.42857142857</v>
      </c>
      <c r="L77" s="365" t="n">
        <v>1425</v>
      </c>
      <c r="M77" s="365" t="n">
        <v>1628.57142857143</v>
      </c>
      <c r="N77" s="363" t="n">
        <v>1832.14285714286</v>
      </c>
      <c r="O77" s="363" t="n">
        <v>2035.71428571429</v>
      </c>
      <c r="P77" s="363" t="n">
        <v>2239.28571428572</v>
      </c>
      <c r="Q77" s="363" t="n">
        <v>2442.85714285714</v>
      </c>
      <c r="R77" s="363" t="n">
        <v>2646.42857142857</v>
      </c>
      <c r="S77" s="363" t="n">
        <v>2850</v>
      </c>
      <c r="T77" s="363" t="n">
        <v>3053.57142857143</v>
      </c>
      <c r="U77" s="363" t="n">
        <v>3257.14285714286</v>
      </c>
      <c r="V77" s="363" t="n">
        <v>3460.71428571429</v>
      </c>
      <c r="W77" s="363" t="n">
        <v>3664.28571428572</v>
      </c>
      <c r="X77" s="363" t="n">
        <v>3867.85714285714</v>
      </c>
      <c r="Y77" s="363" t="n">
        <v>4071.42857142857</v>
      </c>
      <c r="Z77" s="364" t="n">
        <v>7125</v>
      </c>
      <c r="AA77" s="364" t="n">
        <v>7125</v>
      </c>
      <c r="AB77" s="364" t="n">
        <v>7125</v>
      </c>
      <c r="AC77" s="364" t="n">
        <v>7125</v>
      </c>
      <c r="AD77" s="364" t="n">
        <v>7125</v>
      </c>
      <c r="AE77" s="364" t="n">
        <v>7125</v>
      </c>
      <c r="AF77" s="364" t="n">
        <v>7125</v>
      </c>
      <c r="AG77" s="364" t="n">
        <v>7125</v>
      </c>
      <c r="AH77" s="364" t="n">
        <v>7125</v>
      </c>
      <c r="AI77" s="364" t="n">
        <v>7125</v>
      </c>
      <c r="AJ77" s="364" t="n">
        <v>7125</v>
      </c>
      <c r="AK77" s="364" t="n">
        <v>7125</v>
      </c>
      <c r="AL77" s="361" t="n">
        <v>7125</v>
      </c>
      <c r="AM77" s="361" t="n">
        <v>7125</v>
      </c>
      <c r="AN77" s="361" t="n">
        <v>7125</v>
      </c>
      <c r="AO77" s="361" t="n">
        <v>7125</v>
      </c>
      <c r="AP77" s="361" t="n">
        <v>7125</v>
      </c>
      <c r="AQ77" s="361" t="n">
        <v>7125</v>
      </c>
      <c r="AR77" s="361" t="n">
        <v>7125</v>
      </c>
      <c r="AS77" s="361" t="n">
        <v>7125</v>
      </c>
      <c r="AT77" s="361" t="n">
        <v>7125</v>
      </c>
      <c r="AU77" s="361" t="n">
        <v>7125</v>
      </c>
      <c r="AV77" s="361" t="n">
        <v>7125</v>
      </c>
      <c r="AW77" s="361" t="n">
        <v>7125</v>
      </c>
      <c r="AX77" s="362" t="n">
        <v>7125</v>
      </c>
      <c r="AY77" s="362" t="n">
        <v>7125</v>
      </c>
      <c r="AZ77" s="362" t="n">
        <v>7125</v>
      </c>
      <c r="BA77" s="362" t="n">
        <v>7125</v>
      </c>
      <c r="BB77" s="362" t="n">
        <v>7125</v>
      </c>
      <c r="BC77" s="362" t="n">
        <v>7125</v>
      </c>
      <c r="BD77" s="362" t="n">
        <v>7125</v>
      </c>
      <c r="BE77" s="362" t="n">
        <v>7125</v>
      </c>
      <c r="BF77" s="362" t="n">
        <v>7125</v>
      </c>
      <c r="BG77" s="362" t="n">
        <v>7125</v>
      </c>
      <c r="BH77" s="362" t="n">
        <v>7125</v>
      </c>
      <c r="BI77" s="362" t="n">
        <v>7125</v>
      </c>
      <c r="BJ77" s="352" t="n">
        <f aca="false">SUM(E77:M77)</f>
        <v>7430.35714285714</v>
      </c>
      <c r="BK77" s="352" t="n">
        <f aca="false">SUM(N77:Y77)</f>
        <v>35421.4285714286</v>
      </c>
      <c r="BL77" s="352" t="n">
        <f aca="false">SUM(AL77:AW77)</f>
        <v>85500</v>
      </c>
      <c r="BM77" s="352" t="n">
        <f aca="false">SUM(AL77:AW77)</f>
        <v>85500</v>
      </c>
      <c r="BN77" s="352" t="n">
        <f aca="false">SUM(AX77:BI77)</f>
        <v>85500</v>
      </c>
    </row>
    <row r="78" s="360" customFormat="true" ht="24.75" hidden="false" customHeight="true" outlineLevel="1" collapsed="false">
      <c r="A78" s="353" t="s">
        <v>1585</v>
      </c>
      <c r="B78" s="354"/>
      <c r="C78" s="354"/>
      <c r="D78" s="354"/>
      <c r="E78" s="345" t="n">
        <v>101.785714285714</v>
      </c>
      <c r="F78" s="345" t="n">
        <v>203.571428571429</v>
      </c>
      <c r="G78" s="346" t="n">
        <v>407.142857142857</v>
      </c>
      <c r="H78" s="365" t="n">
        <v>610.714285714286</v>
      </c>
      <c r="I78" s="365" t="n">
        <v>814.285714285714</v>
      </c>
      <c r="J78" s="365" t="n">
        <v>1017.85714285714</v>
      </c>
      <c r="K78" s="365" t="n">
        <v>1221.42857142857</v>
      </c>
      <c r="L78" s="365" t="n">
        <v>1425</v>
      </c>
      <c r="M78" s="365" t="n">
        <v>1628.57142857143</v>
      </c>
      <c r="N78" s="363" t="n">
        <v>1832.14285714286</v>
      </c>
      <c r="O78" s="363" t="n">
        <v>2035.71428571429</v>
      </c>
      <c r="P78" s="363" t="n">
        <v>2239.28571428572</v>
      </c>
      <c r="Q78" s="363" t="n">
        <v>2442.85714285714</v>
      </c>
      <c r="R78" s="363" t="n">
        <v>2646.42857142857</v>
      </c>
      <c r="S78" s="363" t="n">
        <v>2850</v>
      </c>
      <c r="T78" s="363" t="n">
        <v>3053.57142857143</v>
      </c>
      <c r="U78" s="363" t="n">
        <v>3257.14285714286</v>
      </c>
      <c r="V78" s="363" t="n">
        <v>3460.71428571429</v>
      </c>
      <c r="W78" s="363" t="n">
        <v>3664.28571428572</v>
      </c>
      <c r="X78" s="363" t="n">
        <v>3867.85714285714</v>
      </c>
      <c r="Y78" s="363" t="n">
        <v>4071.42857142857</v>
      </c>
      <c r="Z78" s="364" t="n">
        <v>7125</v>
      </c>
      <c r="AA78" s="364" t="n">
        <v>7125</v>
      </c>
      <c r="AB78" s="364" t="n">
        <v>7125</v>
      </c>
      <c r="AC78" s="364" t="n">
        <v>7125</v>
      </c>
      <c r="AD78" s="364" t="n">
        <v>7125</v>
      </c>
      <c r="AE78" s="364" t="n">
        <v>7125</v>
      </c>
      <c r="AF78" s="364" t="n">
        <v>7125</v>
      </c>
      <c r="AG78" s="364" t="n">
        <v>7125</v>
      </c>
      <c r="AH78" s="364" t="n">
        <v>7125</v>
      </c>
      <c r="AI78" s="364" t="n">
        <v>7125</v>
      </c>
      <c r="AJ78" s="364" t="n">
        <v>7125</v>
      </c>
      <c r="AK78" s="364" t="n">
        <v>7125</v>
      </c>
      <c r="AL78" s="361" t="n">
        <v>7125</v>
      </c>
      <c r="AM78" s="361" t="n">
        <v>7125</v>
      </c>
      <c r="AN78" s="361" t="n">
        <v>7125</v>
      </c>
      <c r="AO78" s="361" t="n">
        <v>7125</v>
      </c>
      <c r="AP78" s="361" t="n">
        <v>7125</v>
      </c>
      <c r="AQ78" s="361" t="n">
        <v>7125</v>
      </c>
      <c r="AR78" s="361" t="n">
        <v>7125</v>
      </c>
      <c r="AS78" s="361" t="n">
        <v>7125</v>
      </c>
      <c r="AT78" s="361" t="n">
        <v>7125</v>
      </c>
      <c r="AU78" s="361" t="n">
        <v>7125</v>
      </c>
      <c r="AV78" s="361" t="n">
        <v>7125</v>
      </c>
      <c r="AW78" s="361" t="n">
        <v>7125</v>
      </c>
      <c r="AX78" s="362" t="n">
        <v>7125</v>
      </c>
      <c r="AY78" s="362" t="n">
        <v>7125</v>
      </c>
      <c r="AZ78" s="362" t="n">
        <v>7125</v>
      </c>
      <c r="BA78" s="362" t="n">
        <v>7125</v>
      </c>
      <c r="BB78" s="362" t="n">
        <v>7125</v>
      </c>
      <c r="BC78" s="362" t="n">
        <v>7125</v>
      </c>
      <c r="BD78" s="362" t="n">
        <v>7125</v>
      </c>
      <c r="BE78" s="362" t="n">
        <v>7125</v>
      </c>
      <c r="BF78" s="362" t="n">
        <v>7125</v>
      </c>
      <c r="BG78" s="362" t="n">
        <v>7125</v>
      </c>
      <c r="BH78" s="362" t="n">
        <v>7125</v>
      </c>
      <c r="BI78" s="362" t="n">
        <v>7125</v>
      </c>
      <c r="BJ78" s="352" t="n">
        <f aca="false">SUM(E78:M78)</f>
        <v>7430.35714285714</v>
      </c>
      <c r="BK78" s="352" t="n">
        <f aca="false">SUM(N78:Y78)</f>
        <v>35421.4285714286</v>
      </c>
      <c r="BL78" s="352" t="n">
        <f aca="false">SUM(AL78:AW78)</f>
        <v>85500</v>
      </c>
      <c r="BM78" s="352" t="n">
        <f aca="false">SUM(AL78:AW78)</f>
        <v>85500</v>
      </c>
      <c r="BN78" s="352" t="n">
        <f aca="false">SUM(AX78:BI78)</f>
        <v>85500</v>
      </c>
    </row>
    <row r="79" s="360" customFormat="true" ht="24.75" hidden="false" customHeight="true" outlineLevel="1" collapsed="false">
      <c r="A79" s="353" t="s">
        <v>1586</v>
      </c>
      <c r="B79" s="354"/>
      <c r="C79" s="354"/>
      <c r="D79" s="354"/>
      <c r="E79" s="345" t="n">
        <v>90.4761904761905</v>
      </c>
      <c r="F79" s="345" t="n">
        <v>180.952380952381</v>
      </c>
      <c r="G79" s="346" t="n">
        <v>361.904761904762</v>
      </c>
      <c r="H79" s="365" t="n">
        <v>542.857142857143</v>
      </c>
      <c r="I79" s="365" t="n">
        <v>723.809523809524</v>
      </c>
      <c r="J79" s="365" t="n">
        <v>904.761904761905</v>
      </c>
      <c r="K79" s="365" t="n">
        <v>1085.71428571429</v>
      </c>
      <c r="L79" s="365" t="n">
        <v>1266.66666666667</v>
      </c>
      <c r="M79" s="365" t="n">
        <v>1447.61904761905</v>
      </c>
      <c r="N79" s="363" t="n">
        <v>1628.57142857143</v>
      </c>
      <c r="O79" s="363" t="n">
        <v>1809.52380952381</v>
      </c>
      <c r="P79" s="363" t="n">
        <v>1990.47619047619</v>
      </c>
      <c r="Q79" s="363" t="n">
        <v>2171.42857142857</v>
      </c>
      <c r="R79" s="363" t="n">
        <v>2352.38095238095</v>
      </c>
      <c r="S79" s="363" t="n">
        <v>2533.33333333333</v>
      </c>
      <c r="T79" s="363" t="n">
        <v>2714.28571428572</v>
      </c>
      <c r="U79" s="363" t="n">
        <v>2895.2380952381</v>
      </c>
      <c r="V79" s="363" t="n">
        <v>3076.19047619048</v>
      </c>
      <c r="W79" s="363" t="n">
        <v>3257.14285714286</v>
      </c>
      <c r="X79" s="363" t="n">
        <v>3438.09523809524</v>
      </c>
      <c r="Y79" s="363" t="n">
        <v>3619.04761904762</v>
      </c>
      <c r="Z79" s="364" t="n">
        <v>6333.33333333333</v>
      </c>
      <c r="AA79" s="364" t="n">
        <v>6333.33333333333</v>
      </c>
      <c r="AB79" s="364" t="n">
        <v>6333.33333333333</v>
      </c>
      <c r="AC79" s="364" t="n">
        <v>6333.33333333333</v>
      </c>
      <c r="AD79" s="364" t="n">
        <v>6333.33333333333</v>
      </c>
      <c r="AE79" s="364" t="n">
        <v>6333.33333333333</v>
      </c>
      <c r="AF79" s="364" t="n">
        <v>6333.33333333333</v>
      </c>
      <c r="AG79" s="364" t="n">
        <v>6333.33333333333</v>
      </c>
      <c r="AH79" s="364" t="n">
        <v>6333.33333333333</v>
      </c>
      <c r="AI79" s="364" t="n">
        <v>6333.33333333333</v>
      </c>
      <c r="AJ79" s="364" t="n">
        <v>6333.33333333333</v>
      </c>
      <c r="AK79" s="364" t="n">
        <v>6333.33333333333</v>
      </c>
      <c r="AL79" s="361" t="n">
        <v>6333.33333333333</v>
      </c>
      <c r="AM79" s="361" t="n">
        <v>6333.33333333333</v>
      </c>
      <c r="AN79" s="361" t="n">
        <v>6333.33333333333</v>
      </c>
      <c r="AO79" s="361" t="n">
        <v>6333.33333333333</v>
      </c>
      <c r="AP79" s="361" t="n">
        <v>6333.33333333333</v>
      </c>
      <c r="AQ79" s="361" t="n">
        <v>6333.33333333333</v>
      </c>
      <c r="AR79" s="361" t="n">
        <v>6333.33333333333</v>
      </c>
      <c r="AS79" s="361" t="n">
        <v>6333.33333333333</v>
      </c>
      <c r="AT79" s="361" t="n">
        <v>6333.33333333333</v>
      </c>
      <c r="AU79" s="361" t="n">
        <v>6333.33333333333</v>
      </c>
      <c r="AV79" s="361" t="n">
        <v>6333.33333333333</v>
      </c>
      <c r="AW79" s="361" t="n">
        <v>6333.33333333333</v>
      </c>
      <c r="AX79" s="362" t="n">
        <v>6333.33333333333</v>
      </c>
      <c r="AY79" s="362" t="n">
        <v>6333.33333333333</v>
      </c>
      <c r="AZ79" s="362" t="n">
        <v>6333.33333333333</v>
      </c>
      <c r="BA79" s="362" t="n">
        <v>6333.33333333333</v>
      </c>
      <c r="BB79" s="362" t="n">
        <v>6333.33333333333</v>
      </c>
      <c r="BC79" s="362" t="n">
        <v>6333.33333333333</v>
      </c>
      <c r="BD79" s="362" t="n">
        <v>6333.33333333333</v>
      </c>
      <c r="BE79" s="362" t="n">
        <v>6333.33333333333</v>
      </c>
      <c r="BF79" s="362" t="n">
        <v>6333.33333333333</v>
      </c>
      <c r="BG79" s="362" t="n">
        <v>6333.33333333333</v>
      </c>
      <c r="BH79" s="362" t="n">
        <v>6333.33333333333</v>
      </c>
      <c r="BI79" s="362" t="n">
        <v>6333.33333333333</v>
      </c>
      <c r="BJ79" s="352" t="n">
        <f aca="false">SUM(E79:M79)</f>
        <v>6604.76190476192</v>
      </c>
      <c r="BK79" s="352" t="n">
        <f aca="false">SUM(N79:Y79)</f>
        <v>31485.7142857143</v>
      </c>
      <c r="BL79" s="352" t="n">
        <f aca="false">SUM(AL79:AW79)</f>
        <v>76000</v>
      </c>
      <c r="BM79" s="352" t="n">
        <f aca="false">SUM(AL79:AW79)</f>
        <v>76000</v>
      </c>
      <c r="BN79" s="352" t="n">
        <f aca="false">SUM(AX79:BI79)</f>
        <v>76000</v>
      </c>
    </row>
    <row r="80" s="360" customFormat="true" ht="24.75" hidden="false" customHeight="true" outlineLevel="1" collapsed="false">
      <c r="A80" s="353" t="s">
        <v>1587</v>
      </c>
      <c r="B80" s="354"/>
      <c r="C80" s="354"/>
      <c r="D80" s="354"/>
      <c r="E80" s="345" t="n">
        <v>56.5476190476191</v>
      </c>
      <c r="F80" s="345" t="n">
        <v>113.095238095238</v>
      </c>
      <c r="G80" s="346" t="n">
        <v>226.190476190476</v>
      </c>
      <c r="H80" s="365" t="n">
        <v>339.285714285714</v>
      </c>
      <c r="I80" s="365" t="n">
        <v>452.380952380952</v>
      </c>
      <c r="J80" s="365" t="n">
        <v>565.476190476191</v>
      </c>
      <c r="K80" s="365" t="n">
        <v>678.571428571429</v>
      </c>
      <c r="L80" s="365" t="n">
        <v>791.666666666667</v>
      </c>
      <c r="M80" s="365" t="n">
        <v>904.761904761905</v>
      </c>
      <c r="N80" s="363" t="n">
        <v>1017.85714285714</v>
      </c>
      <c r="O80" s="363" t="n">
        <v>1130.95238095238</v>
      </c>
      <c r="P80" s="363" t="n">
        <v>1244.04761904762</v>
      </c>
      <c r="Q80" s="363" t="n">
        <v>1357.14285714286</v>
      </c>
      <c r="R80" s="363" t="n">
        <v>1470.2380952381</v>
      </c>
      <c r="S80" s="363" t="n">
        <v>1583.33333333333</v>
      </c>
      <c r="T80" s="363" t="n">
        <v>1696.42857142857</v>
      </c>
      <c r="U80" s="363" t="n">
        <v>1809.52380952381</v>
      </c>
      <c r="V80" s="363" t="n">
        <v>1922.61904761905</v>
      </c>
      <c r="W80" s="363" t="n">
        <v>2035.71428571429</v>
      </c>
      <c r="X80" s="363" t="n">
        <v>2148.80952380952</v>
      </c>
      <c r="Y80" s="363" t="n">
        <v>2261.90476190476</v>
      </c>
      <c r="Z80" s="364" t="n">
        <v>3958.33333333333</v>
      </c>
      <c r="AA80" s="364" t="n">
        <v>3958.33333333333</v>
      </c>
      <c r="AB80" s="364" t="n">
        <v>3958.33333333333</v>
      </c>
      <c r="AC80" s="364" t="n">
        <v>3958.33333333333</v>
      </c>
      <c r="AD80" s="364" t="n">
        <v>3958.33333333333</v>
      </c>
      <c r="AE80" s="364" t="n">
        <v>3958.33333333333</v>
      </c>
      <c r="AF80" s="364" t="n">
        <v>3958.33333333333</v>
      </c>
      <c r="AG80" s="364" t="n">
        <v>3958.33333333333</v>
      </c>
      <c r="AH80" s="364" t="n">
        <v>3958.33333333333</v>
      </c>
      <c r="AI80" s="364" t="n">
        <v>3958.33333333333</v>
      </c>
      <c r="AJ80" s="364" t="n">
        <v>3958.33333333333</v>
      </c>
      <c r="AK80" s="364" t="n">
        <v>3958.33333333333</v>
      </c>
      <c r="AL80" s="361" t="n">
        <v>3958.33333333333</v>
      </c>
      <c r="AM80" s="361" t="n">
        <v>3958.33333333333</v>
      </c>
      <c r="AN80" s="361" t="n">
        <v>3958.33333333333</v>
      </c>
      <c r="AO80" s="361" t="n">
        <v>3958.33333333333</v>
      </c>
      <c r="AP80" s="361" t="n">
        <v>3958.33333333333</v>
      </c>
      <c r="AQ80" s="361" t="n">
        <v>3958.33333333333</v>
      </c>
      <c r="AR80" s="361" t="n">
        <v>3958.33333333333</v>
      </c>
      <c r="AS80" s="361" t="n">
        <v>3958.33333333333</v>
      </c>
      <c r="AT80" s="361" t="n">
        <v>3958.33333333333</v>
      </c>
      <c r="AU80" s="361" t="n">
        <v>3958.33333333333</v>
      </c>
      <c r="AV80" s="361" t="n">
        <v>3958.33333333333</v>
      </c>
      <c r="AW80" s="361" t="n">
        <v>3958.33333333333</v>
      </c>
      <c r="AX80" s="362" t="n">
        <v>3958.33333333333</v>
      </c>
      <c r="AY80" s="362" t="n">
        <v>3958.33333333333</v>
      </c>
      <c r="AZ80" s="362" t="n">
        <v>3958.33333333333</v>
      </c>
      <c r="BA80" s="362" t="n">
        <v>3958.33333333333</v>
      </c>
      <c r="BB80" s="362" t="n">
        <v>3958.33333333333</v>
      </c>
      <c r="BC80" s="362" t="n">
        <v>3958.33333333333</v>
      </c>
      <c r="BD80" s="362" t="n">
        <v>3958.33333333333</v>
      </c>
      <c r="BE80" s="362" t="n">
        <v>3958.33333333333</v>
      </c>
      <c r="BF80" s="362" t="n">
        <v>3958.33333333333</v>
      </c>
      <c r="BG80" s="362" t="n">
        <v>3958.33333333333</v>
      </c>
      <c r="BH80" s="362" t="n">
        <v>3958.33333333333</v>
      </c>
      <c r="BI80" s="362" t="n">
        <v>3958.33333333333</v>
      </c>
      <c r="BJ80" s="352" t="n">
        <f aca="false">SUM(E80:M80)</f>
        <v>4127.97619047619</v>
      </c>
      <c r="BK80" s="352" t="n">
        <f aca="false">SUM(N80:Y80)</f>
        <v>19678.5714285714</v>
      </c>
      <c r="BL80" s="352" t="n">
        <f aca="false">SUM(AL80:AW80)</f>
        <v>47500</v>
      </c>
      <c r="BM80" s="352" t="n">
        <f aca="false">SUM(AL80:AW80)</f>
        <v>47500</v>
      </c>
      <c r="BN80" s="352" t="n">
        <f aca="false">SUM(AX80:BI80)</f>
        <v>47500</v>
      </c>
    </row>
    <row r="81" s="360" customFormat="true" ht="24.75" hidden="false" customHeight="true" outlineLevel="1" collapsed="false">
      <c r="A81" s="353" t="s">
        <v>1588</v>
      </c>
      <c r="B81" s="354"/>
      <c r="C81" s="354"/>
      <c r="D81" s="354"/>
      <c r="E81" s="345" t="n">
        <v>28.2738095238095</v>
      </c>
      <c r="F81" s="345" t="n">
        <v>56.5476190476191</v>
      </c>
      <c r="G81" s="346" t="n">
        <v>113.095238095238</v>
      </c>
      <c r="H81" s="365" t="n">
        <v>169.642857142857</v>
      </c>
      <c r="I81" s="365" t="n">
        <v>226.190476190476</v>
      </c>
      <c r="J81" s="365" t="n">
        <v>282.738095238095</v>
      </c>
      <c r="K81" s="365" t="n">
        <v>339.285714285714</v>
      </c>
      <c r="L81" s="365" t="n">
        <v>395.833333333333</v>
      </c>
      <c r="M81" s="365" t="n">
        <v>452.380952380952</v>
      </c>
      <c r="N81" s="363" t="n">
        <v>508.928571428571</v>
      </c>
      <c r="O81" s="363" t="n">
        <v>565.476190476191</v>
      </c>
      <c r="P81" s="363" t="n">
        <v>622.02380952381</v>
      </c>
      <c r="Q81" s="363" t="n">
        <v>678.571428571429</v>
      </c>
      <c r="R81" s="363" t="n">
        <v>735.119047619048</v>
      </c>
      <c r="S81" s="363" t="n">
        <v>791.666666666667</v>
      </c>
      <c r="T81" s="363" t="n">
        <v>848.214285714286</v>
      </c>
      <c r="U81" s="363" t="n">
        <v>904.761904761905</v>
      </c>
      <c r="V81" s="363" t="n">
        <v>961.309523809524</v>
      </c>
      <c r="W81" s="363" t="n">
        <v>1017.85714285714</v>
      </c>
      <c r="X81" s="363" t="n">
        <v>1074.40476190476</v>
      </c>
      <c r="Y81" s="363" t="n">
        <v>1130.95238095238</v>
      </c>
      <c r="Z81" s="364" t="n">
        <v>1979.16666666667</v>
      </c>
      <c r="AA81" s="364" t="n">
        <v>1979.16666666667</v>
      </c>
      <c r="AB81" s="364" t="n">
        <v>1979.16666666667</v>
      </c>
      <c r="AC81" s="364" t="n">
        <v>1979.16666666667</v>
      </c>
      <c r="AD81" s="364" t="n">
        <v>1979.16666666667</v>
      </c>
      <c r="AE81" s="364" t="n">
        <v>1979.16666666667</v>
      </c>
      <c r="AF81" s="364" t="n">
        <v>1979.16666666667</v>
      </c>
      <c r="AG81" s="364" t="n">
        <v>1979.16666666667</v>
      </c>
      <c r="AH81" s="364" t="n">
        <v>1979.16666666667</v>
      </c>
      <c r="AI81" s="364" t="n">
        <v>1979.16666666667</v>
      </c>
      <c r="AJ81" s="364" t="n">
        <v>1979.16666666667</v>
      </c>
      <c r="AK81" s="364" t="n">
        <v>1979.16666666667</v>
      </c>
      <c r="AL81" s="361" t="n">
        <v>1979.16666666667</v>
      </c>
      <c r="AM81" s="361" t="n">
        <v>1979.16666666667</v>
      </c>
      <c r="AN81" s="361" t="n">
        <v>1979.16666666667</v>
      </c>
      <c r="AO81" s="361" t="n">
        <v>1979.16666666667</v>
      </c>
      <c r="AP81" s="361" t="n">
        <v>1979.16666666667</v>
      </c>
      <c r="AQ81" s="361" t="n">
        <v>1979.16666666667</v>
      </c>
      <c r="AR81" s="361" t="n">
        <v>1979.16666666667</v>
      </c>
      <c r="AS81" s="361" t="n">
        <v>1979.16666666667</v>
      </c>
      <c r="AT81" s="361" t="n">
        <v>1979.16666666667</v>
      </c>
      <c r="AU81" s="361" t="n">
        <v>1979.16666666667</v>
      </c>
      <c r="AV81" s="361" t="n">
        <v>1979.16666666667</v>
      </c>
      <c r="AW81" s="361" t="n">
        <v>1979.16666666667</v>
      </c>
      <c r="AX81" s="362" t="n">
        <v>1979.16666666667</v>
      </c>
      <c r="AY81" s="362" t="n">
        <v>1979.16666666667</v>
      </c>
      <c r="AZ81" s="362" t="n">
        <v>1979.16666666667</v>
      </c>
      <c r="BA81" s="362" t="n">
        <v>1979.16666666667</v>
      </c>
      <c r="BB81" s="362" t="n">
        <v>1979.16666666667</v>
      </c>
      <c r="BC81" s="362" t="n">
        <v>1979.16666666667</v>
      </c>
      <c r="BD81" s="362" t="n">
        <v>1979.16666666667</v>
      </c>
      <c r="BE81" s="362" t="n">
        <v>1979.16666666667</v>
      </c>
      <c r="BF81" s="362" t="n">
        <v>1979.16666666667</v>
      </c>
      <c r="BG81" s="362" t="n">
        <v>1979.16666666667</v>
      </c>
      <c r="BH81" s="362" t="n">
        <v>1979.16666666667</v>
      </c>
      <c r="BI81" s="362" t="n">
        <v>1979.16666666667</v>
      </c>
      <c r="BJ81" s="352" t="n">
        <f aca="false">SUM(E81:M81)</f>
        <v>2063.98809523809</v>
      </c>
      <c r="BK81" s="352" t="n">
        <f aca="false">SUM(N81:Y81)</f>
        <v>9839.28571428571</v>
      </c>
      <c r="BL81" s="352" t="n">
        <f aca="false">SUM(AL81:AW81)</f>
        <v>23750</v>
      </c>
      <c r="BM81" s="352" t="n">
        <f aca="false">SUM(AL81:AW81)</f>
        <v>23750</v>
      </c>
      <c r="BN81" s="352" t="n">
        <f aca="false">SUM(AX81:BI81)</f>
        <v>23750</v>
      </c>
    </row>
    <row r="82" s="360" customFormat="true" ht="24.75" hidden="false" customHeight="true" outlineLevel="1" collapsed="false">
      <c r="A82" s="353" t="s">
        <v>1589</v>
      </c>
      <c r="B82" s="354"/>
      <c r="C82" s="354"/>
      <c r="D82" s="354"/>
      <c r="E82" s="345" t="n">
        <v>16.9642857142857</v>
      </c>
      <c r="F82" s="345" t="n">
        <v>33.9285714285714</v>
      </c>
      <c r="G82" s="346" t="n">
        <v>67.8571428571429</v>
      </c>
      <c r="H82" s="365" t="n">
        <v>101.785714285714</v>
      </c>
      <c r="I82" s="365" t="n">
        <v>135.714285714286</v>
      </c>
      <c r="J82" s="365" t="n">
        <v>169.642857142857</v>
      </c>
      <c r="K82" s="365" t="n">
        <v>203.571428571429</v>
      </c>
      <c r="L82" s="365" t="n">
        <v>237.5</v>
      </c>
      <c r="M82" s="365" t="n">
        <v>271.428571428571</v>
      </c>
      <c r="N82" s="363" t="n">
        <v>305.357142857143</v>
      </c>
      <c r="O82" s="363" t="n">
        <v>339.285714285714</v>
      </c>
      <c r="P82" s="363" t="n">
        <v>373.214285714286</v>
      </c>
      <c r="Q82" s="363" t="n">
        <v>407.142857142857</v>
      </c>
      <c r="R82" s="363" t="n">
        <v>441.071428571429</v>
      </c>
      <c r="S82" s="363" t="n">
        <v>475</v>
      </c>
      <c r="T82" s="363" t="n">
        <v>508.928571428571</v>
      </c>
      <c r="U82" s="363" t="n">
        <v>542.857142857143</v>
      </c>
      <c r="V82" s="363" t="n">
        <v>576.785714285714</v>
      </c>
      <c r="W82" s="363" t="n">
        <v>610.714285714286</v>
      </c>
      <c r="X82" s="363" t="n">
        <v>644.642857142857</v>
      </c>
      <c r="Y82" s="363" t="n">
        <v>678.571428571429</v>
      </c>
      <c r="Z82" s="364" t="n">
        <v>1187.5</v>
      </c>
      <c r="AA82" s="364" t="n">
        <v>1187.5</v>
      </c>
      <c r="AB82" s="364" t="n">
        <v>1187.5</v>
      </c>
      <c r="AC82" s="364" t="n">
        <v>1187.5</v>
      </c>
      <c r="AD82" s="364" t="n">
        <v>1187.5</v>
      </c>
      <c r="AE82" s="364" t="n">
        <v>1187.5</v>
      </c>
      <c r="AF82" s="364" t="n">
        <v>1187.5</v>
      </c>
      <c r="AG82" s="364" t="n">
        <v>1187.5</v>
      </c>
      <c r="AH82" s="364" t="n">
        <v>1187.5</v>
      </c>
      <c r="AI82" s="364" t="n">
        <v>1187.5</v>
      </c>
      <c r="AJ82" s="364" t="n">
        <v>1187.5</v>
      </c>
      <c r="AK82" s="364" t="n">
        <v>1187.5</v>
      </c>
      <c r="AL82" s="361" t="n">
        <v>1187.5</v>
      </c>
      <c r="AM82" s="361" t="n">
        <v>1187.5</v>
      </c>
      <c r="AN82" s="361" t="n">
        <v>1187.5</v>
      </c>
      <c r="AO82" s="361" t="n">
        <v>1187.5</v>
      </c>
      <c r="AP82" s="361" t="n">
        <v>1187.5</v>
      </c>
      <c r="AQ82" s="361" t="n">
        <v>1187.5</v>
      </c>
      <c r="AR82" s="361" t="n">
        <v>1187.5</v>
      </c>
      <c r="AS82" s="361" t="n">
        <v>1187.5</v>
      </c>
      <c r="AT82" s="361" t="n">
        <v>1187.5</v>
      </c>
      <c r="AU82" s="361" t="n">
        <v>1187.5</v>
      </c>
      <c r="AV82" s="361" t="n">
        <v>1187.5</v>
      </c>
      <c r="AW82" s="361" t="n">
        <v>1187.5</v>
      </c>
      <c r="AX82" s="362" t="n">
        <v>1187.5</v>
      </c>
      <c r="AY82" s="362" t="n">
        <v>1187.5</v>
      </c>
      <c r="AZ82" s="362" t="n">
        <v>1187.5</v>
      </c>
      <c r="BA82" s="362" t="n">
        <v>1187.5</v>
      </c>
      <c r="BB82" s="362" t="n">
        <v>1187.5</v>
      </c>
      <c r="BC82" s="362" t="n">
        <v>1187.5</v>
      </c>
      <c r="BD82" s="362" t="n">
        <v>1187.5</v>
      </c>
      <c r="BE82" s="362" t="n">
        <v>1187.5</v>
      </c>
      <c r="BF82" s="362" t="n">
        <v>1187.5</v>
      </c>
      <c r="BG82" s="362" t="n">
        <v>1187.5</v>
      </c>
      <c r="BH82" s="362" t="n">
        <v>1187.5</v>
      </c>
      <c r="BI82" s="362" t="n">
        <v>1187.5</v>
      </c>
      <c r="BJ82" s="352" t="n">
        <f aca="false">SUM(E82:M82)</f>
        <v>1238.39285714286</v>
      </c>
      <c r="BK82" s="352" t="n">
        <f aca="false">SUM(N82:Y82)</f>
        <v>5903.57142857143</v>
      </c>
      <c r="BL82" s="352" t="n">
        <f aca="false">SUM(AL82:AW82)</f>
        <v>14250</v>
      </c>
      <c r="BM82" s="352" t="n">
        <f aca="false">SUM(AL82:AW82)</f>
        <v>14250</v>
      </c>
      <c r="BN82" s="352" t="n">
        <f aca="false">SUM(AX82:BI82)</f>
        <v>14250</v>
      </c>
      <c r="BS82" s="366"/>
      <c r="BT82" s="366"/>
      <c r="BU82" s="366"/>
      <c r="BV82" s="366"/>
      <c r="BW82" s="366"/>
      <c r="BX82" s="366"/>
      <c r="BY82" s="366"/>
      <c r="BZ82" s="366"/>
      <c r="CA82" s="366"/>
      <c r="CB82" s="366"/>
      <c r="CC82" s="366"/>
      <c r="CD82" s="366"/>
      <c r="CE82" s="366"/>
      <c r="CF82" s="366"/>
      <c r="CG82" s="366"/>
    </row>
    <row r="83" s="360" customFormat="true" ht="24.75" hidden="false" customHeight="true" outlineLevel="1" collapsed="false">
      <c r="A83" s="353" t="s">
        <v>1590</v>
      </c>
      <c r="B83" s="354"/>
      <c r="C83" s="354"/>
      <c r="D83" s="354"/>
      <c r="E83" s="345" t="n">
        <v>5.65476190476191</v>
      </c>
      <c r="F83" s="345" t="n">
        <v>11.3095238095238</v>
      </c>
      <c r="G83" s="346" t="n">
        <v>22.6190476190476</v>
      </c>
      <c r="H83" s="365" t="n">
        <v>33.9285714285714</v>
      </c>
      <c r="I83" s="365" t="n">
        <v>45.2380952380952</v>
      </c>
      <c r="J83" s="365" t="n">
        <v>56.5476190476191</v>
      </c>
      <c r="K83" s="365" t="n">
        <v>67.8571428571429</v>
      </c>
      <c r="L83" s="365" t="n">
        <v>79.1666666666667</v>
      </c>
      <c r="M83" s="365" t="n">
        <v>90.4761904761905</v>
      </c>
      <c r="N83" s="363" t="n">
        <v>101.785714285714</v>
      </c>
      <c r="O83" s="363" t="n">
        <v>113.095238095238</v>
      </c>
      <c r="P83" s="363" t="n">
        <v>124.404761904762</v>
      </c>
      <c r="Q83" s="363" t="n">
        <v>135.714285714286</v>
      </c>
      <c r="R83" s="363" t="n">
        <v>147.02380952381</v>
      </c>
      <c r="S83" s="363" t="n">
        <v>158.333333333333</v>
      </c>
      <c r="T83" s="363" t="n">
        <v>169.642857142857</v>
      </c>
      <c r="U83" s="363" t="n">
        <v>180.952380952381</v>
      </c>
      <c r="V83" s="363" t="n">
        <v>192.261904761905</v>
      </c>
      <c r="W83" s="363" t="n">
        <v>203.571428571429</v>
      </c>
      <c r="X83" s="363" t="n">
        <v>214.880952380952</v>
      </c>
      <c r="Y83" s="363" t="n">
        <v>226.190476190476</v>
      </c>
      <c r="Z83" s="364" t="n">
        <v>395.833333333333</v>
      </c>
      <c r="AA83" s="364" t="n">
        <v>395.833333333333</v>
      </c>
      <c r="AB83" s="364" t="n">
        <v>395.833333333333</v>
      </c>
      <c r="AC83" s="364" t="n">
        <v>395.833333333333</v>
      </c>
      <c r="AD83" s="364" t="n">
        <v>395.833333333333</v>
      </c>
      <c r="AE83" s="364" t="n">
        <v>395.833333333333</v>
      </c>
      <c r="AF83" s="364" t="n">
        <v>395.833333333333</v>
      </c>
      <c r="AG83" s="364" t="n">
        <v>395.833333333333</v>
      </c>
      <c r="AH83" s="364" t="n">
        <v>395.833333333333</v>
      </c>
      <c r="AI83" s="364" t="n">
        <v>395.833333333333</v>
      </c>
      <c r="AJ83" s="364" t="n">
        <v>395.833333333333</v>
      </c>
      <c r="AK83" s="364" t="n">
        <v>395.833333333333</v>
      </c>
      <c r="AL83" s="361" t="n">
        <v>395.833333333333</v>
      </c>
      <c r="AM83" s="361" t="n">
        <v>395.833333333333</v>
      </c>
      <c r="AN83" s="361" t="n">
        <v>395.833333333333</v>
      </c>
      <c r="AO83" s="361" t="n">
        <v>395.833333333333</v>
      </c>
      <c r="AP83" s="361" t="n">
        <v>395.833333333333</v>
      </c>
      <c r="AQ83" s="361" t="n">
        <v>395.833333333333</v>
      </c>
      <c r="AR83" s="361" t="n">
        <v>395.833333333333</v>
      </c>
      <c r="AS83" s="361" t="n">
        <v>395.833333333333</v>
      </c>
      <c r="AT83" s="361" t="n">
        <v>395.833333333333</v>
      </c>
      <c r="AU83" s="361" t="n">
        <v>395.833333333333</v>
      </c>
      <c r="AV83" s="361" t="n">
        <v>395.833333333333</v>
      </c>
      <c r="AW83" s="361" t="n">
        <v>395.833333333333</v>
      </c>
      <c r="AX83" s="362" t="n">
        <v>395.833333333333</v>
      </c>
      <c r="AY83" s="362" t="n">
        <v>395.833333333333</v>
      </c>
      <c r="AZ83" s="362" t="n">
        <v>395.833333333333</v>
      </c>
      <c r="BA83" s="362" t="n">
        <v>395.833333333333</v>
      </c>
      <c r="BB83" s="362" t="n">
        <v>395.833333333333</v>
      </c>
      <c r="BC83" s="362" t="n">
        <v>395.833333333333</v>
      </c>
      <c r="BD83" s="362" t="n">
        <v>395.833333333333</v>
      </c>
      <c r="BE83" s="362" t="n">
        <v>395.833333333333</v>
      </c>
      <c r="BF83" s="362" t="n">
        <v>395.833333333333</v>
      </c>
      <c r="BG83" s="362" t="n">
        <v>395.833333333333</v>
      </c>
      <c r="BH83" s="362" t="n">
        <v>395.833333333333</v>
      </c>
      <c r="BI83" s="362" t="n">
        <v>395.833333333333</v>
      </c>
      <c r="BJ83" s="352" t="n">
        <f aca="false">SUM(E83:M83)</f>
        <v>412.797619047619</v>
      </c>
      <c r="BK83" s="352" t="n">
        <f aca="false">SUM(N83:Y83)</f>
        <v>1967.85714285714</v>
      </c>
      <c r="BL83" s="352" t="n">
        <f aca="false">SUM(AL83:AW83)</f>
        <v>4750</v>
      </c>
      <c r="BM83" s="352" t="n">
        <f aca="false">SUM(AL83:AW83)</f>
        <v>4750</v>
      </c>
      <c r="BN83" s="352" t="n">
        <f aca="false">SUM(AX83:BI83)</f>
        <v>4750</v>
      </c>
      <c r="BS83" s="366"/>
      <c r="BT83" s="366"/>
      <c r="BU83" s="366"/>
      <c r="BV83" s="366"/>
      <c r="BW83" s="366"/>
      <c r="BX83" s="366"/>
      <c r="BY83" s="366"/>
      <c r="BZ83" s="366"/>
      <c r="CA83" s="366"/>
      <c r="CB83" s="366"/>
      <c r="CC83" s="366"/>
      <c r="CD83" s="366"/>
      <c r="CE83" s="366"/>
      <c r="CF83" s="366"/>
      <c r="CG83" s="366"/>
    </row>
    <row r="84" s="360" customFormat="true" ht="24.75" hidden="false" customHeight="true" outlineLevel="1" collapsed="false">
      <c r="A84" s="353" t="s">
        <v>1591</v>
      </c>
      <c r="B84" s="354"/>
      <c r="C84" s="354"/>
      <c r="D84" s="354"/>
      <c r="E84" s="345" t="n">
        <v>4.24166666666667</v>
      </c>
      <c r="F84" s="345" t="n">
        <v>8.48333333333333</v>
      </c>
      <c r="G84" s="346" t="n">
        <v>16.9666666666667</v>
      </c>
      <c r="H84" s="365" t="n">
        <v>25.45</v>
      </c>
      <c r="I84" s="365" t="n">
        <v>33.9333333333333</v>
      </c>
      <c r="J84" s="365" t="n">
        <v>42.4166666666667</v>
      </c>
      <c r="K84" s="365" t="n">
        <v>50.9</v>
      </c>
      <c r="L84" s="365" t="n">
        <v>59.3833333333333</v>
      </c>
      <c r="M84" s="365" t="n">
        <v>67.8666666666667</v>
      </c>
      <c r="N84" s="363" t="n">
        <v>76.35</v>
      </c>
      <c r="O84" s="363" t="n">
        <v>84.8333333333333</v>
      </c>
      <c r="P84" s="363" t="n">
        <v>93.3166666666667</v>
      </c>
      <c r="Q84" s="363" t="n">
        <v>101.8</v>
      </c>
      <c r="R84" s="363" t="n">
        <v>110.283333333333</v>
      </c>
      <c r="S84" s="363" t="n">
        <v>118.766666666667</v>
      </c>
      <c r="T84" s="363" t="n">
        <v>127.25</v>
      </c>
      <c r="U84" s="363" t="n">
        <v>135.733333333333</v>
      </c>
      <c r="V84" s="363" t="n">
        <v>144.216666666667</v>
      </c>
      <c r="W84" s="363" t="n">
        <v>152.7</v>
      </c>
      <c r="X84" s="363" t="n">
        <v>161.183333333333</v>
      </c>
      <c r="Y84" s="363" t="n">
        <v>169.666666666667</v>
      </c>
      <c r="Z84" s="364" t="n">
        <v>296.916666666667</v>
      </c>
      <c r="AA84" s="364" t="n">
        <v>296.916666666667</v>
      </c>
      <c r="AB84" s="364" t="n">
        <v>296.916666666667</v>
      </c>
      <c r="AC84" s="364" t="n">
        <v>296.916666666667</v>
      </c>
      <c r="AD84" s="364" t="n">
        <v>296.916666666667</v>
      </c>
      <c r="AE84" s="364" t="n">
        <v>296.916666666667</v>
      </c>
      <c r="AF84" s="364" t="n">
        <v>296.916666666667</v>
      </c>
      <c r="AG84" s="364" t="n">
        <v>296.916666666667</v>
      </c>
      <c r="AH84" s="364" t="n">
        <v>296.916666666667</v>
      </c>
      <c r="AI84" s="364" t="n">
        <v>296.916666666667</v>
      </c>
      <c r="AJ84" s="364" t="n">
        <v>296.916666666667</v>
      </c>
      <c r="AK84" s="364" t="n">
        <v>296.916666666667</v>
      </c>
      <c r="AL84" s="361" t="n">
        <v>296.916666666667</v>
      </c>
      <c r="AM84" s="361" t="n">
        <v>296.916666666667</v>
      </c>
      <c r="AN84" s="361" t="n">
        <v>296.916666666667</v>
      </c>
      <c r="AO84" s="361" t="n">
        <v>296.916666666667</v>
      </c>
      <c r="AP84" s="361" t="n">
        <v>296.916666666667</v>
      </c>
      <c r="AQ84" s="361" t="n">
        <v>296.916666666667</v>
      </c>
      <c r="AR84" s="361" t="n">
        <v>296.916666666667</v>
      </c>
      <c r="AS84" s="361" t="n">
        <v>296.916666666667</v>
      </c>
      <c r="AT84" s="361" t="n">
        <v>296.916666666667</v>
      </c>
      <c r="AU84" s="361" t="n">
        <v>296.916666666667</v>
      </c>
      <c r="AV84" s="361" t="n">
        <v>296.916666666667</v>
      </c>
      <c r="AW84" s="361" t="n">
        <v>296.916666666667</v>
      </c>
      <c r="AX84" s="362" t="n">
        <v>296.916666666667</v>
      </c>
      <c r="AY84" s="362" t="n">
        <v>296.916666666667</v>
      </c>
      <c r="AZ84" s="362" t="n">
        <v>296.916666666667</v>
      </c>
      <c r="BA84" s="362" t="n">
        <v>296.916666666667</v>
      </c>
      <c r="BB84" s="362" t="n">
        <v>296.916666666667</v>
      </c>
      <c r="BC84" s="362" t="n">
        <v>296.916666666667</v>
      </c>
      <c r="BD84" s="362" t="n">
        <v>296.916666666667</v>
      </c>
      <c r="BE84" s="362" t="n">
        <v>296.916666666667</v>
      </c>
      <c r="BF84" s="362" t="n">
        <v>296.916666666667</v>
      </c>
      <c r="BG84" s="362" t="n">
        <v>296.916666666667</v>
      </c>
      <c r="BH84" s="362" t="n">
        <v>296.916666666667</v>
      </c>
      <c r="BI84" s="362" t="n">
        <v>296.916666666667</v>
      </c>
      <c r="BJ84" s="352" t="n">
        <f aca="false">SUM(E84:M84)</f>
        <v>309.641666666667</v>
      </c>
      <c r="BK84" s="352" t="n">
        <f aca="false">SUM(N84:Y84)</f>
        <v>1476.1</v>
      </c>
      <c r="BL84" s="352" t="n">
        <f aca="false">SUM(AL84:AW84)</f>
        <v>3563</v>
      </c>
      <c r="BM84" s="352" t="n">
        <f aca="false">SUM(AL84:AW84)</f>
        <v>3563</v>
      </c>
      <c r="BN84" s="352" t="n">
        <f aca="false">SUM(AX84:BI84)</f>
        <v>3563</v>
      </c>
      <c r="BS84" s="366"/>
      <c r="BT84" s="366"/>
      <c r="BU84" s="366"/>
      <c r="BV84" s="366"/>
      <c r="BW84" s="366"/>
      <c r="BX84" s="366"/>
      <c r="BY84" s="366"/>
      <c r="BZ84" s="366"/>
      <c r="CA84" s="366"/>
      <c r="CB84" s="366"/>
      <c r="CC84" s="366"/>
      <c r="CD84" s="366"/>
      <c r="CE84" s="366"/>
      <c r="CF84" s="366"/>
      <c r="CG84" s="366"/>
    </row>
    <row r="85" s="360" customFormat="true" ht="24.75" hidden="false" customHeight="true" outlineLevel="1" collapsed="false">
      <c r="A85" s="367" t="s">
        <v>1592</v>
      </c>
      <c r="B85" s="354"/>
      <c r="C85" s="354"/>
      <c r="D85" s="354"/>
      <c r="E85" s="345" t="n">
        <v>1.41428571428571</v>
      </c>
      <c r="F85" s="345" t="n">
        <v>2.82857142857143</v>
      </c>
      <c r="G85" s="346" t="n">
        <v>5.65714285714286</v>
      </c>
      <c r="H85" s="365" t="n">
        <v>8.48571428571429</v>
      </c>
      <c r="I85" s="365" t="n">
        <v>11.3142857142857</v>
      </c>
      <c r="J85" s="365" t="n">
        <v>14.1428571428571</v>
      </c>
      <c r="K85" s="365" t="n">
        <v>16.9714285714286</v>
      </c>
      <c r="L85" s="365" t="n">
        <v>19.8</v>
      </c>
      <c r="M85" s="365" t="n">
        <v>22.6285714285714</v>
      </c>
      <c r="N85" s="363" t="n">
        <v>25.4571428571429</v>
      </c>
      <c r="O85" s="363" t="n">
        <v>28.2857142857143</v>
      </c>
      <c r="P85" s="363" t="n">
        <v>31.1142857142857</v>
      </c>
      <c r="Q85" s="363" t="n">
        <v>33.9428571428571</v>
      </c>
      <c r="R85" s="363" t="n">
        <v>36.7714285714286</v>
      </c>
      <c r="S85" s="363" t="n">
        <v>39.6</v>
      </c>
      <c r="T85" s="363" t="n">
        <v>42.4285714285714</v>
      </c>
      <c r="U85" s="363" t="n">
        <v>45.2571428571429</v>
      </c>
      <c r="V85" s="363" t="n">
        <v>48.0857142857143</v>
      </c>
      <c r="W85" s="363" t="n">
        <v>50.9142857142857</v>
      </c>
      <c r="X85" s="363" t="n">
        <v>53.7428571428571</v>
      </c>
      <c r="Y85" s="363" t="n">
        <v>56.5714285714286</v>
      </c>
      <c r="Z85" s="364" t="n">
        <v>99</v>
      </c>
      <c r="AA85" s="364" t="n">
        <v>99</v>
      </c>
      <c r="AB85" s="364" t="n">
        <v>99</v>
      </c>
      <c r="AC85" s="364" t="n">
        <v>99</v>
      </c>
      <c r="AD85" s="364" t="n">
        <v>99</v>
      </c>
      <c r="AE85" s="364" t="n">
        <v>99</v>
      </c>
      <c r="AF85" s="364" t="n">
        <v>99</v>
      </c>
      <c r="AG85" s="364" t="n">
        <v>99</v>
      </c>
      <c r="AH85" s="364" t="n">
        <v>99</v>
      </c>
      <c r="AI85" s="364" t="n">
        <v>99</v>
      </c>
      <c r="AJ85" s="364" t="n">
        <v>99</v>
      </c>
      <c r="AK85" s="364" t="n">
        <v>99</v>
      </c>
      <c r="AL85" s="361" t="n">
        <v>99</v>
      </c>
      <c r="AM85" s="361" t="n">
        <v>99</v>
      </c>
      <c r="AN85" s="361" t="n">
        <v>99</v>
      </c>
      <c r="AO85" s="361" t="n">
        <v>99</v>
      </c>
      <c r="AP85" s="361" t="n">
        <v>99</v>
      </c>
      <c r="AQ85" s="361" t="n">
        <v>99</v>
      </c>
      <c r="AR85" s="361" t="n">
        <v>99</v>
      </c>
      <c r="AS85" s="361" t="n">
        <v>99</v>
      </c>
      <c r="AT85" s="361" t="n">
        <v>99</v>
      </c>
      <c r="AU85" s="361" t="n">
        <v>99</v>
      </c>
      <c r="AV85" s="361" t="n">
        <v>99</v>
      </c>
      <c r="AW85" s="361" t="n">
        <v>99</v>
      </c>
      <c r="AX85" s="362" t="n">
        <v>99</v>
      </c>
      <c r="AY85" s="362" t="n">
        <v>99</v>
      </c>
      <c r="AZ85" s="362" t="n">
        <v>99</v>
      </c>
      <c r="BA85" s="362" t="n">
        <v>99</v>
      </c>
      <c r="BB85" s="362" t="n">
        <v>99</v>
      </c>
      <c r="BC85" s="362" t="n">
        <v>99</v>
      </c>
      <c r="BD85" s="362" t="n">
        <v>99</v>
      </c>
      <c r="BE85" s="362" t="n">
        <v>99</v>
      </c>
      <c r="BF85" s="362" t="n">
        <v>99</v>
      </c>
      <c r="BG85" s="362" t="n">
        <v>99</v>
      </c>
      <c r="BH85" s="362" t="n">
        <v>99</v>
      </c>
      <c r="BI85" s="362" t="n">
        <v>99</v>
      </c>
      <c r="BJ85" s="352" t="n">
        <f aca="false">SUM(E85:M85)</f>
        <v>103.242857142857</v>
      </c>
      <c r="BK85" s="352" t="n">
        <f aca="false">SUM(N85:Y85)</f>
        <v>492.171428571429</v>
      </c>
      <c r="BL85" s="352" t="n">
        <f aca="false">SUM(AL85:AW85)</f>
        <v>1188</v>
      </c>
      <c r="BM85" s="352" t="n">
        <f aca="false">SUM(AL85:AW85)</f>
        <v>1188</v>
      </c>
      <c r="BN85" s="352" t="n">
        <f aca="false">SUM(AX85:BI85)</f>
        <v>1188</v>
      </c>
      <c r="BS85" s="366"/>
      <c r="BT85" s="366"/>
      <c r="BU85" s="366"/>
      <c r="BV85" s="366"/>
      <c r="BW85" s="366"/>
      <c r="BX85" s="366"/>
      <c r="BY85" s="366"/>
      <c r="BZ85" s="366"/>
      <c r="CA85" s="366"/>
      <c r="CB85" s="366"/>
      <c r="CC85" s="366"/>
      <c r="CD85" s="366"/>
      <c r="CE85" s="366"/>
      <c r="CF85" s="366"/>
      <c r="CG85" s="366"/>
    </row>
    <row r="86" s="360" customFormat="true" ht="24.75" hidden="false" customHeight="true" outlineLevel="0" collapsed="false">
      <c r="A86" s="368" t="s">
        <v>1670</v>
      </c>
      <c r="B86" s="369" t="n">
        <f aca="false">SUM(B57:B85)</f>
        <v>0</v>
      </c>
      <c r="C86" s="369" t="n">
        <f aca="false">SUM(C57:C85)</f>
        <v>0</v>
      </c>
      <c r="D86" s="369" t="n">
        <f aca="false">SUM(D57:D85)</f>
        <v>0</v>
      </c>
      <c r="E86" s="369" t="n">
        <f aca="false">SUM(E57:E85)</f>
        <v>4285.71547619048</v>
      </c>
      <c r="F86" s="369" t="n">
        <f aca="false">SUM(F57:F85)</f>
        <v>8571.43095238095</v>
      </c>
      <c r="G86" s="369" t="n">
        <f aca="false">SUM(G57:G85)</f>
        <v>17142.8619047619</v>
      </c>
      <c r="H86" s="369" t="n">
        <f aca="false">SUM(H57:H85)</f>
        <v>25714.2928571429</v>
      </c>
      <c r="I86" s="369" t="n">
        <f aca="false">SUM(I57:I85)</f>
        <v>34285.7238095238</v>
      </c>
      <c r="J86" s="369" t="n">
        <f aca="false">SUM(J57:J85)</f>
        <v>42857.1547619048</v>
      </c>
      <c r="K86" s="369" t="n">
        <f aca="false">SUM(K57:K85)</f>
        <v>51428.5857142857</v>
      </c>
      <c r="L86" s="369" t="n">
        <f aca="false">SUM(L57:L85)</f>
        <v>60000.0166666667</v>
      </c>
      <c r="M86" s="369" t="n">
        <f aca="false">SUM(M57:M85)</f>
        <v>68571.4476190476</v>
      </c>
      <c r="N86" s="369" t="n">
        <f aca="false">SUM(N57:N85)</f>
        <v>77142.8785714286</v>
      </c>
      <c r="O86" s="369" t="n">
        <f aca="false">SUM(O57:O85)</f>
        <v>85714.3095238095</v>
      </c>
      <c r="P86" s="369" t="n">
        <f aca="false">SUM(P57:P85)</f>
        <v>94285.7404761906</v>
      </c>
      <c r="Q86" s="369" t="n">
        <f aca="false">SUM(Q57:Q85)</f>
        <v>102857.171428571</v>
      </c>
      <c r="R86" s="369" t="n">
        <f aca="false">SUM(R57:R85)</f>
        <v>111428.602380952</v>
      </c>
      <c r="S86" s="369" t="n">
        <f aca="false">SUM(S57:S85)</f>
        <v>120000.033333333</v>
      </c>
      <c r="T86" s="369" t="n">
        <f aca="false">SUM(T57:T85)</f>
        <v>128571.464285714</v>
      </c>
      <c r="U86" s="369" t="n">
        <f aca="false">SUM(U57:U85)</f>
        <v>137142.895238095</v>
      </c>
      <c r="V86" s="369" t="n">
        <f aca="false">SUM(V57:V85)</f>
        <v>145714.326190476</v>
      </c>
      <c r="W86" s="369" t="n">
        <f aca="false">SUM(W57:W85)</f>
        <v>154285.757142857</v>
      </c>
      <c r="X86" s="369" t="n">
        <f aca="false">SUM(X57:X85)</f>
        <v>162857.188095238</v>
      </c>
      <c r="Y86" s="369" t="n">
        <f aca="false">SUM(Y57:Y85)</f>
        <v>171428.619047619</v>
      </c>
      <c r="Z86" s="369" t="n">
        <f aca="false">SUM(Z57:Z85)</f>
        <v>300000.083333333</v>
      </c>
      <c r="AA86" s="369" t="n">
        <f aca="false">SUM(AA57:AA85)</f>
        <v>300000.083333333</v>
      </c>
      <c r="AB86" s="369" t="n">
        <f aca="false">SUM(AB57:AB85)</f>
        <v>300000.083333333</v>
      </c>
      <c r="AC86" s="369" t="n">
        <f aca="false">SUM(AC57:AC85)</f>
        <v>300000.083333333</v>
      </c>
      <c r="AD86" s="369" t="n">
        <f aca="false">SUM(AD57:AD85)</f>
        <v>300000.083333333</v>
      </c>
      <c r="AE86" s="369" t="n">
        <f aca="false">SUM(AE57:AE85)</f>
        <v>300000.083333333</v>
      </c>
      <c r="AF86" s="369" t="n">
        <f aca="false">SUM(AF57:AF85)</f>
        <v>300000.083333333</v>
      </c>
      <c r="AG86" s="369" t="n">
        <f aca="false">SUM(AG57:AG85)</f>
        <v>300000.083333333</v>
      </c>
      <c r="AH86" s="369" t="n">
        <f aca="false">SUM(AH57:AH85)</f>
        <v>300000.083333333</v>
      </c>
      <c r="AI86" s="369" t="n">
        <f aca="false">SUM(AI57:AI85)</f>
        <v>300000.083333333</v>
      </c>
      <c r="AJ86" s="369" t="n">
        <f aca="false">SUM(AJ57:AJ85)</f>
        <v>300000.083333333</v>
      </c>
      <c r="AK86" s="369" t="n">
        <f aca="false">SUM(AK57:AK85)</f>
        <v>300000.083333333</v>
      </c>
      <c r="AL86" s="369" t="n">
        <f aca="false">SUM(AL57:AL85)</f>
        <v>300000.083333333</v>
      </c>
      <c r="AM86" s="369" t="n">
        <f aca="false">SUM(AM57:AM85)</f>
        <v>300000.083333333</v>
      </c>
      <c r="AN86" s="369" t="n">
        <f aca="false">SUM(AN57:AN85)</f>
        <v>300000.083333333</v>
      </c>
      <c r="AO86" s="369" t="n">
        <f aca="false">SUM(AO57:AO85)</f>
        <v>300000.083333333</v>
      </c>
      <c r="AP86" s="369" t="n">
        <f aca="false">SUM(AP57:AP85)</f>
        <v>300000.083333333</v>
      </c>
      <c r="AQ86" s="369" t="n">
        <f aca="false">SUM(AQ57:AQ85)</f>
        <v>300000.083333333</v>
      </c>
      <c r="AR86" s="369" t="n">
        <f aca="false">SUM(AR57:AR85)</f>
        <v>300000.083333333</v>
      </c>
      <c r="AS86" s="369" t="n">
        <f aca="false">SUM(AS57:AS85)</f>
        <v>300000.083333333</v>
      </c>
      <c r="AT86" s="369" t="n">
        <f aca="false">SUM(AT57:AT85)</f>
        <v>300000.083333333</v>
      </c>
      <c r="AU86" s="369" t="n">
        <f aca="false">SUM(AU57:AU85)</f>
        <v>300000.083333333</v>
      </c>
      <c r="AV86" s="369" t="n">
        <f aca="false">SUM(AV57:AV85)</f>
        <v>300000.083333333</v>
      </c>
      <c r="AW86" s="369" t="n">
        <f aca="false">SUM(AW57:AW85)</f>
        <v>300000.083333333</v>
      </c>
      <c r="AX86" s="369" t="n">
        <f aca="false">SUM(AX57:AX85)</f>
        <v>300000.083333333</v>
      </c>
      <c r="AY86" s="369" t="n">
        <f aca="false">SUM(AY57:AY85)</f>
        <v>300000.083333333</v>
      </c>
      <c r="AZ86" s="369" t="n">
        <f aca="false">SUM(AZ57:AZ85)</f>
        <v>300000.083333333</v>
      </c>
      <c r="BA86" s="369" t="n">
        <f aca="false">SUM(BA57:BA85)</f>
        <v>300000.083333333</v>
      </c>
      <c r="BB86" s="369" t="n">
        <f aca="false">SUM(BB57:BB85)</f>
        <v>300000.083333333</v>
      </c>
      <c r="BC86" s="369" t="n">
        <f aca="false">SUM(BC57:BC85)</f>
        <v>300000.083333333</v>
      </c>
      <c r="BD86" s="369" t="n">
        <f aca="false">SUM(BD57:BD85)</f>
        <v>300000.083333333</v>
      </c>
      <c r="BE86" s="369" t="n">
        <f aca="false">SUM(BE57:BE85)</f>
        <v>300000.083333333</v>
      </c>
      <c r="BF86" s="369" t="n">
        <f aca="false">SUM(BF57:BF85)</f>
        <v>300000.083333333</v>
      </c>
      <c r="BG86" s="369" t="n">
        <f aca="false">SUM(BG57:BG85)</f>
        <v>300000.083333333</v>
      </c>
      <c r="BH86" s="369" t="n">
        <f aca="false">SUM(BH57:BH85)</f>
        <v>300000.083333333</v>
      </c>
      <c r="BI86" s="369" t="n">
        <f aca="false">SUM(BI57:BI85)</f>
        <v>300000.083333333</v>
      </c>
      <c r="BJ86" s="370" t="n">
        <f aca="false">SUM(BJ57:BJ85)</f>
        <v>312857.229761905</v>
      </c>
      <c r="BK86" s="370" t="n">
        <f aca="false">SUM(BK57:BK85)</f>
        <v>1491428.98571429</v>
      </c>
      <c r="BL86" s="370" t="n">
        <f aca="false">SUM(BL57:BL85)</f>
        <v>3600001</v>
      </c>
      <c r="BM86" s="370" t="n">
        <f aca="false">SUM(BM57:BM85)</f>
        <v>3600001</v>
      </c>
      <c r="BN86" s="370" t="n">
        <f aca="false">SUM(BN57:BN85)</f>
        <v>3600001</v>
      </c>
      <c r="BP86" s="371"/>
      <c r="BQ86" s="371"/>
      <c r="BR86" s="371"/>
    </row>
    <row r="87" customFormat="false" ht="24.75" hidden="false" customHeight="true" outlineLevel="0" collapsed="false">
      <c r="A87" s="323"/>
      <c r="B87" s="325"/>
      <c r="C87" s="325"/>
      <c r="D87" s="325"/>
      <c r="E87" s="325"/>
      <c r="F87" s="325"/>
      <c r="G87" s="325"/>
      <c r="H87" s="325"/>
      <c r="I87" s="325"/>
      <c r="J87" s="325"/>
      <c r="K87" s="325"/>
      <c r="L87" s="325"/>
      <c r="M87" s="372"/>
      <c r="N87" s="373"/>
      <c r="O87" s="325"/>
      <c r="P87" s="325"/>
      <c r="Q87" s="325"/>
      <c r="R87" s="325"/>
      <c r="S87" s="325"/>
      <c r="T87" s="325"/>
      <c r="U87" s="325"/>
      <c r="V87" s="325"/>
      <c r="W87" s="325"/>
      <c r="X87" s="325"/>
      <c r="Y87" s="372"/>
      <c r="Z87" s="373"/>
      <c r="AA87" s="325"/>
      <c r="AB87" s="325"/>
      <c r="AC87" s="325"/>
      <c r="AD87" s="325"/>
      <c r="AE87" s="325"/>
      <c r="AF87" s="325"/>
      <c r="AG87" s="325"/>
      <c r="AH87" s="325"/>
      <c r="AI87" s="325"/>
      <c r="AJ87" s="325"/>
      <c r="AK87" s="372"/>
      <c r="AL87" s="373"/>
      <c r="AM87" s="325"/>
      <c r="AN87" s="325"/>
      <c r="AO87" s="325"/>
      <c r="AP87" s="325"/>
      <c r="AQ87" s="325"/>
      <c r="AR87" s="325"/>
      <c r="AS87" s="325"/>
      <c r="AT87" s="325"/>
      <c r="AU87" s="325"/>
      <c r="AV87" s="325"/>
      <c r="AW87" s="372"/>
      <c r="AX87" s="373"/>
      <c r="AY87" s="325"/>
      <c r="AZ87" s="325"/>
      <c r="BA87" s="325"/>
      <c r="BB87" s="325"/>
      <c r="BC87" s="325"/>
      <c r="BD87" s="325"/>
      <c r="BE87" s="325"/>
      <c r="BF87" s="325"/>
      <c r="BG87" s="325"/>
      <c r="BH87" s="325"/>
      <c r="BI87" s="372"/>
      <c r="BJ87" s="374"/>
      <c r="BK87" s="375"/>
      <c r="BL87" s="375"/>
      <c r="BM87" s="375"/>
      <c r="BN87" s="375"/>
      <c r="BO87" s="325"/>
      <c r="BP87" s="376"/>
      <c r="BQ87" s="376"/>
      <c r="BR87" s="376"/>
      <c r="BS87" s="377"/>
      <c r="BT87" s="377"/>
      <c r="BU87" s="377"/>
      <c r="BV87" s="377"/>
      <c r="BW87" s="377"/>
      <c r="BX87" s="377"/>
      <c r="BY87" s="377"/>
      <c r="BZ87" s="377"/>
      <c r="CA87" s="377"/>
      <c r="CB87" s="377"/>
      <c r="CC87" s="377"/>
      <c r="CD87" s="377"/>
      <c r="CE87" s="377"/>
      <c r="CF87" s="377"/>
      <c r="CG87" s="377"/>
    </row>
    <row r="88" s="380" customFormat="true" ht="24.75" hidden="false" customHeight="true" outlineLevel="0" collapsed="false">
      <c r="A88" s="378" t="s">
        <v>1671</v>
      </c>
      <c r="B88" s="333" t="s">
        <v>1476</v>
      </c>
      <c r="C88" s="333" t="s">
        <v>1477</v>
      </c>
      <c r="D88" s="333" t="s">
        <v>1478</v>
      </c>
      <c r="E88" s="333" t="s">
        <v>1479</v>
      </c>
      <c r="F88" s="333" t="s">
        <v>1480</v>
      </c>
      <c r="G88" s="333" t="s">
        <v>1481</v>
      </c>
      <c r="H88" s="333" t="s">
        <v>1482</v>
      </c>
      <c r="I88" s="333" t="s">
        <v>1483</v>
      </c>
      <c r="J88" s="333" t="s">
        <v>1484</v>
      </c>
      <c r="K88" s="333" t="s">
        <v>1485</v>
      </c>
      <c r="L88" s="333" t="s">
        <v>1486</v>
      </c>
      <c r="M88" s="333" t="s">
        <v>1487</v>
      </c>
      <c r="N88" s="333" t="s">
        <v>1622</v>
      </c>
      <c r="O88" s="333" t="s">
        <v>1623</v>
      </c>
      <c r="P88" s="333" t="s">
        <v>1624</v>
      </c>
      <c r="Q88" s="333" t="s">
        <v>1625</v>
      </c>
      <c r="R88" s="333" t="s">
        <v>1626</v>
      </c>
      <c r="S88" s="333" t="s">
        <v>1627</v>
      </c>
      <c r="T88" s="333" t="s">
        <v>1628</v>
      </c>
      <c r="U88" s="333" t="s">
        <v>1629</v>
      </c>
      <c r="V88" s="333" t="s">
        <v>1630</v>
      </c>
      <c r="W88" s="333" t="s">
        <v>1631</v>
      </c>
      <c r="X88" s="333" t="s">
        <v>1632</v>
      </c>
      <c r="Y88" s="333" t="s">
        <v>1633</v>
      </c>
      <c r="Z88" s="333" t="s">
        <v>1634</v>
      </c>
      <c r="AA88" s="333" t="s">
        <v>1635</v>
      </c>
      <c r="AB88" s="333" t="s">
        <v>1636</v>
      </c>
      <c r="AC88" s="333" t="s">
        <v>1637</v>
      </c>
      <c r="AD88" s="333" t="s">
        <v>1638</v>
      </c>
      <c r="AE88" s="333" t="s">
        <v>1639</v>
      </c>
      <c r="AF88" s="333" t="s">
        <v>1640</v>
      </c>
      <c r="AG88" s="333" t="s">
        <v>1641</v>
      </c>
      <c r="AH88" s="333" t="s">
        <v>1642</v>
      </c>
      <c r="AI88" s="333" t="s">
        <v>1643</v>
      </c>
      <c r="AJ88" s="333" t="s">
        <v>1644</v>
      </c>
      <c r="AK88" s="333" t="s">
        <v>1645</v>
      </c>
      <c r="AL88" s="333" t="s">
        <v>1646</v>
      </c>
      <c r="AM88" s="333" t="s">
        <v>1647</v>
      </c>
      <c r="AN88" s="333" t="s">
        <v>1648</v>
      </c>
      <c r="AO88" s="333" t="s">
        <v>1649</v>
      </c>
      <c r="AP88" s="333" t="s">
        <v>1650</v>
      </c>
      <c r="AQ88" s="333" t="s">
        <v>1651</v>
      </c>
      <c r="AR88" s="333" t="s">
        <v>1652</v>
      </c>
      <c r="AS88" s="333" t="s">
        <v>1653</v>
      </c>
      <c r="AT88" s="333" t="s">
        <v>1654</v>
      </c>
      <c r="AU88" s="333" t="s">
        <v>1655</v>
      </c>
      <c r="AV88" s="333" t="s">
        <v>1656</v>
      </c>
      <c r="AW88" s="333" t="s">
        <v>1657</v>
      </c>
      <c r="AX88" s="333" t="s">
        <v>1658</v>
      </c>
      <c r="AY88" s="333" t="s">
        <v>1659</v>
      </c>
      <c r="AZ88" s="333" t="s">
        <v>1660</v>
      </c>
      <c r="BA88" s="333" t="s">
        <v>1661</v>
      </c>
      <c r="BB88" s="333" t="s">
        <v>1662</v>
      </c>
      <c r="BC88" s="333" t="s">
        <v>1663</v>
      </c>
      <c r="BD88" s="333" t="s">
        <v>1664</v>
      </c>
      <c r="BE88" s="333" t="s">
        <v>1665</v>
      </c>
      <c r="BF88" s="333" t="s">
        <v>1666</v>
      </c>
      <c r="BG88" s="333" t="s">
        <v>1667</v>
      </c>
      <c r="BH88" s="333" t="s">
        <v>1668</v>
      </c>
      <c r="BI88" s="333" t="s">
        <v>1669</v>
      </c>
      <c r="BJ88" s="333" t="s">
        <v>1488</v>
      </c>
      <c r="BK88" s="333" t="s">
        <v>1672</v>
      </c>
      <c r="BL88" s="333" t="s">
        <v>1673</v>
      </c>
      <c r="BM88" s="333" t="s">
        <v>1674</v>
      </c>
      <c r="BN88" s="333" t="s">
        <v>1675</v>
      </c>
      <c r="BO88" s="375"/>
      <c r="BP88" s="379"/>
      <c r="BQ88" s="379"/>
      <c r="BR88" s="379"/>
      <c r="BS88" s="379"/>
      <c r="BT88" s="379"/>
      <c r="BU88" s="379"/>
      <c r="BV88" s="379"/>
      <c r="BW88" s="379"/>
      <c r="BX88" s="379"/>
      <c r="BY88" s="379"/>
      <c r="BZ88" s="379"/>
      <c r="CA88" s="379"/>
      <c r="CB88" s="379"/>
      <c r="CC88" s="379"/>
      <c r="CD88" s="379"/>
      <c r="CE88" s="379"/>
      <c r="CF88" s="379"/>
      <c r="CG88" s="379"/>
    </row>
    <row r="89" customFormat="false" ht="24.75" hidden="false" customHeight="true" outlineLevel="0" collapsed="false">
      <c r="A89" s="381" t="s">
        <v>1563</v>
      </c>
      <c r="B89" s="382"/>
      <c r="C89" s="382"/>
      <c r="D89" s="383" t="n">
        <v>38.69</v>
      </c>
      <c r="E89" s="382" t="n">
        <f aca="false">$D$89*E57</f>
        <v>1439.36011904762</v>
      </c>
      <c r="F89" s="382" t="n">
        <f aca="false">$D$89*F57</f>
        <v>2878.72023809524</v>
      </c>
      <c r="G89" s="382" t="n">
        <f aca="false">$D$89*G57</f>
        <v>5757.44047619048</v>
      </c>
      <c r="H89" s="382" t="n">
        <f aca="false">$D$89*H57</f>
        <v>8636.16071428573</v>
      </c>
      <c r="I89" s="382" t="n">
        <f aca="false">$D$89*I57</f>
        <v>11514.880952381</v>
      </c>
      <c r="J89" s="382" t="n">
        <f aca="false">$D$89*J57</f>
        <v>14393.6011904762</v>
      </c>
      <c r="K89" s="382" t="n">
        <f aca="false">$D$89*K57</f>
        <v>17272.3214285714</v>
      </c>
      <c r="L89" s="382" t="n">
        <f aca="false">$D$89*L57</f>
        <v>20151.0416666667</v>
      </c>
      <c r="M89" s="382" t="n">
        <f aca="false">$D$89*M57</f>
        <v>23029.7619047619</v>
      </c>
      <c r="N89" s="384" t="n">
        <f aca="false">$D$89*N57*1.1</f>
        <v>28499.3303571429</v>
      </c>
      <c r="O89" s="384" t="n">
        <f aca="false">$D$89*O57*1.1</f>
        <v>31665.9226190476</v>
      </c>
      <c r="P89" s="384" t="n">
        <f aca="false">$D$89*P57*1.1</f>
        <v>34832.5148809524</v>
      </c>
      <c r="Q89" s="384" t="n">
        <f aca="false">$D$89*Q57*1.1</f>
        <v>37999.1071428572</v>
      </c>
      <c r="R89" s="384" t="n">
        <f aca="false">$D$89*R57*1.1</f>
        <v>41165.6994047619</v>
      </c>
      <c r="S89" s="384" t="n">
        <f aca="false">$D$89*S57*1.1</f>
        <v>44332.2916666668</v>
      </c>
      <c r="T89" s="384" t="n">
        <f aca="false">$D$89*T57*1.1</f>
        <v>47498.8839285715</v>
      </c>
      <c r="U89" s="384" t="n">
        <f aca="false">$D$89*U57*1.1</f>
        <v>50665.4761904762</v>
      </c>
      <c r="V89" s="384" t="n">
        <f aca="false">$D$89*V57*1.1</f>
        <v>53832.0684523809</v>
      </c>
      <c r="W89" s="384" t="n">
        <f aca="false">$D$89*W57*1.1</f>
        <v>56998.6607142855</v>
      </c>
      <c r="X89" s="384" t="n">
        <f aca="false">$D$89*X57*1.1</f>
        <v>60165.2529761906</v>
      </c>
      <c r="Y89" s="384" t="n">
        <f aca="false">$D$89*Y57*1.1</f>
        <v>63331.8452380953</v>
      </c>
      <c r="Z89" s="385" t="n">
        <f aca="false">$D$89*Z57*1.2</f>
        <v>120906.25</v>
      </c>
      <c r="AA89" s="385" t="n">
        <f aca="false">$D$89*AA57*1.2</f>
        <v>120906.25</v>
      </c>
      <c r="AB89" s="385" t="n">
        <f aca="false">$D$89*AB57*1.2</f>
        <v>120906.25</v>
      </c>
      <c r="AC89" s="385" t="n">
        <f aca="false">$D$89*AC57*1.2</f>
        <v>120906.25</v>
      </c>
      <c r="AD89" s="385" t="n">
        <f aca="false">$D$89*AD57*1.2</f>
        <v>120906.25</v>
      </c>
      <c r="AE89" s="385" t="n">
        <f aca="false">$D$89*AE57*1.2</f>
        <v>120906.25</v>
      </c>
      <c r="AF89" s="385" t="n">
        <f aca="false">$D$89*AF57*1.2</f>
        <v>120906.25</v>
      </c>
      <c r="AG89" s="385" t="n">
        <f aca="false">$D$89*AG57*1.2</f>
        <v>120906.25</v>
      </c>
      <c r="AH89" s="385" t="n">
        <f aca="false">$D$89*AH57*1.2</f>
        <v>120906.25</v>
      </c>
      <c r="AI89" s="385" t="n">
        <f aca="false">$D$89*AI57*1.2</f>
        <v>120906.25</v>
      </c>
      <c r="AJ89" s="385" t="n">
        <f aca="false">$D$89*AJ57*1.2</f>
        <v>120906.25</v>
      </c>
      <c r="AK89" s="385" t="n">
        <f aca="false">$D$89*AK57*1.2</f>
        <v>120906.25</v>
      </c>
      <c r="AL89" s="386" t="n">
        <f aca="false">$D$89*AL57*1.3</f>
        <v>130981.770833334</v>
      </c>
      <c r="AM89" s="386" t="n">
        <f aca="false">$D$89*AM57*1.3</f>
        <v>130981.770833334</v>
      </c>
      <c r="AN89" s="386" t="n">
        <f aca="false">$D$89*AN57*1.3</f>
        <v>130981.770833334</v>
      </c>
      <c r="AO89" s="386" t="n">
        <f aca="false">$D$89*AO57*1.3</f>
        <v>130981.770833334</v>
      </c>
      <c r="AP89" s="386" t="n">
        <f aca="false">$D$89*AP57*1.3</f>
        <v>130981.770833334</v>
      </c>
      <c r="AQ89" s="386" t="n">
        <f aca="false">$D$89*AQ57*1.3</f>
        <v>130981.770833334</v>
      </c>
      <c r="AR89" s="386" t="n">
        <f aca="false">$D$89*AR57*1.3</f>
        <v>130981.770833334</v>
      </c>
      <c r="AS89" s="386" t="n">
        <f aca="false">$D$89*AS57*1.3</f>
        <v>130981.770833334</v>
      </c>
      <c r="AT89" s="386" t="n">
        <f aca="false">$D$89*AT57*1.3</f>
        <v>130981.770833334</v>
      </c>
      <c r="AU89" s="386" t="n">
        <f aca="false">$D$89*AU57*1.3</f>
        <v>130981.770833334</v>
      </c>
      <c r="AV89" s="386" t="n">
        <f aca="false">$D$89*AV57*1.3</f>
        <v>130981.770833334</v>
      </c>
      <c r="AW89" s="386" t="n">
        <f aca="false">$D$89*AW57*1.3</f>
        <v>130981.770833334</v>
      </c>
      <c r="AX89" s="387" t="n">
        <f aca="false">$D$89*AX57*1.4</f>
        <v>141057.291666667</v>
      </c>
      <c r="AY89" s="387" t="n">
        <f aca="false">$D$89*AY57*1.4</f>
        <v>141057.291666667</v>
      </c>
      <c r="AZ89" s="387" t="n">
        <f aca="false">$D$89*AZ57*1.4</f>
        <v>141057.291666667</v>
      </c>
      <c r="BA89" s="387" t="n">
        <f aca="false">$D$89*BA57*1.4</f>
        <v>141057.291666667</v>
      </c>
      <c r="BB89" s="387" t="n">
        <f aca="false">$D$89*BB57*1.4</f>
        <v>141057.291666667</v>
      </c>
      <c r="BC89" s="387" t="n">
        <f aca="false">$D$89*BC57*1.4</f>
        <v>141057.291666667</v>
      </c>
      <c r="BD89" s="387" t="n">
        <f aca="false">$D$89*BD57*1.4</f>
        <v>141057.291666667</v>
      </c>
      <c r="BE89" s="387" t="n">
        <f aca="false">$D$89*BE57*1.4</f>
        <v>141057.291666667</v>
      </c>
      <c r="BF89" s="387" t="n">
        <f aca="false">$D$89*BF57*1.4</f>
        <v>141057.291666667</v>
      </c>
      <c r="BG89" s="387" t="n">
        <f aca="false">$D$89*BG57*1.4</f>
        <v>141057.291666667</v>
      </c>
      <c r="BH89" s="387" t="n">
        <f aca="false">$D$89*BH57*1.4</f>
        <v>141057.291666667</v>
      </c>
      <c r="BI89" s="387" t="n">
        <f aca="false">$D$89*BI57*1.4</f>
        <v>141057.291666667</v>
      </c>
      <c r="BJ89" s="388" t="n">
        <f aca="false">SUM(E89:M89)</f>
        <v>105073.288690476</v>
      </c>
      <c r="BK89" s="388" t="n">
        <f aca="false">SUM(N89:Y89)</f>
        <v>550987.053571429</v>
      </c>
      <c r="BL89" s="388" t="n">
        <f aca="false">SUM(Z89:AK89)</f>
        <v>1450875</v>
      </c>
      <c r="BM89" s="388" t="n">
        <f aca="false">SUM(AL89:AW89)</f>
        <v>1571781.25</v>
      </c>
      <c r="BN89" s="388" t="n">
        <f aca="false">SUM(AX89:BI89)</f>
        <v>1692687.5</v>
      </c>
      <c r="BO89" s="325"/>
      <c r="BP89" s="389"/>
      <c r="BQ89" s="389"/>
      <c r="BR89" s="389"/>
      <c r="BS89" s="389"/>
      <c r="BT89" s="389"/>
      <c r="BU89" s="389"/>
      <c r="BV89" s="389"/>
      <c r="BW89" s="389"/>
      <c r="BX89" s="389"/>
      <c r="BY89" s="389"/>
      <c r="BZ89" s="389"/>
      <c r="CA89" s="389"/>
      <c r="CB89" s="389"/>
      <c r="CC89" s="389"/>
      <c r="CD89" s="389"/>
      <c r="CE89" s="389"/>
      <c r="CF89" s="389"/>
      <c r="CG89" s="389"/>
    </row>
    <row r="90" customFormat="false" ht="24.75" hidden="false" customHeight="true" outlineLevel="0" collapsed="false">
      <c r="A90" s="390" t="s">
        <v>1564</v>
      </c>
      <c r="B90" s="391"/>
      <c r="C90" s="391"/>
      <c r="D90" s="392" t="n">
        <v>36.69</v>
      </c>
      <c r="E90" s="391" t="n">
        <f aca="false">$D$90*E58</f>
        <v>1364.95535714286</v>
      </c>
      <c r="F90" s="391" t="n">
        <f aca="false">$D$90*F58</f>
        <v>2729.91071428571</v>
      </c>
      <c r="G90" s="391" t="n">
        <f aca="false">$D$90*G58</f>
        <v>5459.82142857144</v>
      </c>
      <c r="H90" s="391" t="n">
        <f aca="false">$D$90*H58</f>
        <v>8189.73214285715</v>
      </c>
      <c r="I90" s="391" t="n">
        <f aca="false">$D$90*I58</f>
        <v>10919.6428571429</v>
      </c>
      <c r="J90" s="391" t="n">
        <f aca="false">$D$90*J58</f>
        <v>13649.5535714286</v>
      </c>
      <c r="K90" s="391" t="n">
        <f aca="false">$D$90*K58</f>
        <v>16379.4642857143</v>
      </c>
      <c r="L90" s="391" t="n">
        <f aca="false">$D$90*L58</f>
        <v>19109.375</v>
      </c>
      <c r="M90" s="391" t="n">
        <f aca="false">$D$90*M58</f>
        <v>21839.2857142857</v>
      </c>
      <c r="N90" s="393" t="n">
        <f aca="false">$D$89*N58*1.1</f>
        <v>28499.3303571429</v>
      </c>
      <c r="O90" s="393" t="n">
        <f aca="false">$D$89*O58*1.1</f>
        <v>31665.9226190476</v>
      </c>
      <c r="P90" s="393" t="n">
        <f aca="false">$D$89*P58*1.1</f>
        <v>34832.5148809524</v>
      </c>
      <c r="Q90" s="393" t="n">
        <f aca="false">$D$89*Q58*1.1</f>
        <v>37999.1071428572</v>
      </c>
      <c r="R90" s="393" t="n">
        <f aca="false">$D$89*R58*1.1</f>
        <v>41165.6994047619</v>
      </c>
      <c r="S90" s="393" t="n">
        <f aca="false">$D$89*S58*1.1</f>
        <v>44332.2916666668</v>
      </c>
      <c r="T90" s="393" t="n">
        <f aca="false">$D$89*T58*1.1</f>
        <v>47498.8839285715</v>
      </c>
      <c r="U90" s="393" t="n">
        <f aca="false">$D$89*U58*1.1</f>
        <v>50665.4761904762</v>
      </c>
      <c r="V90" s="393" t="n">
        <f aca="false">$D$89*V58*1.1</f>
        <v>53832.0684523809</v>
      </c>
      <c r="W90" s="393" t="n">
        <f aca="false">$D$89*W58*1.1</f>
        <v>56998.6607142855</v>
      </c>
      <c r="X90" s="393" t="n">
        <f aca="false">$D$89*X58*1.1</f>
        <v>60165.2529761906</v>
      </c>
      <c r="Y90" s="393" t="n">
        <f aca="false">$D$89*Y58*1.1</f>
        <v>63331.8452380953</v>
      </c>
      <c r="Z90" s="394" t="n">
        <f aca="false">$D$89*Z58*1.2</f>
        <v>120906.25</v>
      </c>
      <c r="AA90" s="394" t="n">
        <f aca="false">$D$89*AA58*1.2</f>
        <v>120906.25</v>
      </c>
      <c r="AB90" s="394" t="n">
        <f aca="false">$D$89*AB58*1.2</f>
        <v>120906.25</v>
      </c>
      <c r="AC90" s="394" t="n">
        <f aca="false">$D$89*AC58*1.2</f>
        <v>120906.25</v>
      </c>
      <c r="AD90" s="394" t="n">
        <f aca="false">$D$89*AD58*1.2</f>
        <v>120906.25</v>
      </c>
      <c r="AE90" s="394" t="n">
        <f aca="false">$D$89*AE58*1.2</f>
        <v>120906.25</v>
      </c>
      <c r="AF90" s="394" t="n">
        <f aca="false">$D$89*AF58*1.2</f>
        <v>120906.25</v>
      </c>
      <c r="AG90" s="394" t="n">
        <f aca="false">$D$89*AG58*1.2</f>
        <v>120906.25</v>
      </c>
      <c r="AH90" s="394" t="n">
        <f aca="false">$D$89*AH58*1.2</f>
        <v>120906.25</v>
      </c>
      <c r="AI90" s="394" t="n">
        <f aca="false">$D$89*AI58*1.2</f>
        <v>120906.25</v>
      </c>
      <c r="AJ90" s="394" t="n">
        <f aca="false">$D$89*AJ58*1.2</f>
        <v>120906.25</v>
      </c>
      <c r="AK90" s="394" t="n">
        <f aca="false">$D$89*AK58*1.2</f>
        <v>120906.25</v>
      </c>
      <c r="AL90" s="395" t="n">
        <f aca="false">$D$89*AL58*1.3</f>
        <v>130981.770833334</v>
      </c>
      <c r="AM90" s="395" t="n">
        <f aca="false">$D$89*AM58*1.3</f>
        <v>130981.770833334</v>
      </c>
      <c r="AN90" s="395" t="n">
        <f aca="false">$D$89*AN58*1.3</f>
        <v>130981.770833334</v>
      </c>
      <c r="AO90" s="395" t="n">
        <f aca="false">$D$89*AO58*1.3</f>
        <v>130981.770833334</v>
      </c>
      <c r="AP90" s="395" t="n">
        <f aca="false">$D$89*AP58*1.3</f>
        <v>130981.770833334</v>
      </c>
      <c r="AQ90" s="395" t="n">
        <f aca="false">$D$89*AQ58*1.3</f>
        <v>130981.770833334</v>
      </c>
      <c r="AR90" s="395" t="n">
        <f aca="false">$D$89*AR58*1.3</f>
        <v>130981.770833334</v>
      </c>
      <c r="AS90" s="395" t="n">
        <f aca="false">$D$89*AS58*1.3</f>
        <v>130981.770833334</v>
      </c>
      <c r="AT90" s="395" t="n">
        <f aca="false">$D$89*AT58*1.3</f>
        <v>130981.770833334</v>
      </c>
      <c r="AU90" s="395" t="n">
        <f aca="false">$D$89*AU58*1.3</f>
        <v>130981.770833334</v>
      </c>
      <c r="AV90" s="395" t="n">
        <f aca="false">$D$89*AV58*1.3</f>
        <v>130981.770833334</v>
      </c>
      <c r="AW90" s="395" t="n">
        <f aca="false">$D$89*AW58*1.3</f>
        <v>130981.770833334</v>
      </c>
      <c r="AX90" s="396" t="n">
        <f aca="false">$D$89*AX58*1.4</f>
        <v>141057.291666667</v>
      </c>
      <c r="AY90" s="396" t="n">
        <f aca="false">$D$89*AY58*1.4</f>
        <v>141057.291666667</v>
      </c>
      <c r="AZ90" s="396" t="n">
        <f aca="false">$D$89*AZ58*1.4</f>
        <v>141057.291666667</v>
      </c>
      <c r="BA90" s="396" t="n">
        <f aca="false">$D$89*BA58*1.4</f>
        <v>141057.291666667</v>
      </c>
      <c r="BB90" s="396" t="n">
        <f aca="false">$D$89*BB58*1.4</f>
        <v>141057.291666667</v>
      </c>
      <c r="BC90" s="396" t="n">
        <f aca="false">$D$89*BC58*1.4</f>
        <v>141057.291666667</v>
      </c>
      <c r="BD90" s="396" t="n">
        <f aca="false">$D$89*BD58*1.4</f>
        <v>141057.291666667</v>
      </c>
      <c r="BE90" s="396" t="n">
        <f aca="false">$D$89*BE58*1.4</f>
        <v>141057.291666667</v>
      </c>
      <c r="BF90" s="396" t="n">
        <f aca="false">$D$89*BF58*1.4</f>
        <v>141057.291666667</v>
      </c>
      <c r="BG90" s="396" t="n">
        <f aca="false">$D$89*BG58*1.4</f>
        <v>141057.291666667</v>
      </c>
      <c r="BH90" s="396" t="n">
        <f aca="false">$D$89*BH58*1.4</f>
        <v>141057.291666667</v>
      </c>
      <c r="BI90" s="396" t="n">
        <f aca="false">$D$89*BI58*1.4</f>
        <v>141057.291666667</v>
      </c>
      <c r="BJ90" s="397" t="n">
        <f aca="false">SUM(E90:M90)</f>
        <v>99641.7410714286</v>
      </c>
      <c r="BK90" s="397" t="n">
        <f aca="false">SUM(N90:Y90)</f>
        <v>550987.053571429</v>
      </c>
      <c r="BL90" s="397" t="n">
        <f aca="false">SUM(Z90:AK90)</f>
        <v>1450875</v>
      </c>
      <c r="BM90" s="397" t="n">
        <f aca="false">SUM(AL90:AW90)</f>
        <v>1571781.25</v>
      </c>
      <c r="BN90" s="397" t="n">
        <f aca="false">SUM(AX90:BI90)</f>
        <v>1692687.5</v>
      </c>
      <c r="BO90" s="325"/>
      <c r="BP90" s="389"/>
      <c r="BQ90" s="389"/>
      <c r="BR90" s="389"/>
      <c r="BS90" s="389"/>
      <c r="BT90" s="389"/>
      <c r="BU90" s="389"/>
      <c r="BV90" s="389"/>
      <c r="BW90" s="389"/>
      <c r="BX90" s="389"/>
      <c r="BY90" s="389"/>
      <c r="BZ90" s="389"/>
      <c r="CA90" s="389"/>
      <c r="CB90" s="389"/>
      <c r="CC90" s="389"/>
      <c r="CD90" s="389"/>
      <c r="CE90" s="389"/>
      <c r="CF90" s="389"/>
      <c r="CG90" s="389"/>
    </row>
    <row r="91" customFormat="false" ht="24.75" hidden="false" customHeight="true" outlineLevel="0" collapsed="false">
      <c r="A91" s="390" t="s">
        <v>1565</v>
      </c>
      <c r="B91" s="391"/>
      <c r="C91" s="391"/>
      <c r="D91" s="392" t="n">
        <v>33.77</v>
      </c>
      <c r="E91" s="391" t="n">
        <f aca="false">$D$91*E59</f>
        <v>3768.97321428572</v>
      </c>
      <c r="F91" s="391" t="n">
        <f aca="false">$D$91*F59</f>
        <v>7537.94642857144</v>
      </c>
      <c r="G91" s="391" t="n">
        <f aca="false">$D$91*G59</f>
        <v>15075.8928571429</v>
      </c>
      <c r="H91" s="391" t="n">
        <f aca="false">$D$91*H59</f>
        <v>22613.8392857143</v>
      </c>
      <c r="I91" s="391" t="n">
        <f aca="false">$D$91*I59</f>
        <v>30151.7857142857</v>
      </c>
      <c r="J91" s="391" t="n">
        <f aca="false">$D$91*J59</f>
        <v>37689.7321428572</v>
      </c>
      <c r="K91" s="391" t="n">
        <f aca="false">$D$91*K59</f>
        <v>45227.6785714284</v>
      </c>
      <c r="L91" s="391" t="n">
        <f aca="false">$D$91*L59</f>
        <v>52765.625</v>
      </c>
      <c r="M91" s="391" t="n">
        <f aca="false">$D$91*M59</f>
        <v>60303.5714285716</v>
      </c>
      <c r="N91" s="393" t="n">
        <f aca="false">$D$89*N59*1.1</f>
        <v>85497.9910714285</v>
      </c>
      <c r="O91" s="393" t="n">
        <f aca="false">$D$89*O59*1.1</f>
        <v>94997.767857143</v>
      </c>
      <c r="P91" s="393" t="n">
        <f aca="false">$D$89*P59*1.1</f>
        <v>104497.544642857</v>
      </c>
      <c r="Q91" s="393" t="n">
        <f aca="false">$D$89*Q59*1.1</f>
        <v>113997.321428571</v>
      </c>
      <c r="R91" s="393" t="n">
        <f aca="false">$D$89*R59*1.1</f>
        <v>123497.098214286</v>
      </c>
      <c r="S91" s="393" t="n">
        <f aca="false">$D$89*S59*1.1</f>
        <v>132996.875</v>
      </c>
      <c r="T91" s="393" t="n">
        <f aca="false">$D$89*T59*1.1</f>
        <v>142496.651785714</v>
      </c>
      <c r="U91" s="393" t="n">
        <f aca="false">$D$89*U59*1.1</f>
        <v>151996.428571429</v>
      </c>
      <c r="V91" s="393" t="n">
        <f aca="false">$D$89*V59*1.1</f>
        <v>161496.205357143</v>
      </c>
      <c r="W91" s="393" t="n">
        <f aca="false">$D$89*W59*1.1</f>
        <v>170995.982142857</v>
      </c>
      <c r="X91" s="393" t="n">
        <f aca="false">$D$89*X59*1.1</f>
        <v>180495.758928572</v>
      </c>
      <c r="Y91" s="393" t="n">
        <f aca="false">$D$89*Y59*1.1</f>
        <v>189995.535714286</v>
      </c>
      <c r="Z91" s="394" t="n">
        <f aca="false">$D$89*Z59*1.2</f>
        <v>362718.75</v>
      </c>
      <c r="AA91" s="394" t="n">
        <f aca="false">$D$89*AA59*1.2</f>
        <v>362718.75</v>
      </c>
      <c r="AB91" s="394" t="n">
        <f aca="false">$D$89*AB59*1.2</f>
        <v>362718.75</v>
      </c>
      <c r="AC91" s="394" t="n">
        <f aca="false">$D$89*AC59*1.2</f>
        <v>362718.75</v>
      </c>
      <c r="AD91" s="394" t="n">
        <f aca="false">$D$89*AD59*1.2</f>
        <v>362718.75</v>
      </c>
      <c r="AE91" s="394" t="n">
        <f aca="false">$D$89*AE59*1.2</f>
        <v>362718.75</v>
      </c>
      <c r="AF91" s="394" t="n">
        <f aca="false">$D$89*AF59*1.2</f>
        <v>362718.75</v>
      </c>
      <c r="AG91" s="394" t="n">
        <f aca="false">$D$89*AG59*1.2</f>
        <v>362718.75</v>
      </c>
      <c r="AH91" s="394" t="n">
        <f aca="false">$D$89*AH59*1.2</f>
        <v>362718.75</v>
      </c>
      <c r="AI91" s="394" t="n">
        <f aca="false">$D$89*AI59*1.2</f>
        <v>362718.75</v>
      </c>
      <c r="AJ91" s="394" t="n">
        <f aca="false">$D$89*AJ59*1.2</f>
        <v>362718.75</v>
      </c>
      <c r="AK91" s="394" t="n">
        <f aca="false">$D$89*AK59*1.2</f>
        <v>362718.75</v>
      </c>
      <c r="AL91" s="395" t="n">
        <f aca="false">$D$89*AL59*1.3</f>
        <v>392945.3125</v>
      </c>
      <c r="AM91" s="395" t="n">
        <f aca="false">$D$89*AM59*1.3</f>
        <v>392945.3125</v>
      </c>
      <c r="AN91" s="395" t="n">
        <f aca="false">$D$89*AN59*1.3</f>
        <v>392945.3125</v>
      </c>
      <c r="AO91" s="395" t="n">
        <f aca="false">$D$89*AO59*1.3</f>
        <v>392945.3125</v>
      </c>
      <c r="AP91" s="395" t="n">
        <f aca="false">$D$89*AP59*1.3</f>
        <v>392945.3125</v>
      </c>
      <c r="AQ91" s="395" t="n">
        <f aca="false">$D$89*AQ59*1.3</f>
        <v>392945.3125</v>
      </c>
      <c r="AR91" s="395" t="n">
        <f aca="false">$D$89*AR59*1.3</f>
        <v>392945.3125</v>
      </c>
      <c r="AS91" s="395" t="n">
        <f aca="false">$D$89*AS59*1.3</f>
        <v>392945.3125</v>
      </c>
      <c r="AT91" s="395" t="n">
        <f aca="false">$D$89*AT59*1.3</f>
        <v>392945.3125</v>
      </c>
      <c r="AU91" s="395" t="n">
        <f aca="false">$D$89*AU59*1.3</f>
        <v>392945.3125</v>
      </c>
      <c r="AV91" s="395" t="n">
        <f aca="false">$D$89*AV59*1.3</f>
        <v>392945.3125</v>
      </c>
      <c r="AW91" s="395" t="n">
        <f aca="false">$D$89*AW59*1.3</f>
        <v>392945.3125</v>
      </c>
      <c r="AX91" s="396" t="n">
        <f aca="false">$D$89*AX59*1.4</f>
        <v>423171.875</v>
      </c>
      <c r="AY91" s="396" t="n">
        <f aca="false">$D$89*AY59*1.4</f>
        <v>423171.875</v>
      </c>
      <c r="AZ91" s="396" t="n">
        <f aca="false">$D$89*AZ59*1.4</f>
        <v>423171.875</v>
      </c>
      <c r="BA91" s="396" t="n">
        <f aca="false">$D$89*BA59*1.4</f>
        <v>423171.875</v>
      </c>
      <c r="BB91" s="396" t="n">
        <f aca="false">$D$89*BB59*1.4</f>
        <v>423171.875</v>
      </c>
      <c r="BC91" s="396" t="n">
        <f aca="false">$D$89*BC59*1.4</f>
        <v>423171.875</v>
      </c>
      <c r="BD91" s="396" t="n">
        <f aca="false">$D$89*BD59*1.4</f>
        <v>423171.875</v>
      </c>
      <c r="BE91" s="396" t="n">
        <f aca="false">$D$89*BE59*1.4</f>
        <v>423171.875</v>
      </c>
      <c r="BF91" s="396" t="n">
        <f aca="false">$D$89*BF59*1.4</f>
        <v>423171.875</v>
      </c>
      <c r="BG91" s="396" t="n">
        <f aca="false">$D$89*BG59*1.4</f>
        <v>423171.875</v>
      </c>
      <c r="BH91" s="396" t="n">
        <f aca="false">$D$89*BH59*1.4</f>
        <v>423171.875</v>
      </c>
      <c r="BI91" s="396" t="n">
        <f aca="false">$D$89*BI59*1.4</f>
        <v>423171.875</v>
      </c>
      <c r="BJ91" s="397" t="n">
        <f aca="false">SUM(E91:M91)</f>
        <v>275135.044642857</v>
      </c>
      <c r="BK91" s="397" t="n">
        <f aca="false">SUM(N91:Y91)</f>
        <v>1652961.16071429</v>
      </c>
      <c r="BL91" s="397" t="n">
        <f aca="false">SUM(Z91:AK91)</f>
        <v>4352625</v>
      </c>
      <c r="BM91" s="397" t="n">
        <f aca="false">SUM(AL91:AW91)</f>
        <v>4715343.75</v>
      </c>
      <c r="BN91" s="397" t="n">
        <f aca="false">SUM(AX91:BI91)</f>
        <v>5078062.5</v>
      </c>
      <c r="BO91" s="325"/>
      <c r="BP91" s="389"/>
      <c r="BQ91" s="389"/>
      <c r="BR91" s="389"/>
      <c r="BS91" s="389"/>
      <c r="BT91" s="389"/>
      <c r="BU91" s="389"/>
      <c r="BV91" s="389"/>
      <c r="BW91" s="389"/>
      <c r="BX91" s="389"/>
      <c r="BY91" s="389"/>
      <c r="BZ91" s="389"/>
      <c r="CA91" s="389"/>
      <c r="CB91" s="389"/>
      <c r="CC91" s="389"/>
      <c r="CD91" s="389"/>
      <c r="CE91" s="389"/>
      <c r="CF91" s="389"/>
      <c r="CG91" s="389"/>
    </row>
    <row r="92" customFormat="false" ht="24.75" hidden="false" customHeight="true" outlineLevel="0" collapsed="false">
      <c r="A92" s="390" t="s">
        <v>1566</v>
      </c>
      <c r="B92" s="391"/>
      <c r="C92" s="391"/>
      <c r="D92" s="392" t="n">
        <v>31.13</v>
      </c>
      <c r="E92" s="391" t="n">
        <f aca="false">$D$92*E60</f>
        <v>6948.66071428572</v>
      </c>
      <c r="F92" s="391" t="n">
        <f aca="false">$D$92*F60</f>
        <v>13897.3214285714</v>
      </c>
      <c r="G92" s="391" t="n">
        <f aca="false">$D$92*G60</f>
        <v>27794.6428571429</v>
      </c>
      <c r="H92" s="391" t="n">
        <f aca="false">$D$92*H60</f>
        <v>41691.9642857141</v>
      </c>
      <c r="I92" s="391" t="n">
        <f aca="false">$D$92*I60</f>
        <v>55589.2857142859</v>
      </c>
      <c r="J92" s="391" t="n">
        <f aca="false">$D$92*J60</f>
        <v>69486.6071428572</v>
      </c>
      <c r="K92" s="391" t="n">
        <f aca="false">$D$92*K60</f>
        <v>83383.9285714286</v>
      </c>
      <c r="L92" s="391" t="n">
        <f aca="false">$D$92*L60</f>
        <v>97281.25</v>
      </c>
      <c r="M92" s="391" t="n">
        <f aca="false">$D$92*M60</f>
        <v>111178.571428571</v>
      </c>
      <c r="N92" s="393" t="n">
        <f aca="false">$D$89*N60*1.1</f>
        <v>170995.982142857</v>
      </c>
      <c r="O92" s="393" t="n">
        <f aca="false">$D$89*O60*1.1</f>
        <v>189995.535714286</v>
      </c>
      <c r="P92" s="393" t="n">
        <f aca="false">$D$89*P60*1.1</f>
        <v>208995.089285714</v>
      </c>
      <c r="Q92" s="393" t="n">
        <f aca="false">$D$89*Q60*1.1</f>
        <v>227994.642857143</v>
      </c>
      <c r="R92" s="393" t="n">
        <f aca="false">$D$89*R60*1.1</f>
        <v>246994.196428572</v>
      </c>
      <c r="S92" s="393" t="n">
        <f aca="false">$D$89*S60*1.1</f>
        <v>265993.75</v>
      </c>
      <c r="T92" s="393" t="n">
        <f aca="false">$D$89*T60*1.1</f>
        <v>284993.303571429</v>
      </c>
      <c r="U92" s="393" t="n">
        <f aca="false">$D$89*U60*1.1</f>
        <v>303992.857142857</v>
      </c>
      <c r="V92" s="393" t="n">
        <f aca="false">$D$89*V60*1.1</f>
        <v>322992.410714286</v>
      </c>
      <c r="W92" s="393" t="n">
        <f aca="false">$D$89*W60*1.1</f>
        <v>341991.964285715</v>
      </c>
      <c r="X92" s="393" t="n">
        <f aca="false">$D$89*X60*1.1</f>
        <v>360991.517857143</v>
      </c>
      <c r="Y92" s="393" t="n">
        <f aca="false">$D$89*Y60*1.1</f>
        <v>379991.071428572</v>
      </c>
      <c r="Z92" s="394" t="n">
        <f aca="false">$D$89*Z60*1.2</f>
        <v>725437.5</v>
      </c>
      <c r="AA92" s="394" t="n">
        <f aca="false">$D$89*AA60*1.2</f>
        <v>725437.5</v>
      </c>
      <c r="AB92" s="394" t="n">
        <f aca="false">$D$89*AB60*1.2</f>
        <v>725437.5</v>
      </c>
      <c r="AC92" s="394" t="n">
        <f aca="false">$D$89*AC60*1.2</f>
        <v>725437.5</v>
      </c>
      <c r="AD92" s="394" t="n">
        <f aca="false">$D$89*AD60*1.2</f>
        <v>725437.5</v>
      </c>
      <c r="AE92" s="394" t="n">
        <f aca="false">$D$89*AE60*1.2</f>
        <v>725437.5</v>
      </c>
      <c r="AF92" s="394" t="n">
        <f aca="false">$D$89*AF60*1.2</f>
        <v>725437.5</v>
      </c>
      <c r="AG92" s="394" t="n">
        <f aca="false">$D$89*AG60*1.2</f>
        <v>725437.5</v>
      </c>
      <c r="AH92" s="394" t="n">
        <f aca="false">$D$89*AH60*1.2</f>
        <v>725437.5</v>
      </c>
      <c r="AI92" s="394" t="n">
        <f aca="false">$D$89*AI60*1.2</f>
        <v>725437.5</v>
      </c>
      <c r="AJ92" s="394" t="n">
        <f aca="false">$D$89*AJ60*1.2</f>
        <v>725437.5</v>
      </c>
      <c r="AK92" s="394" t="n">
        <f aca="false">$D$89*AK60*1.2</f>
        <v>725437.5</v>
      </c>
      <c r="AL92" s="395" t="n">
        <f aca="false">$D$89*AL60*1.3</f>
        <v>785890.625</v>
      </c>
      <c r="AM92" s="395" t="n">
        <f aca="false">$D$89*AM60*1.3</f>
        <v>785890.625</v>
      </c>
      <c r="AN92" s="395" t="n">
        <f aca="false">$D$89*AN60*1.3</f>
        <v>785890.625</v>
      </c>
      <c r="AO92" s="395" t="n">
        <f aca="false">$D$89*AO60*1.3</f>
        <v>785890.625</v>
      </c>
      <c r="AP92" s="395" t="n">
        <f aca="false">$D$89*AP60*1.3</f>
        <v>785890.625</v>
      </c>
      <c r="AQ92" s="395" t="n">
        <f aca="false">$D$89*AQ60*1.3</f>
        <v>785890.625</v>
      </c>
      <c r="AR92" s="395" t="n">
        <f aca="false">$D$89*AR60*1.3</f>
        <v>785890.625</v>
      </c>
      <c r="AS92" s="395" t="n">
        <f aca="false">$D$89*AS60*1.3</f>
        <v>785890.625</v>
      </c>
      <c r="AT92" s="395" t="n">
        <f aca="false">$D$89*AT60*1.3</f>
        <v>785890.625</v>
      </c>
      <c r="AU92" s="395" t="n">
        <f aca="false">$D$89*AU60*1.3</f>
        <v>785890.625</v>
      </c>
      <c r="AV92" s="395" t="n">
        <f aca="false">$D$89*AV60*1.3</f>
        <v>785890.625</v>
      </c>
      <c r="AW92" s="395" t="n">
        <f aca="false">$D$89*AW60*1.3</f>
        <v>785890.625</v>
      </c>
      <c r="AX92" s="396" t="n">
        <f aca="false">$D$89*AX60*1.4</f>
        <v>846343.75</v>
      </c>
      <c r="AY92" s="396" t="n">
        <f aca="false">$D$89*AY60*1.4</f>
        <v>846343.75</v>
      </c>
      <c r="AZ92" s="396" t="n">
        <f aca="false">$D$89*AZ60*1.4</f>
        <v>846343.75</v>
      </c>
      <c r="BA92" s="396" t="n">
        <f aca="false">$D$89*BA60*1.4</f>
        <v>846343.75</v>
      </c>
      <c r="BB92" s="396" t="n">
        <f aca="false">$D$89*BB60*1.4</f>
        <v>846343.75</v>
      </c>
      <c r="BC92" s="396" t="n">
        <f aca="false">$D$89*BC60*1.4</f>
        <v>846343.75</v>
      </c>
      <c r="BD92" s="396" t="n">
        <f aca="false">$D$89*BD60*1.4</f>
        <v>846343.75</v>
      </c>
      <c r="BE92" s="396" t="n">
        <f aca="false">$D$89*BE60*1.4</f>
        <v>846343.75</v>
      </c>
      <c r="BF92" s="396" t="n">
        <f aca="false">$D$89*BF60*1.4</f>
        <v>846343.75</v>
      </c>
      <c r="BG92" s="396" t="n">
        <f aca="false">$D$89*BG60*1.4</f>
        <v>846343.75</v>
      </c>
      <c r="BH92" s="396" t="n">
        <f aca="false">$D$89*BH60*1.4</f>
        <v>846343.75</v>
      </c>
      <c r="BI92" s="396" t="n">
        <f aca="false">$D$89*BI60*1.4</f>
        <v>846343.75</v>
      </c>
      <c r="BJ92" s="397" t="n">
        <f aca="false">SUM(E92:M92)</f>
        <v>507252.232142857</v>
      </c>
      <c r="BK92" s="397" t="n">
        <f aca="false">SUM(N92:Y92)</f>
        <v>3305922.32142857</v>
      </c>
      <c r="BL92" s="397" t="n">
        <f aca="false">SUM(Z92:AK92)</f>
        <v>8705250</v>
      </c>
      <c r="BM92" s="397" t="n">
        <f aca="false">SUM(AL92:AW92)</f>
        <v>9430687.5</v>
      </c>
      <c r="BN92" s="397" t="n">
        <f aca="false">SUM(AX92:BI92)</f>
        <v>10156125</v>
      </c>
      <c r="BO92" s="325"/>
      <c r="BP92" s="389"/>
      <c r="BQ92" s="389"/>
      <c r="BR92" s="389"/>
      <c r="BS92" s="389"/>
      <c r="BT92" s="389"/>
      <c r="BU92" s="389"/>
      <c r="BV92" s="389"/>
      <c r="BW92" s="389"/>
      <c r="BX92" s="389"/>
      <c r="BY92" s="389"/>
      <c r="BZ92" s="389"/>
      <c r="CA92" s="389"/>
      <c r="CB92" s="389"/>
      <c r="CC92" s="389"/>
      <c r="CD92" s="389"/>
      <c r="CE92" s="389"/>
      <c r="CF92" s="389"/>
      <c r="CG92" s="389"/>
    </row>
    <row r="93" customFormat="false" ht="24.75" hidden="false" customHeight="true" outlineLevel="0" collapsed="false">
      <c r="A93" s="390" t="s">
        <v>1567</v>
      </c>
      <c r="B93" s="391"/>
      <c r="C93" s="391"/>
      <c r="D93" s="392" t="n">
        <v>29.81</v>
      </c>
      <c r="E93" s="391" t="n">
        <f aca="false">$D$92*E61</f>
        <v>9264.88095238096</v>
      </c>
      <c r="F93" s="391" t="n">
        <f aca="false">$D$92*F61</f>
        <v>18529.7619047619</v>
      </c>
      <c r="G93" s="391" t="n">
        <f aca="false">$D$92*G61</f>
        <v>37059.5238095238</v>
      </c>
      <c r="H93" s="391" t="n">
        <f aca="false">$D$92*H61</f>
        <v>55589.2857142859</v>
      </c>
      <c r="I93" s="391" t="n">
        <f aca="false">$D$92*I61</f>
        <v>74119.0476190476</v>
      </c>
      <c r="J93" s="391" t="n">
        <f aca="false">$D$92*J61</f>
        <v>92648.8095238096</v>
      </c>
      <c r="K93" s="391" t="n">
        <f aca="false">$D$92*K61</f>
        <v>111178.571428571</v>
      </c>
      <c r="L93" s="391" t="n">
        <f aca="false">$D$92*L61</f>
        <v>129708.333333333</v>
      </c>
      <c r="M93" s="391" t="n">
        <f aca="false">$D$92*M61</f>
        <v>148238.095238095</v>
      </c>
      <c r="N93" s="393" t="n">
        <f aca="false">$D$89*N61*1.1</f>
        <v>227994.642857143</v>
      </c>
      <c r="O93" s="393" t="n">
        <f aca="false">$D$89*O61*1.1</f>
        <v>253327.380952381</v>
      </c>
      <c r="P93" s="393" t="n">
        <f aca="false">$D$89*P61*1.1</f>
        <v>278660.119047619</v>
      </c>
      <c r="Q93" s="393" t="n">
        <f aca="false">$D$89*Q61*1.1</f>
        <v>303992.857142857</v>
      </c>
      <c r="R93" s="393" t="n">
        <f aca="false">$D$89*R61*1.1</f>
        <v>329325.595238095</v>
      </c>
      <c r="S93" s="393" t="n">
        <f aca="false">$D$89*S61*1.1</f>
        <v>354658.333333333</v>
      </c>
      <c r="T93" s="393" t="n">
        <f aca="false">$D$89*T61*1.1</f>
        <v>379991.071428572</v>
      </c>
      <c r="U93" s="393" t="n">
        <f aca="false">$D$89*U61*1.1</f>
        <v>405323.80952381</v>
      </c>
      <c r="V93" s="393" t="n">
        <f aca="false">$D$89*V61*1.1</f>
        <v>430656.547619047</v>
      </c>
      <c r="W93" s="393" t="n">
        <f aca="false">$D$89*W61*1.1</f>
        <v>455989.285714285</v>
      </c>
      <c r="X93" s="393" t="n">
        <f aca="false">$D$89*X61*1.1</f>
        <v>481322.023809523</v>
      </c>
      <c r="Y93" s="393" t="n">
        <f aca="false">$D$89*Y61*1.1</f>
        <v>506654.761904762</v>
      </c>
      <c r="Z93" s="394" t="n">
        <f aca="false">$D$89*Z61*1.2</f>
        <v>967249.999999998</v>
      </c>
      <c r="AA93" s="394" t="n">
        <f aca="false">$D$89*AA61*1.2</f>
        <v>967249.999999998</v>
      </c>
      <c r="AB93" s="394" t="n">
        <f aca="false">$D$89*AB61*1.2</f>
        <v>967249.999999998</v>
      </c>
      <c r="AC93" s="394" t="n">
        <f aca="false">$D$89*AC61*1.2</f>
        <v>967249.999999998</v>
      </c>
      <c r="AD93" s="394" t="n">
        <f aca="false">$D$89*AD61*1.2</f>
        <v>967249.999999998</v>
      </c>
      <c r="AE93" s="394" t="n">
        <f aca="false">$D$89*AE61*1.2</f>
        <v>967249.999999998</v>
      </c>
      <c r="AF93" s="394" t="n">
        <f aca="false">$D$89*AF61*1.2</f>
        <v>967249.999999998</v>
      </c>
      <c r="AG93" s="394" t="n">
        <f aca="false">$D$89*AG61*1.2</f>
        <v>967249.999999998</v>
      </c>
      <c r="AH93" s="394" t="n">
        <f aca="false">$D$89*AH61*1.2</f>
        <v>967249.999999998</v>
      </c>
      <c r="AI93" s="394" t="n">
        <f aca="false">$D$89*AI61*1.2</f>
        <v>967249.999999998</v>
      </c>
      <c r="AJ93" s="394" t="n">
        <f aca="false">$D$89*AJ61*1.2</f>
        <v>967249.999999998</v>
      </c>
      <c r="AK93" s="394" t="n">
        <f aca="false">$D$89*AK61*1.2</f>
        <v>967249.999999998</v>
      </c>
      <c r="AL93" s="395" t="n">
        <f aca="false">$D$89*AL61*1.3</f>
        <v>1047854.16666667</v>
      </c>
      <c r="AM93" s="395" t="n">
        <f aca="false">$D$89*AM61*1.3</f>
        <v>1047854.16666667</v>
      </c>
      <c r="AN93" s="395" t="n">
        <f aca="false">$D$89*AN61*1.3</f>
        <v>1047854.16666667</v>
      </c>
      <c r="AO93" s="395" t="n">
        <f aca="false">$D$89*AO61*1.3</f>
        <v>1047854.16666667</v>
      </c>
      <c r="AP93" s="395" t="n">
        <f aca="false">$D$89*AP61*1.3</f>
        <v>1047854.16666667</v>
      </c>
      <c r="AQ93" s="395" t="n">
        <f aca="false">$D$89*AQ61*1.3</f>
        <v>1047854.16666667</v>
      </c>
      <c r="AR93" s="395" t="n">
        <f aca="false">$D$89*AR61*1.3</f>
        <v>1047854.16666667</v>
      </c>
      <c r="AS93" s="395" t="n">
        <f aca="false">$D$89*AS61*1.3</f>
        <v>1047854.16666667</v>
      </c>
      <c r="AT93" s="395" t="n">
        <f aca="false">$D$89*AT61*1.3</f>
        <v>1047854.16666667</v>
      </c>
      <c r="AU93" s="395" t="n">
        <f aca="false">$D$89*AU61*1.3</f>
        <v>1047854.16666667</v>
      </c>
      <c r="AV93" s="395" t="n">
        <f aca="false">$D$89*AV61*1.3</f>
        <v>1047854.16666667</v>
      </c>
      <c r="AW93" s="395" t="n">
        <f aca="false">$D$89*AW61*1.3</f>
        <v>1047854.16666667</v>
      </c>
      <c r="AX93" s="396" t="n">
        <f aca="false">$D$89*AX61*1.4</f>
        <v>1128458.33333333</v>
      </c>
      <c r="AY93" s="396" t="n">
        <f aca="false">$D$89*AY61*1.4</f>
        <v>1128458.33333333</v>
      </c>
      <c r="AZ93" s="396" t="n">
        <f aca="false">$D$89*AZ61*1.4</f>
        <v>1128458.33333333</v>
      </c>
      <c r="BA93" s="396" t="n">
        <f aca="false">$D$89*BA61*1.4</f>
        <v>1128458.33333333</v>
      </c>
      <c r="BB93" s="396" t="n">
        <f aca="false">$D$89*BB61*1.4</f>
        <v>1128458.33333333</v>
      </c>
      <c r="BC93" s="396" t="n">
        <f aca="false">$D$89*BC61*1.4</f>
        <v>1128458.33333333</v>
      </c>
      <c r="BD93" s="396" t="n">
        <f aca="false">$D$89*BD61*1.4</f>
        <v>1128458.33333333</v>
      </c>
      <c r="BE93" s="396" t="n">
        <f aca="false">$D$89*BE61*1.4</f>
        <v>1128458.33333333</v>
      </c>
      <c r="BF93" s="396" t="n">
        <f aca="false">$D$89*BF61*1.4</f>
        <v>1128458.33333333</v>
      </c>
      <c r="BG93" s="396" t="n">
        <f aca="false">$D$89*BG61*1.4</f>
        <v>1128458.33333333</v>
      </c>
      <c r="BH93" s="396" t="n">
        <f aca="false">$D$89*BH61*1.4</f>
        <v>1128458.33333333</v>
      </c>
      <c r="BI93" s="396" t="n">
        <f aca="false">$D$89*BI61*1.4</f>
        <v>1128458.33333333</v>
      </c>
      <c r="BJ93" s="397" t="n">
        <f aca="false">SUM(E93:M93)</f>
        <v>676336.30952381</v>
      </c>
      <c r="BK93" s="397" t="n">
        <f aca="false">SUM(N93:Y93)</f>
        <v>4407896.42857143</v>
      </c>
      <c r="BL93" s="397" t="n">
        <f aca="false">SUM(Z93:AK93)</f>
        <v>11607000</v>
      </c>
      <c r="BM93" s="397" t="n">
        <f aca="false">SUM(AL93:AW93)</f>
        <v>12574250</v>
      </c>
      <c r="BN93" s="397" t="n">
        <f aca="false">SUM(AX93:BI93)</f>
        <v>13541500</v>
      </c>
      <c r="BO93" s="325"/>
      <c r="BP93" s="389"/>
      <c r="BQ93" s="389"/>
      <c r="BR93" s="389"/>
      <c r="BS93" s="389"/>
      <c r="BT93" s="389"/>
      <c r="BU93" s="389"/>
      <c r="BV93" s="389"/>
      <c r="BW93" s="389"/>
      <c r="BX93" s="389"/>
      <c r="BY93" s="389"/>
      <c r="BZ93" s="389"/>
      <c r="CA93" s="389"/>
      <c r="CB93" s="389"/>
      <c r="CC93" s="389"/>
      <c r="CD93" s="389"/>
      <c r="CE93" s="389"/>
      <c r="CF93" s="389"/>
      <c r="CG93" s="389"/>
    </row>
    <row r="94" customFormat="false" ht="24.75" hidden="false" customHeight="true" outlineLevel="0" collapsed="false">
      <c r="A94" s="390" t="s">
        <v>1568</v>
      </c>
      <c r="B94" s="391"/>
      <c r="C94" s="391"/>
      <c r="D94" s="392" t="n">
        <v>29.35</v>
      </c>
      <c r="E94" s="391" t="n">
        <f aca="false">$D$92*E62</f>
        <v>9264.88095238096</v>
      </c>
      <c r="F94" s="391" t="n">
        <f aca="false">$D$92*F62</f>
        <v>18529.7619047619</v>
      </c>
      <c r="G94" s="391" t="n">
        <f aca="false">$D$92*G62</f>
        <v>37059.5238095238</v>
      </c>
      <c r="H94" s="391" t="n">
        <f aca="false">$D$92*H62</f>
        <v>55589.2857142859</v>
      </c>
      <c r="I94" s="391" t="n">
        <f aca="false">$D$92*I62</f>
        <v>74119.0476190476</v>
      </c>
      <c r="J94" s="391" t="n">
        <f aca="false">$D$92*J62</f>
        <v>92648.8095238096</v>
      </c>
      <c r="K94" s="391" t="n">
        <f aca="false">$D$92*K62</f>
        <v>111178.571428571</v>
      </c>
      <c r="L94" s="391" t="n">
        <f aca="false">$D$92*L62</f>
        <v>129708.333333333</v>
      </c>
      <c r="M94" s="391" t="n">
        <f aca="false">$D$92*M62</f>
        <v>148238.095238095</v>
      </c>
      <c r="N94" s="393" t="n">
        <f aca="false">$D$89*N62*1.1</f>
        <v>227994.642857143</v>
      </c>
      <c r="O94" s="393" t="n">
        <f aca="false">$D$89*O62*1.1</f>
        <v>253327.380952381</v>
      </c>
      <c r="P94" s="393" t="n">
        <f aca="false">$D$89*P62*1.1</f>
        <v>278660.119047619</v>
      </c>
      <c r="Q94" s="393" t="n">
        <f aca="false">$D$89*Q62*1.1</f>
        <v>303992.857142857</v>
      </c>
      <c r="R94" s="393" t="n">
        <f aca="false">$D$89*R62*1.1</f>
        <v>329325.595238095</v>
      </c>
      <c r="S94" s="393" t="n">
        <f aca="false">$D$89*S62*1.1</f>
        <v>354658.333333333</v>
      </c>
      <c r="T94" s="393" t="n">
        <f aca="false">$D$89*T62*1.1</f>
        <v>379991.071428572</v>
      </c>
      <c r="U94" s="393" t="n">
        <f aca="false">$D$89*U62*1.1</f>
        <v>405323.80952381</v>
      </c>
      <c r="V94" s="393" t="n">
        <f aca="false">$D$89*V62*1.1</f>
        <v>430656.547619047</v>
      </c>
      <c r="W94" s="393" t="n">
        <f aca="false">$D$89*W62*1.1</f>
        <v>455989.285714285</v>
      </c>
      <c r="X94" s="393" t="n">
        <f aca="false">$D$89*X62*1.1</f>
        <v>481322.023809523</v>
      </c>
      <c r="Y94" s="393" t="n">
        <f aca="false">$D$89*Y62*1.1</f>
        <v>506654.761904762</v>
      </c>
      <c r="Z94" s="394" t="n">
        <f aca="false">$D$89*Z62*1.2</f>
        <v>967249.999999998</v>
      </c>
      <c r="AA94" s="394" t="n">
        <f aca="false">$D$89*AA62*1.2</f>
        <v>967249.999999998</v>
      </c>
      <c r="AB94" s="394" t="n">
        <f aca="false">$D$89*AB62*1.2</f>
        <v>967249.999999998</v>
      </c>
      <c r="AC94" s="394" t="n">
        <f aca="false">$D$89*AC62*1.2</f>
        <v>967249.999999998</v>
      </c>
      <c r="AD94" s="394" t="n">
        <f aca="false">$D$89*AD62*1.2</f>
        <v>967249.999999998</v>
      </c>
      <c r="AE94" s="394" t="n">
        <f aca="false">$D$89*AE62*1.2</f>
        <v>967249.999999998</v>
      </c>
      <c r="AF94" s="394" t="n">
        <f aca="false">$D$89*AF62*1.2</f>
        <v>967249.999999998</v>
      </c>
      <c r="AG94" s="394" t="n">
        <f aca="false">$D$89*AG62*1.2</f>
        <v>967249.999999998</v>
      </c>
      <c r="AH94" s="394" t="n">
        <f aca="false">$D$89*AH62*1.2</f>
        <v>967249.999999998</v>
      </c>
      <c r="AI94" s="394" t="n">
        <f aca="false">$D$89*AI62*1.2</f>
        <v>967249.999999998</v>
      </c>
      <c r="AJ94" s="394" t="n">
        <f aca="false">$D$89*AJ62*1.2</f>
        <v>967249.999999998</v>
      </c>
      <c r="AK94" s="394" t="n">
        <f aca="false">$D$89*AK62*1.2</f>
        <v>967249.999999998</v>
      </c>
      <c r="AL94" s="395" t="n">
        <f aca="false">$D$89*AL62*1.3</f>
        <v>1047854.16666667</v>
      </c>
      <c r="AM94" s="395" t="n">
        <f aca="false">$D$89*AM62*1.3</f>
        <v>1047854.16666667</v>
      </c>
      <c r="AN94" s="395" t="n">
        <f aca="false">$D$89*AN62*1.3</f>
        <v>1047854.16666667</v>
      </c>
      <c r="AO94" s="395" t="n">
        <f aca="false">$D$89*AO62*1.3</f>
        <v>1047854.16666667</v>
      </c>
      <c r="AP94" s="395" t="n">
        <f aca="false">$D$89*AP62*1.3</f>
        <v>1047854.16666667</v>
      </c>
      <c r="AQ94" s="395" t="n">
        <f aca="false">$D$89*AQ62*1.3</f>
        <v>1047854.16666667</v>
      </c>
      <c r="AR94" s="395" t="n">
        <f aca="false">$D$89*AR62*1.3</f>
        <v>1047854.16666667</v>
      </c>
      <c r="AS94" s="395" t="n">
        <f aca="false">$D$89*AS62*1.3</f>
        <v>1047854.16666667</v>
      </c>
      <c r="AT94" s="395" t="n">
        <f aca="false">$D$89*AT62*1.3</f>
        <v>1047854.16666667</v>
      </c>
      <c r="AU94" s="395" t="n">
        <f aca="false">$D$89*AU62*1.3</f>
        <v>1047854.16666667</v>
      </c>
      <c r="AV94" s="395" t="n">
        <f aca="false">$D$89*AV62*1.3</f>
        <v>1047854.16666667</v>
      </c>
      <c r="AW94" s="395" t="n">
        <f aca="false">$D$89*AW62*1.3</f>
        <v>1047854.16666667</v>
      </c>
      <c r="AX94" s="396" t="n">
        <f aca="false">$D$89*AX62*1.4</f>
        <v>1128458.33333333</v>
      </c>
      <c r="AY94" s="396" t="n">
        <f aca="false">$D$89*AY62*1.4</f>
        <v>1128458.33333333</v>
      </c>
      <c r="AZ94" s="396" t="n">
        <f aca="false">$D$89*AZ62*1.4</f>
        <v>1128458.33333333</v>
      </c>
      <c r="BA94" s="396" t="n">
        <f aca="false">$D$89*BA62*1.4</f>
        <v>1128458.33333333</v>
      </c>
      <c r="BB94" s="396" t="n">
        <f aca="false">$D$89*BB62*1.4</f>
        <v>1128458.33333333</v>
      </c>
      <c r="BC94" s="396" t="n">
        <f aca="false">$D$89*BC62*1.4</f>
        <v>1128458.33333333</v>
      </c>
      <c r="BD94" s="396" t="n">
        <f aca="false">$D$89*BD62*1.4</f>
        <v>1128458.33333333</v>
      </c>
      <c r="BE94" s="396" t="n">
        <f aca="false">$D$89*BE62*1.4</f>
        <v>1128458.33333333</v>
      </c>
      <c r="BF94" s="396" t="n">
        <f aca="false">$D$89*BF62*1.4</f>
        <v>1128458.33333333</v>
      </c>
      <c r="BG94" s="396" t="n">
        <f aca="false">$D$89*BG62*1.4</f>
        <v>1128458.33333333</v>
      </c>
      <c r="BH94" s="396" t="n">
        <f aca="false">$D$89*BH62*1.4</f>
        <v>1128458.33333333</v>
      </c>
      <c r="BI94" s="396" t="n">
        <f aca="false">$D$89*BI62*1.4</f>
        <v>1128458.33333333</v>
      </c>
      <c r="BJ94" s="397" t="n">
        <f aca="false">SUM(E94:M94)</f>
        <v>676336.30952381</v>
      </c>
      <c r="BK94" s="397" t="n">
        <f aca="false">SUM(N94:Y94)</f>
        <v>4407896.42857143</v>
      </c>
      <c r="BL94" s="397" t="n">
        <f aca="false">SUM(Z94:AK94)</f>
        <v>11607000</v>
      </c>
      <c r="BM94" s="397" t="n">
        <f aca="false">SUM(AL94:AW94)</f>
        <v>12574250</v>
      </c>
      <c r="BN94" s="397" t="n">
        <f aca="false">SUM(AX94:BI94)</f>
        <v>13541500</v>
      </c>
      <c r="BO94" s="325"/>
      <c r="BP94" s="389"/>
      <c r="BQ94" s="389"/>
      <c r="BR94" s="389"/>
      <c r="BS94" s="389"/>
      <c r="BT94" s="389"/>
      <c r="BU94" s="389"/>
      <c r="BV94" s="389"/>
      <c r="BW94" s="389"/>
      <c r="BX94" s="389"/>
      <c r="BY94" s="389"/>
      <c r="BZ94" s="389"/>
      <c r="CA94" s="389"/>
      <c r="CB94" s="389"/>
      <c r="CC94" s="389"/>
      <c r="CD94" s="389"/>
      <c r="CE94" s="389"/>
      <c r="CF94" s="389"/>
      <c r="CG94" s="389"/>
    </row>
    <row r="95" customFormat="false" ht="24.75" hidden="false" customHeight="true" outlineLevel="0" collapsed="false">
      <c r="A95" s="390" t="s">
        <v>1569</v>
      </c>
      <c r="B95" s="391"/>
      <c r="C95" s="391"/>
      <c r="D95" s="392" t="n">
        <v>29.18</v>
      </c>
      <c r="E95" s="391" t="n">
        <f aca="false">$D$92*E63</f>
        <v>11581.1011904762</v>
      </c>
      <c r="F95" s="391" t="n">
        <f aca="false">$D$92*F63</f>
        <v>23162.2023809524</v>
      </c>
      <c r="G95" s="391" t="n">
        <f aca="false">$D$92*G63</f>
        <v>46324.4047619048</v>
      </c>
      <c r="H95" s="391" t="n">
        <f aca="false">$D$92*H63</f>
        <v>69486.6071428572</v>
      </c>
      <c r="I95" s="391" t="n">
        <f aca="false">$D$92*I63</f>
        <v>92648.8095238096</v>
      </c>
      <c r="J95" s="391" t="n">
        <f aca="false">$D$92*J63</f>
        <v>115811.011904762</v>
      </c>
      <c r="K95" s="391" t="n">
        <f aca="false">$D$92*K63</f>
        <v>138973.214285714</v>
      </c>
      <c r="L95" s="391" t="n">
        <f aca="false">$D$92*L63</f>
        <v>162135.416666667</v>
      </c>
      <c r="M95" s="391" t="n">
        <f aca="false">$D$92*M63</f>
        <v>185297.619047619</v>
      </c>
      <c r="N95" s="393" t="n">
        <f aca="false">$D$89*N63*1.1</f>
        <v>284993.303571429</v>
      </c>
      <c r="O95" s="393" t="n">
        <f aca="false">$D$89*O63*1.1</f>
        <v>316659.226190476</v>
      </c>
      <c r="P95" s="393" t="n">
        <f aca="false">$D$89*P63*1.1</f>
        <v>348325.148809524</v>
      </c>
      <c r="Q95" s="393" t="n">
        <f aca="false">$D$89*Q63*1.1</f>
        <v>379991.071428572</v>
      </c>
      <c r="R95" s="393" t="n">
        <f aca="false">$D$89*R63*1.1</f>
        <v>411656.994047619</v>
      </c>
      <c r="S95" s="393" t="n">
        <f aca="false">$D$89*S63*1.1</f>
        <v>443322.916666668</v>
      </c>
      <c r="T95" s="393" t="n">
        <f aca="false">$D$89*T63*1.1</f>
        <v>474988.839285715</v>
      </c>
      <c r="U95" s="393" t="n">
        <f aca="false">$D$89*U63*1.1</f>
        <v>506654.761904762</v>
      </c>
      <c r="V95" s="393" t="n">
        <f aca="false">$D$89*V63*1.1</f>
        <v>538320.684523808</v>
      </c>
      <c r="W95" s="393" t="n">
        <f aca="false">$D$89*W63*1.1</f>
        <v>569986.607142855</v>
      </c>
      <c r="X95" s="393" t="n">
        <f aca="false">$D$89*X63*1.1</f>
        <v>601652.529761906</v>
      </c>
      <c r="Y95" s="393" t="n">
        <f aca="false">$D$89*Y63*1.1</f>
        <v>633318.452380953</v>
      </c>
      <c r="Z95" s="394" t="n">
        <f aca="false">$D$89*Z63*1.2</f>
        <v>1209062.5</v>
      </c>
      <c r="AA95" s="394" t="n">
        <f aca="false">$D$89*AA63*1.2</f>
        <v>1209062.5</v>
      </c>
      <c r="AB95" s="394" t="n">
        <f aca="false">$D$89*AB63*1.2</f>
        <v>1209062.5</v>
      </c>
      <c r="AC95" s="394" t="n">
        <f aca="false">$D$89*AC63*1.2</f>
        <v>1209062.5</v>
      </c>
      <c r="AD95" s="394" t="n">
        <f aca="false">$D$89*AD63*1.2</f>
        <v>1209062.5</v>
      </c>
      <c r="AE95" s="394" t="n">
        <f aca="false">$D$89*AE63*1.2</f>
        <v>1209062.5</v>
      </c>
      <c r="AF95" s="394" t="n">
        <f aca="false">$D$89*AF63*1.2</f>
        <v>1209062.5</v>
      </c>
      <c r="AG95" s="394" t="n">
        <f aca="false">$D$89*AG63*1.2</f>
        <v>1209062.5</v>
      </c>
      <c r="AH95" s="394" t="n">
        <f aca="false">$D$89*AH63*1.2</f>
        <v>1209062.5</v>
      </c>
      <c r="AI95" s="394" t="n">
        <f aca="false">$D$89*AI63*1.2</f>
        <v>1209062.5</v>
      </c>
      <c r="AJ95" s="394" t="n">
        <f aca="false">$D$89*AJ63*1.2</f>
        <v>1209062.5</v>
      </c>
      <c r="AK95" s="394" t="n">
        <f aca="false">$D$89*AK63*1.2</f>
        <v>1209062.5</v>
      </c>
      <c r="AL95" s="395" t="n">
        <f aca="false">$D$89*AL63*1.3</f>
        <v>1309817.70833334</v>
      </c>
      <c r="AM95" s="395" t="n">
        <f aca="false">$D$89*AM63*1.3</f>
        <v>1309817.70833334</v>
      </c>
      <c r="AN95" s="395" t="n">
        <f aca="false">$D$89*AN63*1.3</f>
        <v>1309817.70833334</v>
      </c>
      <c r="AO95" s="395" t="n">
        <f aca="false">$D$89*AO63*1.3</f>
        <v>1309817.70833334</v>
      </c>
      <c r="AP95" s="395" t="n">
        <f aca="false">$D$89*AP63*1.3</f>
        <v>1309817.70833334</v>
      </c>
      <c r="AQ95" s="395" t="n">
        <f aca="false">$D$89*AQ63*1.3</f>
        <v>1309817.70833334</v>
      </c>
      <c r="AR95" s="395" t="n">
        <f aca="false">$D$89*AR63*1.3</f>
        <v>1309817.70833334</v>
      </c>
      <c r="AS95" s="395" t="n">
        <f aca="false">$D$89*AS63*1.3</f>
        <v>1309817.70833334</v>
      </c>
      <c r="AT95" s="395" t="n">
        <f aca="false">$D$89*AT63*1.3</f>
        <v>1309817.70833334</v>
      </c>
      <c r="AU95" s="395" t="n">
        <f aca="false">$D$89*AU63*1.3</f>
        <v>1309817.70833334</v>
      </c>
      <c r="AV95" s="395" t="n">
        <f aca="false">$D$89*AV63*1.3</f>
        <v>1309817.70833334</v>
      </c>
      <c r="AW95" s="395" t="n">
        <f aca="false">$D$89*AW63*1.3</f>
        <v>1309817.70833334</v>
      </c>
      <c r="AX95" s="396" t="n">
        <f aca="false">$D$89*AX63*1.4</f>
        <v>1410572.91666667</v>
      </c>
      <c r="AY95" s="396" t="n">
        <f aca="false">$D$89*AY63*1.4</f>
        <v>1410572.91666667</v>
      </c>
      <c r="AZ95" s="396" t="n">
        <f aca="false">$D$89*AZ63*1.4</f>
        <v>1410572.91666667</v>
      </c>
      <c r="BA95" s="396" t="n">
        <f aca="false">$D$89*BA63*1.4</f>
        <v>1410572.91666667</v>
      </c>
      <c r="BB95" s="396" t="n">
        <f aca="false">$D$89*BB63*1.4</f>
        <v>1410572.91666667</v>
      </c>
      <c r="BC95" s="396" t="n">
        <f aca="false">$D$89*BC63*1.4</f>
        <v>1410572.91666667</v>
      </c>
      <c r="BD95" s="396" t="n">
        <f aca="false">$D$89*BD63*1.4</f>
        <v>1410572.91666667</v>
      </c>
      <c r="BE95" s="396" t="n">
        <f aca="false">$D$89*BE63*1.4</f>
        <v>1410572.91666667</v>
      </c>
      <c r="BF95" s="396" t="n">
        <f aca="false">$D$89*BF63*1.4</f>
        <v>1410572.91666667</v>
      </c>
      <c r="BG95" s="396" t="n">
        <f aca="false">$D$89*BG63*1.4</f>
        <v>1410572.91666667</v>
      </c>
      <c r="BH95" s="396" t="n">
        <f aca="false">$D$89*BH63*1.4</f>
        <v>1410572.91666667</v>
      </c>
      <c r="BI95" s="396" t="n">
        <f aca="false">$D$89*BI63*1.4</f>
        <v>1410572.91666667</v>
      </c>
      <c r="BJ95" s="397" t="n">
        <f aca="false">SUM(E95:M95)</f>
        <v>845420.386904762</v>
      </c>
      <c r="BK95" s="397" t="n">
        <f aca="false">SUM(N95:Y95)</f>
        <v>5509870.53571429</v>
      </c>
      <c r="BL95" s="397" t="n">
        <f aca="false">SUM(Z95:AK95)</f>
        <v>14508750</v>
      </c>
      <c r="BM95" s="397" t="n">
        <f aca="false">SUM(AL95:AW95)</f>
        <v>15717812.5</v>
      </c>
      <c r="BN95" s="397" t="n">
        <f aca="false">SUM(AX95:BI95)</f>
        <v>16926875</v>
      </c>
      <c r="BO95" s="325"/>
      <c r="BP95" s="389"/>
      <c r="BQ95" s="389"/>
      <c r="BR95" s="389"/>
      <c r="BS95" s="389"/>
      <c r="BT95" s="389"/>
      <c r="BU95" s="389"/>
      <c r="BV95" s="389"/>
      <c r="BW95" s="389"/>
      <c r="BX95" s="389"/>
      <c r="BY95" s="389"/>
      <c r="BZ95" s="389"/>
      <c r="CA95" s="389"/>
      <c r="CB95" s="389"/>
      <c r="CC95" s="389"/>
      <c r="CD95" s="389"/>
      <c r="CE95" s="389"/>
      <c r="CF95" s="389"/>
      <c r="CG95" s="389"/>
    </row>
    <row r="96" customFormat="false" ht="24.75" hidden="false" customHeight="true" outlineLevel="0" collapsed="false">
      <c r="A96" s="390" t="s">
        <v>1570</v>
      </c>
      <c r="B96" s="391"/>
      <c r="C96" s="391"/>
      <c r="D96" s="392" t="n">
        <v>29.3</v>
      </c>
      <c r="E96" s="391" t="n">
        <f aca="false">$D$92*E64</f>
        <v>9264.88095238096</v>
      </c>
      <c r="F96" s="391" t="n">
        <f aca="false">$D$92*F64</f>
        <v>18529.7619047619</v>
      </c>
      <c r="G96" s="391" t="n">
        <f aca="false">$D$92*G64</f>
        <v>37059.5238095238</v>
      </c>
      <c r="H96" s="391" t="n">
        <f aca="false">$D$92*H64</f>
        <v>55589.2857142859</v>
      </c>
      <c r="I96" s="391" t="n">
        <f aca="false">$D$92*I64</f>
        <v>74119.0476190476</v>
      </c>
      <c r="J96" s="391" t="n">
        <f aca="false">$D$92*J64</f>
        <v>92648.8095238096</v>
      </c>
      <c r="K96" s="391" t="n">
        <f aca="false">$D$92*K64</f>
        <v>111178.571428571</v>
      </c>
      <c r="L96" s="391" t="n">
        <f aca="false">$D$92*L64</f>
        <v>129708.333333333</v>
      </c>
      <c r="M96" s="391" t="n">
        <f aca="false">$D$92*M64</f>
        <v>148238.095238095</v>
      </c>
      <c r="N96" s="393" t="n">
        <f aca="false">$D$89*N64*1.1</f>
        <v>227994.642857143</v>
      </c>
      <c r="O96" s="393" t="n">
        <f aca="false">$D$89*O64*1.1</f>
        <v>253327.380952381</v>
      </c>
      <c r="P96" s="393" t="n">
        <f aca="false">$D$89*P64*1.1</f>
        <v>278660.119047619</v>
      </c>
      <c r="Q96" s="393" t="n">
        <f aca="false">$D$89*Q64*1.1</f>
        <v>303992.857142857</v>
      </c>
      <c r="R96" s="393" t="n">
        <f aca="false">$D$89*R64*1.1</f>
        <v>329325.595238095</v>
      </c>
      <c r="S96" s="393" t="n">
        <f aca="false">$D$89*S64*1.1</f>
        <v>354658.333333333</v>
      </c>
      <c r="T96" s="393" t="n">
        <f aca="false">$D$89*T64*1.1</f>
        <v>379991.071428572</v>
      </c>
      <c r="U96" s="393" t="n">
        <f aca="false">$D$89*U64*1.1</f>
        <v>405323.80952381</v>
      </c>
      <c r="V96" s="393" t="n">
        <f aca="false">$D$89*V64*1.1</f>
        <v>430656.547619047</v>
      </c>
      <c r="W96" s="393" t="n">
        <f aca="false">$D$89*W64*1.1</f>
        <v>455989.285714285</v>
      </c>
      <c r="X96" s="393" t="n">
        <f aca="false">$D$89*X64*1.1</f>
        <v>481322.023809523</v>
      </c>
      <c r="Y96" s="393" t="n">
        <f aca="false">$D$89*Y64*1.1</f>
        <v>506654.761904762</v>
      </c>
      <c r="Z96" s="394" t="n">
        <f aca="false">$D$89*Z64*1.2</f>
        <v>967249.999999998</v>
      </c>
      <c r="AA96" s="394" t="n">
        <f aca="false">$D$89*AA64*1.2</f>
        <v>967249.999999998</v>
      </c>
      <c r="AB96" s="394" t="n">
        <f aca="false">$D$89*AB64*1.2</f>
        <v>967249.999999998</v>
      </c>
      <c r="AC96" s="394" t="n">
        <f aca="false">$D$89*AC64*1.2</f>
        <v>967249.999999998</v>
      </c>
      <c r="AD96" s="394" t="n">
        <f aca="false">$D$89*AD64*1.2</f>
        <v>967249.999999998</v>
      </c>
      <c r="AE96" s="394" t="n">
        <f aca="false">$D$89*AE64*1.2</f>
        <v>967249.999999998</v>
      </c>
      <c r="AF96" s="394" t="n">
        <f aca="false">$D$89*AF64*1.2</f>
        <v>967249.999999998</v>
      </c>
      <c r="AG96" s="394" t="n">
        <f aca="false">$D$89*AG64*1.2</f>
        <v>967249.999999998</v>
      </c>
      <c r="AH96" s="394" t="n">
        <f aca="false">$D$89*AH64*1.2</f>
        <v>967249.999999998</v>
      </c>
      <c r="AI96" s="394" t="n">
        <f aca="false">$D$89*AI64*1.2</f>
        <v>967249.999999998</v>
      </c>
      <c r="AJ96" s="394" t="n">
        <f aca="false">$D$89*AJ64*1.2</f>
        <v>967249.999999998</v>
      </c>
      <c r="AK96" s="394" t="n">
        <f aca="false">$D$89*AK64*1.2</f>
        <v>967249.999999998</v>
      </c>
      <c r="AL96" s="395" t="n">
        <f aca="false">$D$89*AL64*1.3</f>
        <v>1047854.16666667</v>
      </c>
      <c r="AM96" s="395" t="n">
        <f aca="false">$D$89*AM64*1.3</f>
        <v>1047854.16666667</v>
      </c>
      <c r="AN96" s="395" t="n">
        <f aca="false">$D$89*AN64*1.3</f>
        <v>1047854.16666667</v>
      </c>
      <c r="AO96" s="395" t="n">
        <f aca="false">$D$89*AO64*1.3</f>
        <v>1047854.16666667</v>
      </c>
      <c r="AP96" s="395" t="n">
        <f aca="false">$D$89*AP64*1.3</f>
        <v>1047854.16666667</v>
      </c>
      <c r="AQ96" s="395" t="n">
        <f aca="false">$D$89*AQ64*1.3</f>
        <v>1047854.16666667</v>
      </c>
      <c r="AR96" s="395" t="n">
        <f aca="false">$D$89*AR64*1.3</f>
        <v>1047854.16666667</v>
      </c>
      <c r="AS96" s="395" t="n">
        <f aca="false">$D$89*AS64*1.3</f>
        <v>1047854.16666667</v>
      </c>
      <c r="AT96" s="395" t="n">
        <f aca="false">$D$89*AT64*1.3</f>
        <v>1047854.16666667</v>
      </c>
      <c r="AU96" s="395" t="n">
        <f aca="false">$D$89*AU64*1.3</f>
        <v>1047854.16666667</v>
      </c>
      <c r="AV96" s="395" t="n">
        <f aca="false">$D$89*AV64*1.3</f>
        <v>1047854.16666667</v>
      </c>
      <c r="AW96" s="395" t="n">
        <f aca="false">$D$89*AW64*1.3</f>
        <v>1047854.16666667</v>
      </c>
      <c r="AX96" s="396" t="n">
        <f aca="false">$D$89*AX64*1.4</f>
        <v>1128458.33333333</v>
      </c>
      <c r="AY96" s="396" t="n">
        <f aca="false">$D$89*AY64*1.4</f>
        <v>1128458.33333333</v>
      </c>
      <c r="AZ96" s="396" t="n">
        <f aca="false">$D$89*AZ64*1.4</f>
        <v>1128458.33333333</v>
      </c>
      <c r="BA96" s="396" t="n">
        <f aca="false">$D$89*BA64*1.4</f>
        <v>1128458.33333333</v>
      </c>
      <c r="BB96" s="396" t="n">
        <f aca="false">$D$89*BB64*1.4</f>
        <v>1128458.33333333</v>
      </c>
      <c r="BC96" s="396" t="n">
        <f aca="false">$D$89*BC64*1.4</f>
        <v>1128458.33333333</v>
      </c>
      <c r="BD96" s="396" t="n">
        <f aca="false">$D$89*BD64*1.4</f>
        <v>1128458.33333333</v>
      </c>
      <c r="BE96" s="396" t="n">
        <f aca="false">$D$89*BE64*1.4</f>
        <v>1128458.33333333</v>
      </c>
      <c r="BF96" s="396" t="n">
        <f aca="false">$D$89*BF64*1.4</f>
        <v>1128458.33333333</v>
      </c>
      <c r="BG96" s="396" t="n">
        <f aca="false">$D$89*BG64*1.4</f>
        <v>1128458.33333333</v>
      </c>
      <c r="BH96" s="396" t="n">
        <f aca="false">$D$89*BH64*1.4</f>
        <v>1128458.33333333</v>
      </c>
      <c r="BI96" s="396" t="n">
        <f aca="false">$D$89*BI64*1.4</f>
        <v>1128458.33333333</v>
      </c>
      <c r="BJ96" s="397" t="n">
        <f aca="false">SUM(E96:M96)</f>
        <v>676336.30952381</v>
      </c>
      <c r="BK96" s="397" t="n">
        <f aca="false">SUM(N96:Y96)</f>
        <v>4407896.42857143</v>
      </c>
      <c r="BL96" s="397" t="n">
        <f aca="false">SUM(Z96:AK96)</f>
        <v>11607000</v>
      </c>
      <c r="BM96" s="397" t="n">
        <f aca="false">SUM(AL96:AW96)</f>
        <v>12574250</v>
      </c>
      <c r="BN96" s="397" t="n">
        <f aca="false">SUM(AX96:BI96)</f>
        <v>13541500</v>
      </c>
      <c r="BO96" s="325"/>
      <c r="BP96" s="389"/>
      <c r="BQ96" s="389"/>
      <c r="BR96" s="389"/>
      <c r="BS96" s="389"/>
      <c r="BT96" s="389"/>
      <c r="BU96" s="389"/>
      <c r="BV96" s="389"/>
      <c r="BW96" s="389"/>
      <c r="BX96" s="389"/>
      <c r="BY96" s="389"/>
      <c r="BZ96" s="389"/>
      <c r="CA96" s="389"/>
      <c r="CB96" s="389"/>
      <c r="CC96" s="389"/>
      <c r="CD96" s="389"/>
      <c r="CE96" s="389"/>
      <c r="CF96" s="389"/>
      <c r="CG96" s="389"/>
    </row>
    <row r="97" customFormat="false" ht="24.75" hidden="false" customHeight="true" outlineLevel="0" collapsed="false">
      <c r="A97" s="390" t="s">
        <v>1571</v>
      </c>
      <c r="B97" s="391"/>
      <c r="C97" s="391"/>
      <c r="D97" s="392" t="n">
        <v>30.54</v>
      </c>
      <c r="E97" s="391" t="n">
        <f aca="false">$D$92*E65</f>
        <v>10422.9910714286</v>
      </c>
      <c r="F97" s="391" t="n">
        <f aca="false">$D$92*F65</f>
        <v>20845.9821428571</v>
      </c>
      <c r="G97" s="391" t="n">
        <f aca="false">$D$92*G65</f>
        <v>41691.9642857141</v>
      </c>
      <c r="H97" s="391" t="n">
        <f aca="false">$D$92*H65</f>
        <v>62537.9464285714</v>
      </c>
      <c r="I97" s="391" t="n">
        <f aca="false">$D$92*I65</f>
        <v>83383.9285714286</v>
      </c>
      <c r="J97" s="391" t="n">
        <f aca="false">$D$92*J65</f>
        <v>104229.910714286</v>
      </c>
      <c r="K97" s="391" t="n">
        <f aca="false">$D$92*K65</f>
        <v>125075.892857143</v>
      </c>
      <c r="L97" s="391" t="n">
        <f aca="false">$D$92*L65</f>
        <v>145921.875</v>
      </c>
      <c r="M97" s="391" t="n">
        <f aca="false">$D$92*M65</f>
        <v>166767.857142857</v>
      </c>
      <c r="N97" s="393" t="n">
        <f aca="false">$D$89*N65*1.1</f>
        <v>256493.973214286</v>
      </c>
      <c r="O97" s="393" t="n">
        <f aca="false">$D$89*O65*1.1</f>
        <v>284993.303571429</v>
      </c>
      <c r="P97" s="393" t="n">
        <f aca="false">$D$89*P65*1.1</f>
        <v>313492.633928572</v>
      </c>
      <c r="Q97" s="393" t="n">
        <f aca="false">$D$89*Q65*1.1</f>
        <v>341991.964285715</v>
      </c>
      <c r="R97" s="393" t="n">
        <f aca="false">$D$89*R65*1.1</f>
        <v>370491.294642857</v>
      </c>
      <c r="S97" s="393" t="n">
        <f aca="false">$D$89*S65*1.1</f>
        <v>398990.625</v>
      </c>
      <c r="T97" s="393" t="n">
        <f aca="false">$D$89*T65*1.1</f>
        <v>427489.955357145</v>
      </c>
      <c r="U97" s="393" t="n">
        <f aca="false">$D$89*U65*1.1</f>
        <v>455989.285714285</v>
      </c>
      <c r="V97" s="393" t="n">
        <f aca="false">$D$89*V65*1.1</f>
        <v>484488.61607143</v>
      </c>
      <c r="W97" s="393" t="n">
        <f aca="false">$D$89*W65*1.1</f>
        <v>512987.94642857</v>
      </c>
      <c r="X97" s="393" t="n">
        <f aca="false">$D$89*X65*1.1</f>
        <v>541487.276785715</v>
      </c>
      <c r="Y97" s="393" t="n">
        <f aca="false">$D$89*Y65*1.1</f>
        <v>569986.607142855</v>
      </c>
      <c r="Z97" s="394" t="n">
        <f aca="false">$D$89*Z65*1.2</f>
        <v>1088156.25</v>
      </c>
      <c r="AA97" s="394" t="n">
        <f aca="false">$D$89*AA65*1.2</f>
        <v>1088156.25</v>
      </c>
      <c r="AB97" s="394" t="n">
        <f aca="false">$D$89*AB65*1.2</f>
        <v>1088156.25</v>
      </c>
      <c r="AC97" s="394" t="n">
        <f aca="false">$D$89*AC65*1.2</f>
        <v>1088156.25</v>
      </c>
      <c r="AD97" s="394" t="n">
        <f aca="false">$D$89*AD65*1.2</f>
        <v>1088156.25</v>
      </c>
      <c r="AE97" s="394" t="n">
        <f aca="false">$D$89*AE65*1.2</f>
        <v>1088156.25</v>
      </c>
      <c r="AF97" s="394" t="n">
        <f aca="false">$D$89*AF65*1.2</f>
        <v>1088156.25</v>
      </c>
      <c r="AG97" s="394" t="n">
        <f aca="false">$D$89*AG65*1.2</f>
        <v>1088156.25</v>
      </c>
      <c r="AH97" s="394" t="n">
        <f aca="false">$D$89*AH65*1.2</f>
        <v>1088156.25</v>
      </c>
      <c r="AI97" s="394" t="n">
        <f aca="false">$D$89*AI65*1.2</f>
        <v>1088156.25</v>
      </c>
      <c r="AJ97" s="394" t="n">
        <f aca="false">$D$89*AJ65*1.2</f>
        <v>1088156.25</v>
      </c>
      <c r="AK97" s="394" t="n">
        <f aca="false">$D$89*AK65*1.2</f>
        <v>1088156.25</v>
      </c>
      <c r="AL97" s="395" t="n">
        <f aca="false">$D$89*AL65*1.3</f>
        <v>1178835.9375</v>
      </c>
      <c r="AM97" s="395" t="n">
        <f aca="false">$D$89*AM65*1.3</f>
        <v>1178835.9375</v>
      </c>
      <c r="AN97" s="395" t="n">
        <f aca="false">$D$89*AN65*1.3</f>
        <v>1178835.9375</v>
      </c>
      <c r="AO97" s="395" t="n">
        <f aca="false">$D$89*AO65*1.3</f>
        <v>1178835.9375</v>
      </c>
      <c r="AP97" s="395" t="n">
        <f aca="false">$D$89*AP65*1.3</f>
        <v>1178835.9375</v>
      </c>
      <c r="AQ97" s="395" t="n">
        <f aca="false">$D$89*AQ65*1.3</f>
        <v>1178835.9375</v>
      </c>
      <c r="AR97" s="395" t="n">
        <f aca="false">$D$89*AR65*1.3</f>
        <v>1178835.9375</v>
      </c>
      <c r="AS97" s="395" t="n">
        <f aca="false">$D$89*AS65*1.3</f>
        <v>1178835.9375</v>
      </c>
      <c r="AT97" s="395" t="n">
        <f aca="false">$D$89*AT65*1.3</f>
        <v>1178835.9375</v>
      </c>
      <c r="AU97" s="395" t="n">
        <f aca="false">$D$89*AU65*1.3</f>
        <v>1178835.9375</v>
      </c>
      <c r="AV97" s="395" t="n">
        <f aca="false">$D$89*AV65*1.3</f>
        <v>1178835.9375</v>
      </c>
      <c r="AW97" s="395" t="n">
        <f aca="false">$D$89*AW65*1.3</f>
        <v>1178835.9375</v>
      </c>
      <c r="AX97" s="396" t="n">
        <f aca="false">$D$89*AX65*1.4</f>
        <v>1269515.625</v>
      </c>
      <c r="AY97" s="396" t="n">
        <f aca="false">$D$89*AY65*1.4</f>
        <v>1269515.625</v>
      </c>
      <c r="AZ97" s="396" t="n">
        <f aca="false">$D$89*AZ65*1.4</f>
        <v>1269515.625</v>
      </c>
      <c r="BA97" s="396" t="n">
        <f aca="false">$D$89*BA65*1.4</f>
        <v>1269515.625</v>
      </c>
      <c r="BB97" s="396" t="n">
        <f aca="false">$D$89*BB65*1.4</f>
        <v>1269515.625</v>
      </c>
      <c r="BC97" s="396" t="n">
        <f aca="false">$D$89*BC65*1.4</f>
        <v>1269515.625</v>
      </c>
      <c r="BD97" s="396" t="n">
        <f aca="false">$D$89*BD65*1.4</f>
        <v>1269515.625</v>
      </c>
      <c r="BE97" s="396" t="n">
        <f aca="false">$D$89*BE65*1.4</f>
        <v>1269515.625</v>
      </c>
      <c r="BF97" s="396" t="n">
        <f aca="false">$D$89*BF65*1.4</f>
        <v>1269515.625</v>
      </c>
      <c r="BG97" s="396" t="n">
        <f aca="false">$D$89*BG65*1.4</f>
        <v>1269515.625</v>
      </c>
      <c r="BH97" s="396" t="n">
        <f aca="false">$D$89*BH65*1.4</f>
        <v>1269515.625</v>
      </c>
      <c r="BI97" s="396" t="n">
        <f aca="false">$D$89*BI65*1.4</f>
        <v>1269515.625</v>
      </c>
      <c r="BJ97" s="397" t="n">
        <f aca="false">SUM(E97:M97)</f>
        <v>760878.348214286</v>
      </c>
      <c r="BK97" s="397" t="n">
        <f aca="false">SUM(N97:Y97)</f>
        <v>4958883.48214286</v>
      </c>
      <c r="BL97" s="397" t="n">
        <f aca="false">SUM(Z97:AK97)</f>
        <v>13057875</v>
      </c>
      <c r="BM97" s="397" t="n">
        <f aca="false">SUM(AL97:AW97)</f>
        <v>14146031.25</v>
      </c>
      <c r="BN97" s="397" t="n">
        <f aca="false">SUM(AX97:BI97)</f>
        <v>15234187.5</v>
      </c>
      <c r="BO97" s="325"/>
      <c r="BP97" s="389"/>
      <c r="BQ97" s="389"/>
      <c r="BR97" s="389"/>
      <c r="BS97" s="389"/>
      <c r="BT97" s="389"/>
      <c r="BU97" s="389"/>
      <c r="BV97" s="389"/>
      <c r="BW97" s="389"/>
      <c r="BX97" s="389"/>
      <c r="BY97" s="389"/>
      <c r="BZ97" s="389"/>
      <c r="CA97" s="389"/>
      <c r="CB97" s="389"/>
      <c r="CC97" s="389"/>
      <c r="CD97" s="389"/>
      <c r="CE97" s="389"/>
      <c r="CF97" s="389"/>
      <c r="CG97" s="389"/>
    </row>
    <row r="98" customFormat="false" ht="24.75" hidden="false" customHeight="true" outlineLevel="0" collapsed="false">
      <c r="A98" s="390" t="s">
        <v>1572</v>
      </c>
      <c r="B98" s="391"/>
      <c r="C98" s="391"/>
      <c r="D98" s="392" t="n">
        <v>30.95</v>
      </c>
      <c r="E98" s="391" t="n">
        <f aca="false">$D$92*E66</f>
        <v>8106.77083333334</v>
      </c>
      <c r="F98" s="391" t="n">
        <f aca="false">$D$92*F66</f>
        <v>16213.5416666667</v>
      </c>
      <c r="G98" s="391" t="n">
        <f aca="false">$D$92*G66</f>
        <v>32427.0833333334</v>
      </c>
      <c r="H98" s="391" t="n">
        <f aca="false">$D$92*H66</f>
        <v>48640.625</v>
      </c>
      <c r="I98" s="391" t="n">
        <f aca="false">$D$92*I66</f>
        <v>64854.1666666666</v>
      </c>
      <c r="J98" s="391" t="n">
        <f aca="false">$D$92*J66</f>
        <v>81067.7083333334</v>
      </c>
      <c r="K98" s="391" t="n">
        <f aca="false">$D$92*K66</f>
        <v>97281.25</v>
      </c>
      <c r="L98" s="391" t="n">
        <f aca="false">$D$92*L66</f>
        <v>113494.791666667</v>
      </c>
      <c r="M98" s="391" t="n">
        <f aca="false">$D$92*M66</f>
        <v>129708.333333333</v>
      </c>
      <c r="N98" s="393" t="n">
        <f aca="false">$D$89*N66*1.1</f>
        <v>199495.3125</v>
      </c>
      <c r="O98" s="393" t="n">
        <f aca="false">$D$89*O66*1.1</f>
        <v>221661.458333333</v>
      </c>
      <c r="P98" s="393" t="n">
        <f aca="false">$D$89*P66*1.1</f>
        <v>243827.604166667</v>
      </c>
      <c r="Q98" s="393" t="n">
        <f aca="false">$D$89*Q66*1.1</f>
        <v>265993.75</v>
      </c>
      <c r="R98" s="393" t="n">
        <f aca="false">$D$89*R66*1.1</f>
        <v>288159.895833333</v>
      </c>
      <c r="S98" s="393" t="n">
        <f aca="false">$D$89*S66*1.1</f>
        <v>310326.041666667</v>
      </c>
      <c r="T98" s="393" t="n">
        <f aca="false">$D$89*T66*1.1</f>
        <v>332492.1875</v>
      </c>
      <c r="U98" s="393" t="n">
        <f aca="false">$D$89*U66*1.1</f>
        <v>354658.333333333</v>
      </c>
      <c r="V98" s="393" t="n">
        <f aca="false">$D$89*V66*1.1</f>
        <v>376824.479166667</v>
      </c>
      <c r="W98" s="393" t="n">
        <f aca="false">$D$89*W66*1.1</f>
        <v>398990.625</v>
      </c>
      <c r="X98" s="393" t="n">
        <f aca="false">$D$89*X66*1.1</f>
        <v>421156.770833333</v>
      </c>
      <c r="Y98" s="393" t="n">
        <f aca="false">$D$89*Y66*1.1</f>
        <v>443322.916666668</v>
      </c>
      <c r="Z98" s="394" t="n">
        <f aca="false">$D$89*Z66*1.2</f>
        <v>846343.750000002</v>
      </c>
      <c r="AA98" s="394" t="n">
        <f aca="false">$D$89*AA66*1.2</f>
        <v>846343.750000002</v>
      </c>
      <c r="AB98" s="394" t="n">
        <f aca="false">$D$89*AB66*1.2</f>
        <v>846343.750000002</v>
      </c>
      <c r="AC98" s="394" t="n">
        <f aca="false">$D$89*AC66*1.2</f>
        <v>846343.750000002</v>
      </c>
      <c r="AD98" s="394" t="n">
        <f aca="false">$D$89*AD66*1.2</f>
        <v>846343.750000002</v>
      </c>
      <c r="AE98" s="394" t="n">
        <f aca="false">$D$89*AE66*1.2</f>
        <v>846343.750000002</v>
      </c>
      <c r="AF98" s="394" t="n">
        <f aca="false">$D$89*AF66*1.2</f>
        <v>846343.750000002</v>
      </c>
      <c r="AG98" s="394" t="n">
        <f aca="false">$D$89*AG66*1.2</f>
        <v>846343.750000002</v>
      </c>
      <c r="AH98" s="394" t="n">
        <f aca="false">$D$89*AH66*1.2</f>
        <v>846343.750000002</v>
      </c>
      <c r="AI98" s="394" t="n">
        <f aca="false">$D$89*AI66*1.2</f>
        <v>846343.750000002</v>
      </c>
      <c r="AJ98" s="394" t="n">
        <f aca="false">$D$89*AJ66*1.2</f>
        <v>846343.750000002</v>
      </c>
      <c r="AK98" s="394" t="n">
        <f aca="false">$D$89*AK66*1.2</f>
        <v>846343.750000002</v>
      </c>
      <c r="AL98" s="395" t="n">
        <f aca="false">$D$89*AL66*1.3</f>
        <v>916872.395833335</v>
      </c>
      <c r="AM98" s="395" t="n">
        <f aca="false">$D$89*AM66*1.3</f>
        <v>916872.395833335</v>
      </c>
      <c r="AN98" s="395" t="n">
        <f aca="false">$D$89*AN66*1.3</f>
        <v>916872.395833335</v>
      </c>
      <c r="AO98" s="395" t="n">
        <f aca="false">$D$89*AO66*1.3</f>
        <v>916872.395833335</v>
      </c>
      <c r="AP98" s="395" t="n">
        <f aca="false">$D$89*AP66*1.3</f>
        <v>916872.395833335</v>
      </c>
      <c r="AQ98" s="395" t="n">
        <f aca="false">$D$89*AQ66*1.3</f>
        <v>916872.395833335</v>
      </c>
      <c r="AR98" s="395" t="n">
        <f aca="false">$D$89*AR66*1.3</f>
        <v>916872.395833335</v>
      </c>
      <c r="AS98" s="395" t="n">
        <f aca="false">$D$89*AS66*1.3</f>
        <v>916872.395833335</v>
      </c>
      <c r="AT98" s="395" t="n">
        <f aca="false">$D$89*AT66*1.3</f>
        <v>916872.395833335</v>
      </c>
      <c r="AU98" s="395" t="n">
        <f aca="false">$D$89*AU66*1.3</f>
        <v>916872.395833335</v>
      </c>
      <c r="AV98" s="395" t="n">
        <f aca="false">$D$89*AV66*1.3</f>
        <v>916872.395833335</v>
      </c>
      <c r="AW98" s="395" t="n">
        <f aca="false">$D$89*AW66*1.3</f>
        <v>916872.395833335</v>
      </c>
      <c r="AX98" s="396" t="n">
        <f aca="false">$D$89*AX66*1.4</f>
        <v>987401.041666669</v>
      </c>
      <c r="AY98" s="396" t="n">
        <f aca="false">$D$89*AY66*1.4</f>
        <v>987401.041666669</v>
      </c>
      <c r="AZ98" s="396" t="n">
        <f aca="false">$D$89*AZ66*1.4</f>
        <v>987401.041666669</v>
      </c>
      <c r="BA98" s="396" t="n">
        <f aca="false">$D$89*BA66*1.4</f>
        <v>987401.041666669</v>
      </c>
      <c r="BB98" s="396" t="n">
        <f aca="false">$D$89*BB66*1.4</f>
        <v>987401.041666669</v>
      </c>
      <c r="BC98" s="396" t="n">
        <f aca="false">$D$89*BC66*1.4</f>
        <v>987401.041666669</v>
      </c>
      <c r="BD98" s="396" t="n">
        <f aca="false">$D$89*BD66*1.4</f>
        <v>987401.041666669</v>
      </c>
      <c r="BE98" s="396" t="n">
        <f aca="false">$D$89*BE66*1.4</f>
        <v>987401.041666669</v>
      </c>
      <c r="BF98" s="396" t="n">
        <f aca="false">$D$89*BF66*1.4</f>
        <v>987401.041666669</v>
      </c>
      <c r="BG98" s="396" t="n">
        <f aca="false">$D$89*BG66*1.4</f>
        <v>987401.041666669</v>
      </c>
      <c r="BH98" s="396" t="n">
        <f aca="false">$D$89*BH66*1.4</f>
        <v>987401.041666669</v>
      </c>
      <c r="BI98" s="396" t="n">
        <f aca="false">$D$89*BI66*1.4</f>
        <v>987401.041666669</v>
      </c>
      <c r="BJ98" s="397" t="n">
        <f aca="false">SUM(E98:M98)</f>
        <v>591794.270833334</v>
      </c>
      <c r="BK98" s="397" t="n">
        <f aca="false">SUM(N98:Y98)</f>
        <v>3856909.375</v>
      </c>
      <c r="BL98" s="397" t="n">
        <f aca="false">SUM(Z98:AK98)</f>
        <v>10156125</v>
      </c>
      <c r="BM98" s="397" t="n">
        <f aca="false">SUM(AL98:AW98)</f>
        <v>11002468.75</v>
      </c>
      <c r="BN98" s="397" t="n">
        <f aca="false">SUM(AX98:BI98)</f>
        <v>11848812.5</v>
      </c>
      <c r="BO98" s="325"/>
      <c r="BP98" s="389"/>
      <c r="BQ98" s="389"/>
      <c r="BR98" s="389"/>
      <c r="BS98" s="389"/>
      <c r="BT98" s="389"/>
      <c r="BU98" s="389"/>
      <c r="BV98" s="389"/>
      <c r="BW98" s="389"/>
      <c r="BX98" s="389"/>
      <c r="BY98" s="389"/>
      <c r="BZ98" s="389"/>
      <c r="CA98" s="389"/>
      <c r="CB98" s="389"/>
      <c r="CC98" s="389"/>
      <c r="CD98" s="389"/>
      <c r="CE98" s="389"/>
      <c r="CF98" s="389"/>
      <c r="CG98" s="389"/>
    </row>
    <row r="99" customFormat="false" ht="24.75" hidden="false" customHeight="true" outlineLevel="0" collapsed="false">
      <c r="A99" s="390" t="s">
        <v>1573</v>
      </c>
      <c r="B99" s="391"/>
      <c r="C99" s="391"/>
      <c r="D99" s="392" t="n">
        <v>31.35</v>
      </c>
      <c r="E99" s="391" t="n">
        <f aca="false">$D$92*E67</f>
        <v>9264.88095238096</v>
      </c>
      <c r="F99" s="391" t="n">
        <f aca="false">$D$92*F67</f>
        <v>18529.7619047619</v>
      </c>
      <c r="G99" s="391" t="n">
        <f aca="false">$D$92*G67</f>
        <v>37059.5238095238</v>
      </c>
      <c r="H99" s="391" t="n">
        <f aca="false">$D$92*H67</f>
        <v>55589.2857142859</v>
      </c>
      <c r="I99" s="391" t="n">
        <f aca="false">$D$92*I67</f>
        <v>74119.0476190476</v>
      </c>
      <c r="J99" s="391" t="n">
        <f aca="false">$D$92*J67</f>
        <v>92648.8095238096</v>
      </c>
      <c r="K99" s="391" t="n">
        <f aca="false">$D$92*K67</f>
        <v>111178.571428571</v>
      </c>
      <c r="L99" s="391" t="n">
        <f aca="false">$D$92*L67</f>
        <v>129708.333333333</v>
      </c>
      <c r="M99" s="391" t="n">
        <f aca="false">$D$92*M67</f>
        <v>148238.095238095</v>
      </c>
      <c r="N99" s="393" t="n">
        <f aca="false">$D$89*N67*1.1</f>
        <v>227994.642857143</v>
      </c>
      <c r="O99" s="393" t="n">
        <f aca="false">$D$89*O67*1.1</f>
        <v>253327.380952381</v>
      </c>
      <c r="P99" s="393" t="n">
        <f aca="false">$D$89*P67*1.1</f>
        <v>278660.119047619</v>
      </c>
      <c r="Q99" s="393" t="n">
        <f aca="false">$D$89*Q67*1.1</f>
        <v>303992.857142857</v>
      </c>
      <c r="R99" s="393" t="n">
        <f aca="false">$D$89*R67*1.1</f>
        <v>329325.595238095</v>
      </c>
      <c r="S99" s="393" t="n">
        <f aca="false">$D$89*S67*1.1</f>
        <v>354658.333333333</v>
      </c>
      <c r="T99" s="393" t="n">
        <f aca="false">$D$89*T67*1.1</f>
        <v>379991.071428572</v>
      </c>
      <c r="U99" s="393" t="n">
        <f aca="false">$D$89*U67*1.1</f>
        <v>405323.80952381</v>
      </c>
      <c r="V99" s="393" t="n">
        <f aca="false">$D$89*V67*1.1</f>
        <v>430656.547619047</v>
      </c>
      <c r="W99" s="393" t="n">
        <f aca="false">$D$89*W67*1.1</f>
        <v>455989.285714285</v>
      </c>
      <c r="X99" s="393" t="n">
        <f aca="false">$D$89*X67*1.1</f>
        <v>481322.023809523</v>
      </c>
      <c r="Y99" s="393" t="n">
        <f aca="false">$D$89*Y67*1.1</f>
        <v>506654.761904762</v>
      </c>
      <c r="Z99" s="394" t="n">
        <f aca="false">$D$89*Z67*1.2</f>
        <v>967249.999999998</v>
      </c>
      <c r="AA99" s="394" t="n">
        <f aca="false">$D$89*AA67*1.2</f>
        <v>967249.999999998</v>
      </c>
      <c r="AB99" s="394" t="n">
        <f aca="false">$D$89*AB67*1.2</f>
        <v>967249.999999998</v>
      </c>
      <c r="AC99" s="394" t="n">
        <f aca="false">$D$89*AC67*1.2</f>
        <v>967249.999999998</v>
      </c>
      <c r="AD99" s="394" t="n">
        <f aca="false">$D$89*AD67*1.2</f>
        <v>967249.999999998</v>
      </c>
      <c r="AE99" s="394" t="n">
        <f aca="false">$D$89*AE67*1.2</f>
        <v>967249.999999998</v>
      </c>
      <c r="AF99" s="394" t="n">
        <f aca="false">$D$89*AF67*1.2</f>
        <v>967249.999999998</v>
      </c>
      <c r="AG99" s="394" t="n">
        <f aca="false">$D$89*AG67*1.2</f>
        <v>967249.999999998</v>
      </c>
      <c r="AH99" s="394" t="n">
        <f aca="false">$D$89*AH67*1.2</f>
        <v>967249.999999998</v>
      </c>
      <c r="AI99" s="394" t="n">
        <f aca="false">$D$89*AI67*1.2</f>
        <v>967249.999999998</v>
      </c>
      <c r="AJ99" s="394" t="n">
        <f aca="false">$D$89*AJ67*1.2</f>
        <v>967249.999999998</v>
      </c>
      <c r="AK99" s="394" t="n">
        <f aca="false">$D$89*AK67*1.2</f>
        <v>967249.999999998</v>
      </c>
      <c r="AL99" s="395" t="n">
        <f aca="false">$D$89*AL67*1.3</f>
        <v>1047854.16666667</v>
      </c>
      <c r="AM99" s="395" t="n">
        <f aca="false">$D$89*AM67*1.3</f>
        <v>1047854.16666667</v>
      </c>
      <c r="AN99" s="395" t="n">
        <f aca="false">$D$89*AN67*1.3</f>
        <v>1047854.16666667</v>
      </c>
      <c r="AO99" s="395" t="n">
        <f aca="false">$D$89*AO67*1.3</f>
        <v>1047854.16666667</v>
      </c>
      <c r="AP99" s="395" t="n">
        <f aca="false">$D$89*AP67*1.3</f>
        <v>1047854.16666667</v>
      </c>
      <c r="AQ99" s="395" t="n">
        <f aca="false">$D$89*AQ67*1.3</f>
        <v>1047854.16666667</v>
      </c>
      <c r="AR99" s="395" t="n">
        <f aca="false">$D$89*AR67*1.3</f>
        <v>1047854.16666667</v>
      </c>
      <c r="AS99" s="395" t="n">
        <f aca="false">$D$89*AS67*1.3</f>
        <v>1047854.16666667</v>
      </c>
      <c r="AT99" s="395" t="n">
        <f aca="false">$D$89*AT67*1.3</f>
        <v>1047854.16666667</v>
      </c>
      <c r="AU99" s="395" t="n">
        <f aca="false">$D$89*AU67*1.3</f>
        <v>1047854.16666667</v>
      </c>
      <c r="AV99" s="395" t="n">
        <f aca="false">$D$89*AV67*1.3</f>
        <v>1047854.16666667</v>
      </c>
      <c r="AW99" s="395" t="n">
        <f aca="false">$D$89*AW67*1.3</f>
        <v>1047854.16666667</v>
      </c>
      <c r="AX99" s="396" t="n">
        <f aca="false">$D$89*AX67*1.4</f>
        <v>1128458.33333333</v>
      </c>
      <c r="AY99" s="396" t="n">
        <f aca="false">$D$89*AY67*1.4</f>
        <v>1128458.33333333</v>
      </c>
      <c r="AZ99" s="396" t="n">
        <f aca="false">$D$89*AZ67*1.4</f>
        <v>1128458.33333333</v>
      </c>
      <c r="BA99" s="396" t="n">
        <f aca="false">$D$89*BA67*1.4</f>
        <v>1128458.33333333</v>
      </c>
      <c r="BB99" s="396" t="n">
        <f aca="false">$D$89*BB67*1.4</f>
        <v>1128458.33333333</v>
      </c>
      <c r="BC99" s="396" t="n">
        <f aca="false">$D$89*BC67*1.4</f>
        <v>1128458.33333333</v>
      </c>
      <c r="BD99" s="396" t="n">
        <f aca="false">$D$89*BD67*1.4</f>
        <v>1128458.33333333</v>
      </c>
      <c r="BE99" s="396" t="n">
        <f aca="false">$D$89*BE67*1.4</f>
        <v>1128458.33333333</v>
      </c>
      <c r="BF99" s="396" t="n">
        <f aca="false">$D$89*BF67*1.4</f>
        <v>1128458.33333333</v>
      </c>
      <c r="BG99" s="396" t="n">
        <f aca="false">$D$89*BG67*1.4</f>
        <v>1128458.33333333</v>
      </c>
      <c r="BH99" s="396" t="n">
        <f aca="false">$D$89*BH67*1.4</f>
        <v>1128458.33333333</v>
      </c>
      <c r="BI99" s="396" t="n">
        <f aca="false">$D$89*BI67*1.4</f>
        <v>1128458.33333333</v>
      </c>
      <c r="BJ99" s="397" t="n">
        <f aca="false">SUM(E99:M99)</f>
        <v>676336.30952381</v>
      </c>
      <c r="BK99" s="397" t="n">
        <f aca="false">SUM(N99:Y99)</f>
        <v>4407896.42857143</v>
      </c>
      <c r="BL99" s="397" t="n">
        <f aca="false">SUM(Z99:AK99)</f>
        <v>11607000</v>
      </c>
      <c r="BM99" s="397" t="n">
        <f aca="false">SUM(AL99:AW99)</f>
        <v>12574250</v>
      </c>
      <c r="BN99" s="397" t="n">
        <f aca="false">SUM(AX99:BI99)</f>
        <v>13541500</v>
      </c>
      <c r="BO99" s="325"/>
      <c r="BP99" s="389"/>
      <c r="BQ99" s="389"/>
      <c r="BR99" s="389"/>
      <c r="BS99" s="389"/>
      <c r="BT99" s="389"/>
      <c r="BU99" s="389"/>
      <c r="BV99" s="389"/>
      <c r="BW99" s="389"/>
      <c r="BX99" s="389"/>
      <c r="BY99" s="389"/>
      <c r="BZ99" s="389"/>
      <c r="CA99" s="389"/>
      <c r="CB99" s="389"/>
      <c r="CC99" s="389"/>
      <c r="CD99" s="389"/>
      <c r="CE99" s="389"/>
      <c r="CF99" s="389"/>
      <c r="CG99" s="389"/>
    </row>
    <row r="100" customFormat="false" ht="24.75" hidden="false" customHeight="true" outlineLevel="0" collapsed="false">
      <c r="A100" s="390" t="s">
        <v>1574</v>
      </c>
      <c r="B100" s="391"/>
      <c r="C100" s="391"/>
      <c r="D100" s="392" t="n">
        <v>31.89</v>
      </c>
      <c r="E100" s="391" t="n">
        <f aca="false">$D$92*E68</f>
        <v>15055.431547619</v>
      </c>
      <c r="F100" s="391" t="n">
        <f aca="false">$D$92*F68</f>
        <v>30110.8630952381</v>
      </c>
      <c r="G100" s="391" t="n">
        <f aca="false">$D$92*G68</f>
        <v>60221.7261904762</v>
      </c>
      <c r="H100" s="391" t="n">
        <f aca="false">$D$92*H68</f>
        <v>90332.5892857142</v>
      </c>
      <c r="I100" s="391" t="n">
        <f aca="false">$D$92*I68</f>
        <v>120443.452380952</v>
      </c>
      <c r="J100" s="391" t="n">
        <f aca="false">$D$92*J68</f>
        <v>150554.31547619</v>
      </c>
      <c r="K100" s="391" t="n">
        <f aca="false">$D$92*K68</f>
        <v>180665.178571429</v>
      </c>
      <c r="L100" s="391" t="n">
        <f aca="false">$D$92*L68</f>
        <v>210776.041666667</v>
      </c>
      <c r="M100" s="391" t="n">
        <f aca="false">$D$92*M68</f>
        <v>240886.904761905</v>
      </c>
      <c r="N100" s="393" t="n">
        <f aca="false">$D$89*N68*1.1</f>
        <v>370491.294642857</v>
      </c>
      <c r="O100" s="393" t="n">
        <f aca="false">$D$89*O68*1.1</f>
        <v>411656.994047619</v>
      </c>
      <c r="P100" s="393" t="n">
        <f aca="false">$D$89*P68*1.1</f>
        <v>452822.693452383</v>
      </c>
      <c r="Q100" s="393" t="n">
        <f aca="false">$D$89*Q68*1.1</f>
        <v>493988.392857145</v>
      </c>
      <c r="R100" s="393" t="n">
        <f aca="false">$D$89*R68*1.1</f>
        <v>535154.092261906</v>
      </c>
      <c r="S100" s="393" t="n">
        <f aca="false">$D$89*S68*1.1</f>
        <v>576319.791666668</v>
      </c>
      <c r="T100" s="393" t="n">
        <f aca="false">$D$89*T68*1.1</f>
        <v>617485.49107143</v>
      </c>
      <c r="U100" s="393" t="n">
        <f aca="false">$D$89*U68*1.1</f>
        <v>658651.190476192</v>
      </c>
      <c r="V100" s="393" t="n">
        <f aca="false">$D$89*V68*1.1</f>
        <v>699816.889880953</v>
      </c>
      <c r="W100" s="393" t="n">
        <f aca="false">$D$89*W68*1.1</f>
        <v>740982.589285715</v>
      </c>
      <c r="X100" s="393" t="n">
        <f aca="false">$D$89*X68*1.1</f>
        <v>782148.288690477</v>
      </c>
      <c r="Y100" s="393" t="n">
        <f aca="false">$D$89*Y68*1.1</f>
        <v>823313.988095238</v>
      </c>
      <c r="Z100" s="394" t="n">
        <f aca="false">$D$89*Z68*1.2</f>
        <v>1571781.25</v>
      </c>
      <c r="AA100" s="394" t="n">
        <f aca="false">$D$89*AA68*1.2</f>
        <v>1571781.25</v>
      </c>
      <c r="AB100" s="394" t="n">
        <f aca="false">$D$89*AB68*1.2</f>
        <v>1571781.25</v>
      </c>
      <c r="AC100" s="394" t="n">
        <f aca="false">$D$89*AC68*1.2</f>
        <v>1571781.25</v>
      </c>
      <c r="AD100" s="394" t="n">
        <f aca="false">$D$89*AD68*1.2</f>
        <v>1571781.25</v>
      </c>
      <c r="AE100" s="394" t="n">
        <f aca="false">$D$89*AE68*1.2</f>
        <v>1571781.25</v>
      </c>
      <c r="AF100" s="394" t="n">
        <f aca="false">$D$89*AF68*1.2</f>
        <v>1571781.25</v>
      </c>
      <c r="AG100" s="394" t="n">
        <f aca="false">$D$89*AG68*1.2</f>
        <v>1571781.25</v>
      </c>
      <c r="AH100" s="394" t="n">
        <f aca="false">$D$89*AH68*1.2</f>
        <v>1571781.25</v>
      </c>
      <c r="AI100" s="394" t="n">
        <f aca="false">$D$89*AI68*1.2</f>
        <v>1571781.25</v>
      </c>
      <c r="AJ100" s="394" t="n">
        <f aca="false">$D$89*AJ68*1.2</f>
        <v>1571781.25</v>
      </c>
      <c r="AK100" s="394" t="n">
        <f aca="false">$D$89*AK68*1.2</f>
        <v>1571781.25</v>
      </c>
      <c r="AL100" s="395" t="n">
        <f aca="false">$D$89*AL68*1.3</f>
        <v>1702763.02083334</v>
      </c>
      <c r="AM100" s="395" t="n">
        <f aca="false">$D$89*AM68*1.3</f>
        <v>1702763.02083334</v>
      </c>
      <c r="AN100" s="395" t="n">
        <f aca="false">$D$89*AN68*1.3</f>
        <v>1702763.02083334</v>
      </c>
      <c r="AO100" s="395" t="n">
        <f aca="false">$D$89*AO68*1.3</f>
        <v>1702763.02083334</v>
      </c>
      <c r="AP100" s="395" t="n">
        <f aca="false">$D$89*AP68*1.3</f>
        <v>1702763.02083334</v>
      </c>
      <c r="AQ100" s="395" t="n">
        <f aca="false">$D$89*AQ68*1.3</f>
        <v>1702763.02083334</v>
      </c>
      <c r="AR100" s="395" t="n">
        <f aca="false">$D$89*AR68*1.3</f>
        <v>1702763.02083334</v>
      </c>
      <c r="AS100" s="395" t="n">
        <f aca="false">$D$89*AS68*1.3</f>
        <v>1702763.02083334</v>
      </c>
      <c r="AT100" s="395" t="n">
        <f aca="false">$D$89*AT68*1.3</f>
        <v>1702763.02083334</v>
      </c>
      <c r="AU100" s="395" t="n">
        <f aca="false">$D$89*AU68*1.3</f>
        <v>1702763.02083334</v>
      </c>
      <c r="AV100" s="395" t="n">
        <f aca="false">$D$89*AV68*1.3</f>
        <v>1702763.02083334</v>
      </c>
      <c r="AW100" s="395" t="n">
        <f aca="false">$D$89*AW68*1.3</f>
        <v>1702763.02083334</v>
      </c>
      <c r="AX100" s="396" t="n">
        <f aca="false">$D$89*AX68*1.4</f>
        <v>1833744.79166667</v>
      </c>
      <c r="AY100" s="396" t="n">
        <f aca="false">$D$89*AY68*1.4</f>
        <v>1833744.79166667</v>
      </c>
      <c r="AZ100" s="396" t="n">
        <f aca="false">$D$89*AZ68*1.4</f>
        <v>1833744.79166667</v>
      </c>
      <c r="BA100" s="396" t="n">
        <f aca="false">$D$89*BA68*1.4</f>
        <v>1833744.79166667</v>
      </c>
      <c r="BB100" s="396" t="n">
        <f aca="false">$D$89*BB68*1.4</f>
        <v>1833744.79166667</v>
      </c>
      <c r="BC100" s="396" t="n">
        <f aca="false">$D$89*BC68*1.4</f>
        <v>1833744.79166667</v>
      </c>
      <c r="BD100" s="396" t="n">
        <f aca="false">$D$89*BD68*1.4</f>
        <v>1833744.79166667</v>
      </c>
      <c r="BE100" s="396" t="n">
        <f aca="false">$D$89*BE68*1.4</f>
        <v>1833744.79166667</v>
      </c>
      <c r="BF100" s="396" t="n">
        <f aca="false">$D$89*BF68*1.4</f>
        <v>1833744.79166667</v>
      </c>
      <c r="BG100" s="396" t="n">
        <f aca="false">$D$89*BG68*1.4</f>
        <v>1833744.79166667</v>
      </c>
      <c r="BH100" s="396" t="n">
        <f aca="false">$D$89*BH68*1.4</f>
        <v>1833744.79166667</v>
      </c>
      <c r="BI100" s="396" t="n">
        <f aca="false">$D$89*BI68*1.4</f>
        <v>1833744.79166667</v>
      </c>
      <c r="BJ100" s="397" t="n">
        <f aca="false">SUM(E100:M100)</f>
        <v>1099046.50297619</v>
      </c>
      <c r="BK100" s="397" t="n">
        <f aca="false">SUM(N100:Y100)</f>
        <v>7162831.69642858</v>
      </c>
      <c r="BL100" s="397" t="n">
        <f aca="false">SUM(Z100:AK100)</f>
        <v>18861375</v>
      </c>
      <c r="BM100" s="397" t="n">
        <f aca="false">SUM(AL100:AW100)</f>
        <v>20433156.25</v>
      </c>
      <c r="BN100" s="397" t="n">
        <f aca="false">SUM(AX100:BI100)</f>
        <v>22004937.5</v>
      </c>
      <c r="BO100" s="325"/>
      <c r="BP100" s="389"/>
      <c r="BQ100" s="389"/>
      <c r="BR100" s="389"/>
      <c r="BS100" s="389"/>
      <c r="BT100" s="389"/>
      <c r="BU100" s="389"/>
      <c r="BV100" s="389"/>
      <c r="BW100" s="389"/>
      <c r="BX100" s="389"/>
      <c r="BY100" s="389"/>
      <c r="BZ100" s="389"/>
      <c r="CA100" s="389"/>
      <c r="CB100" s="389"/>
      <c r="CC100" s="389"/>
      <c r="CD100" s="389"/>
      <c r="CE100" s="389"/>
      <c r="CF100" s="389"/>
      <c r="CG100" s="389"/>
    </row>
    <row r="101" customFormat="false" ht="24.75" hidden="false" customHeight="true" outlineLevel="0" collapsed="false">
      <c r="A101" s="390" t="s">
        <v>1575</v>
      </c>
      <c r="B101" s="391"/>
      <c r="C101" s="391"/>
      <c r="D101" s="392" t="n">
        <v>32.79</v>
      </c>
      <c r="E101" s="391" t="n">
        <f aca="false">$D$92*E69</f>
        <v>9264.88095238096</v>
      </c>
      <c r="F101" s="391" t="n">
        <f aca="false">$D$92*F69</f>
        <v>18529.7619047619</v>
      </c>
      <c r="G101" s="391" t="n">
        <f aca="false">$D$92*G69</f>
        <v>37059.5238095238</v>
      </c>
      <c r="H101" s="391" t="n">
        <f aca="false">$D$92*H69</f>
        <v>55589.2857142859</v>
      </c>
      <c r="I101" s="391" t="n">
        <f aca="false">$D$92*I69</f>
        <v>74119.0476190476</v>
      </c>
      <c r="J101" s="391" t="n">
        <f aca="false">$D$92*J69</f>
        <v>92648.8095238096</v>
      </c>
      <c r="K101" s="391" t="n">
        <f aca="false">$D$92*K69</f>
        <v>111178.571428571</v>
      </c>
      <c r="L101" s="391" t="n">
        <f aca="false">$D$92*L69</f>
        <v>129708.333333333</v>
      </c>
      <c r="M101" s="391" t="n">
        <f aca="false">$D$92*M69</f>
        <v>148238.095238095</v>
      </c>
      <c r="N101" s="393" t="n">
        <f aca="false">$D$89*N69*1.1</f>
        <v>227994.642857143</v>
      </c>
      <c r="O101" s="393" t="n">
        <f aca="false">$D$89*O69*1.1</f>
        <v>253327.380952381</v>
      </c>
      <c r="P101" s="393" t="n">
        <f aca="false">$D$89*P69*1.1</f>
        <v>278660.119047619</v>
      </c>
      <c r="Q101" s="393" t="n">
        <f aca="false">$D$89*Q69*1.1</f>
        <v>303992.857142857</v>
      </c>
      <c r="R101" s="393" t="n">
        <f aca="false">$D$89*R69*1.1</f>
        <v>329325.595238095</v>
      </c>
      <c r="S101" s="393" t="n">
        <f aca="false">$D$89*S69*1.1</f>
        <v>354658.333333333</v>
      </c>
      <c r="T101" s="393" t="n">
        <f aca="false">$D$89*T69*1.1</f>
        <v>379991.071428572</v>
      </c>
      <c r="U101" s="393" t="n">
        <f aca="false">$D$89*U69*1.1</f>
        <v>405323.80952381</v>
      </c>
      <c r="V101" s="393" t="n">
        <f aca="false">$D$89*V69*1.1</f>
        <v>430656.547619047</v>
      </c>
      <c r="W101" s="393" t="n">
        <f aca="false">$D$89*W69*1.1</f>
        <v>455989.285714285</v>
      </c>
      <c r="X101" s="393" t="n">
        <f aca="false">$D$89*X69*1.1</f>
        <v>481322.023809523</v>
      </c>
      <c r="Y101" s="393" t="n">
        <f aca="false">$D$89*Y69*1.1</f>
        <v>506654.761904762</v>
      </c>
      <c r="Z101" s="394" t="n">
        <f aca="false">$D$89*Z69*1.2</f>
        <v>967249.999999998</v>
      </c>
      <c r="AA101" s="394" t="n">
        <f aca="false">$D$89*AA69*1.2</f>
        <v>967249.999999998</v>
      </c>
      <c r="AB101" s="394" t="n">
        <f aca="false">$D$89*AB69*1.2</f>
        <v>967249.999999998</v>
      </c>
      <c r="AC101" s="394" t="n">
        <f aca="false">$D$89*AC69*1.2</f>
        <v>967249.999999998</v>
      </c>
      <c r="AD101" s="394" t="n">
        <f aca="false">$D$89*AD69*1.2</f>
        <v>967249.999999998</v>
      </c>
      <c r="AE101" s="394" t="n">
        <f aca="false">$D$89*AE69*1.2</f>
        <v>967249.999999998</v>
      </c>
      <c r="AF101" s="394" t="n">
        <f aca="false">$D$89*AF69*1.2</f>
        <v>967249.999999998</v>
      </c>
      <c r="AG101" s="394" t="n">
        <f aca="false">$D$89*AG69*1.2</f>
        <v>967249.999999998</v>
      </c>
      <c r="AH101" s="394" t="n">
        <f aca="false">$D$89*AH69*1.2</f>
        <v>967249.999999998</v>
      </c>
      <c r="AI101" s="394" t="n">
        <f aca="false">$D$89*AI69*1.2</f>
        <v>967249.999999998</v>
      </c>
      <c r="AJ101" s="394" t="n">
        <f aca="false">$D$89*AJ69*1.2</f>
        <v>967249.999999998</v>
      </c>
      <c r="AK101" s="394" t="n">
        <f aca="false">$D$89*AK69*1.2</f>
        <v>967249.999999998</v>
      </c>
      <c r="AL101" s="395" t="n">
        <f aca="false">$D$89*AL69*1.3</f>
        <v>1047854.16666667</v>
      </c>
      <c r="AM101" s="395" t="n">
        <f aca="false">$D$89*AM69*1.3</f>
        <v>1047854.16666667</v>
      </c>
      <c r="AN101" s="395" t="n">
        <f aca="false">$D$89*AN69*1.3</f>
        <v>1047854.16666667</v>
      </c>
      <c r="AO101" s="395" t="n">
        <f aca="false">$D$89*AO69*1.3</f>
        <v>1047854.16666667</v>
      </c>
      <c r="AP101" s="395" t="n">
        <f aca="false">$D$89*AP69*1.3</f>
        <v>1047854.16666667</v>
      </c>
      <c r="AQ101" s="395" t="n">
        <f aca="false">$D$89*AQ69*1.3</f>
        <v>1047854.16666667</v>
      </c>
      <c r="AR101" s="395" t="n">
        <f aca="false">$D$89*AR69*1.3</f>
        <v>1047854.16666667</v>
      </c>
      <c r="AS101" s="395" t="n">
        <f aca="false">$D$89*AS69*1.3</f>
        <v>1047854.16666667</v>
      </c>
      <c r="AT101" s="395" t="n">
        <f aca="false">$D$89*AT69*1.3</f>
        <v>1047854.16666667</v>
      </c>
      <c r="AU101" s="395" t="n">
        <f aca="false">$D$89*AU69*1.3</f>
        <v>1047854.16666667</v>
      </c>
      <c r="AV101" s="395" t="n">
        <f aca="false">$D$89*AV69*1.3</f>
        <v>1047854.16666667</v>
      </c>
      <c r="AW101" s="395" t="n">
        <f aca="false">$D$89*AW69*1.3</f>
        <v>1047854.16666667</v>
      </c>
      <c r="AX101" s="396" t="n">
        <f aca="false">$D$89*AX69*1.4</f>
        <v>1128458.33333333</v>
      </c>
      <c r="AY101" s="396" t="n">
        <f aca="false">$D$89*AY69*1.4</f>
        <v>1128458.33333333</v>
      </c>
      <c r="AZ101" s="396" t="n">
        <f aca="false">$D$89*AZ69*1.4</f>
        <v>1128458.33333333</v>
      </c>
      <c r="BA101" s="396" t="n">
        <f aca="false">$D$89*BA69*1.4</f>
        <v>1128458.33333333</v>
      </c>
      <c r="BB101" s="396" t="n">
        <f aca="false">$D$89*BB69*1.4</f>
        <v>1128458.33333333</v>
      </c>
      <c r="BC101" s="396" t="n">
        <f aca="false">$D$89*BC69*1.4</f>
        <v>1128458.33333333</v>
      </c>
      <c r="BD101" s="396" t="n">
        <f aca="false">$D$89*BD69*1.4</f>
        <v>1128458.33333333</v>
      </c>
      <c r="BE101" s="396" t="n">
        <f aca="false">$D$89*BE69*1.4</f>
        <v>1128458.33333333</v>
      </c>
      <c r="BF101" s="396" t="n">
        <f aca="false">$D$89*BF69*1.4</f>
        <v>1128458.33333333</v>
      </c>
      <c r="BG101" s="396" t="n">
        <f aca="false">$D$89*BG69*1.4</f>
        <v>1128458.33333333</v>
      </c>
      <c r="BH101" s="396" t="n">
        <f aca="false">$D$89*BH69*1.4</f>
        <v>1128458.33333333</v>
      </c>
      <c r="BI101" s="396" t="n">
        <f aca="false">$D$89*BI69*1.4</f>
        <v>1128458.33333333</v>
      </c>
      <c r="BJ101" s="397" t="n">
        <f aca="false">SUM(E101:M101)</f>
        <v>676336.30952381</v>
      </c>
      <c r="BK101" s="397" t="n">
        <f aca="false">SUM(N101:Y101)</f>
        <v>4407896.42857143</v>
      </c>
      <c r="BL101" s="397" t="n">
        <f aca="false">SUM(Z101:AK101)</f>
        <v>11607000</v>
      </c>
      <c r="BM101" s="397" t="n">
        <f aca="false">SUM(AL101:AW101)</f>
        <v>12574250</v>
      </c>
      <c r="BN101" s="397" t="n">
        <f aca="false">SUM(AX101:BI101)</f>
        <v>13541500</v>
      </c>
      <c r="BO101" s="325"/>
      <c r="BP101" s="389"/>
      <c r="BQ101" s="389"/>
      <c r="BR101" s="389"/>
      <c r="BS101" s="389"/>
      <c r="BT101" s="389"/>
      <c r="BU101" s="389"/>
      <c r="BV101" s="389"/>
      <c r="BW101" s="389"/>
      <c r="BX101" s="389"/>
      <c r="BY101" s="389"/>
      <c r="BZ101" s="389"/>
      <c r="CA101" s="389"/>
      <c r="CB101" s="389"/>
      <c r="CC101" s="389"/>
      <c r="CD101" s="389"/>
      <c r="CE101" s="389"/>
      <c r="CF101" s="389"/>
      <c r="CG101" s="389"/>
    </row>
    <row r="102" customFormat="false" ht="24.75" hidden="false" customHeight="true" outlineLevel="0" collapsed="false">
      <c r="A102" s="398" t="s">
        <v>1576</v>
      </c>
      <c r="B102" s="391"/>
      <c r="C102" s="391"/>
      <c r="D102" s="392" t="n">
        <v>34.09</v>
      </c>
      <c r="E102" s="391" t="n">
        <f aca="false">$D$92*E70</f>
        <v>6948.66071428572</v>
      </c>
      <c r="F102" s="391" t="n">
        <f aca="false">$D$92*F70</f>
        <v>13897.3214285714</v>
      </c>
      <c r="G102" s="391" t="n">
        <f aca="false">$D$92*G70</f>
        <v>27794.6428571429</v>
      </c>
      <c r="H102" s="391" t="n">
        <f aca="false">$D$92*H70</f>
        <v>41691.9642857141</v>
      </c>
      <c r="I102" s="391" t="n">
        <f aca="false">$D$92*I70</f>
        <v>55589.2857142859</v>
      </c>
      <c r="J102" s="391" t="n">
        <f aca="false">$D$92*J70</f>
        <v>69486.6071428572</v>
      </c>
      <c r="K102" s="391" t="n">
        <f aca="false">$D$92*K70</f>
        <v>83383.9285714286</v>
      </c>
      <c r="L102" s="391" t="n">
        <f aca="false">$D$92*L70</f>
        <v>97281.25</v>
      </c>
      <c r="M102" s="391" t="n">
        <f aca="false">$D$92*M70</f>
        <v>111178.571428571</v>
      </c>
      <c r="N102" s="393" t="n">
        <f aca="false">$D$89*N70*1.1</f>
        <v>170995.982142857</v>
      </c>
      <c r="O102" s="393" t="n">
        <f aca="false">$D$89*O70*1.1</f>
        <v>189995.535714286</v>
      </c>
      <c r="P102" s="393" t="n">
        <f aca="false">$D$89*P70*1.1</f>
        <v>208995.089285714</v>
      </c>
      <c r="Q102" s="393" t="n">
        <f aca="false">$D$89*Q70*1.1</f>
        <v>227994.642857143</v>
      </c>
      <c r="R102" s="393" t="n">
        <f aca="false">$D$89*R70*1.1</f>
        <v>246994.196428572</v>
      </c>
      <c r="S102" s="393" t="n">
        <f aca="false">$D$89*S70*1.1</f>
        <v>265993.75</v>
      </c>
      <c r="T102" s="393" t="n">
        <f aca="false">$D$89*T70*1.1</f>
        <v>284993.303571429</v>
      </c>
      <c r="U102" s="393" t="n">
        <f aca="false">$D$89*U70*1.1</f>
        <v>303992.857142857</v>
      </c>
      <c r="V102" s="393" t="n">
        <f aca="false">$D$89*V70*1.1</f>
        <v>322992.410714286</v>
      </c>
      <c r="W102" s="393" t="n">
        <f aca="false">$D$89*W70*1.1</f>
        <v>341991.964285715</v>
      </c>
      <c r="X102" s="393" t="n">
        <f aca="false">$D$89*X70*1.1</f>
        <v>360991.517857143</v>
      </c>
      <c r="Y102" s="393" t="n">
        <f aca="false">$D$89*Y70*1.1</f>
        <v>379991.071428572</v>
      </c>
      <c r="Z102" s="394" t="n">
        <f aca="false">$D$89*Z70*1.2</f>
        <v>725437.5</v>
      </c>
      <c r="AA102" s="394" t="n">
        <f aca="false">$D$89*AA70*1.2</f>
        <v>725437.5</v>
      </c>
      <c r="AB102" s="394" t="n">
        <f aca="false">$D$89*AB70*1.2</f>
        <v>725437.5</v>
      </c>
      <c r="AC102" s="394" t="n">
        <f aca="false">$D$89*AC70*1.2</f>
        <v>725437.5</v>
      </c>
      <c r="AD102" s="394" t="n">
        <f aca="false">$D$89*AD70*1.2</f>
        <v>725437.5</v>
      </c>
      <c r="AE102" s="394" t="n">
        <f aca="false">$D$89*AE70*1.2</f>
        <v>725437.5</v>
      </c>
      <c r="AF102" s="394" t="n">
        <f aca="false">$D$89*AF70*1.2</f>
        <v>725437.5</v>
      </c>
      <c r="AG102" s="394" t="n">
        <f aca="false">$D$89*AG70*1.2</f>
        <v>725437.5</v>
      </c>
      <c r="AH102" s="394" t="n">
        <f aca="false">$D$89*AH70*1.2</f>
        <v>725437.5</v>
      </c>
      <c r="AI102" s="394" t="n">
        <f aca="false">$D$89*AI70*1.2</f>
        <v>725437.5</v>
      </c>
      <c r="AJ102" s="394" t="n">
        <f aca="false">$D$89*AJ70*1.2</f>
        <v>725437.5</v>
      </c>
      <c r="AK102" s="394" t="n">
        <f aca="false">$D$89*AK70*1.2</f>
        <v>725437.5</v>
      </c>
      <c r="AL102" s="395" t="n">
        <f aca="false">$D$89*AL70*1.3</f>
        <v>785890.625</v>
      </c>
      <c r="AM102" s="395" t="n">
        <f aca="false">$D$89*AM70*1.3</f>
        <v>785890.625</v>
      </c>
      <c r="AN102" s="395" t="n">
        <f aca="false">$D$89*AN70*1.3</f>
        <v>785890.625</v>
      </c>
      <c r="AO102" s="395" t="n">
        <f aca="false">$D$89*AO70*1.3</f>
        <v>785890.625</v>
      </c>
      <c r="AP102" s="395" t="n">
        <f aca="false">$D$89*AP70*1.3</f>
        <v>785890.625</v>
      </c>
      <c r="AQ102" s="395" t="n">
        <f aca="false">$D$89*AQ70*1.3</f>
        <v>785890.625</v>
      </c>
      <c r="AR102" s="395" t="n">
        <f aca="false">$D$89*AR70*1.3</f>
        <v>785890.625</v>
      </c>
      <c r="AS102" s="395" t="n">
        <f aca="false">$D$89*AS70*1.3</f>
        <v>785890.625</v>
      </c>
      <c r="AT102" s="395" t="n">
        <f aca="false">$D$89*AT70*1.3</f>
        <v>785890.625</v>
      </c>
      <c r="AU102" s="395" t="n">
        <f aca="false">$D$89*AU70*1.3</f>
        <v>785890.625</v>
      </c>
      <c r="AV102" s="395" t="n">
        <f aca="false">$D$89*AV70*1.3</f>
        <v>785890.625</v>
      </c>
      <c r="AW102" s="395" t="n">
        <f aca="false">$D$89*AW70*1.3</f>
        <v>785890.625</v>
      </c>
      <c r="AX102" s="396" t="n">
        <f aca="false">$D$89*AX70*1.4</f>
        <v>846343.75</v>
      </c>
      <c r="AY102" s="396" t="n">
        <f aca="false">$D$89*AY70*1.4</f>
        <v>846343.75</v>
      </c>
      <c r="AZ102" s="396" t="n">
        <f aca="false">$D$89*AZ70*1.4</f>
        <v>846343.75</v>
      </c>
      <c r="BA102" s="396" t="n">
        <f aca="false">$D$89*BA70*1.4</f>
        <v>846343.75</v>
      </c>
      <c r="BB102" s="396" t="n">
        <f aca="false">$D$89*BB70*1.4</f>
        <v>846343.75</v>
      </c>
      <c r="BC102" s="396" t="n">
        <f aca="false">$D$89*BC70*1.4</f>
        <v>846343.75</v>
      </c>
      <c r="BD102" s="396" t="n">
        <f aca="false">$D$89*BD70*1.4</f>
        <v>846343.75</v>
      </c>
      <c r="BE102" s="396" t="n">
        <f aca="false">$D$89*BE70*1.4</f>
        <v>846343.75</v>
      </c>
      <c r="BF102" s="396" t="n">
        <f aca="false">$D$89*BF70*1.4</f>
        <v>846343.75</v>
      </c>
      <c r="BG102" s="396" t="n">
        <f aca="false">$D$89*BG70*1.4</f>
        <v>846343.75</v>
      </c>
      <c r="BH102" s="396" t="n">
        <f aca="false">$D$89*BH70*1.4</f>
        <v>846343.75</v>
      </c>
      <c r="BI102" s="396" t="n">
        <f aca="false">$D$89*BI70*1.4</f>
        <v>846343.75</v>
      </c>
      <c r="BJ102" s="397" t="n">
        <f aca="false">SUM(E102:M102)</f>
        <v>507252.232142857</v>
      </c>
      <c r="BK102" s="397" t="n">
        <f aca="false">SUM(N102:Y102)</f>
        <v>3305922.32142857</v>
      </c>
      <c r="BL102" s="397" t="n">
        <f aca="false">SUM(Z102:AK102)</f>
        <v>8705250</v>
      </c>
      <c r="BM102" s="397" t="n">
        <f aca="false">SUM(AL102:AW102)</f>
        <v>9430687.5</v>
      </c>
      <c r="BN102" s="397" t="n">
        <f aca="false">SUM(AX102:BI102)</f>
        <v>10156125</v>
      </c>
      <c r="BO102" s="325"/>
      <c r="BP102" s="389"/>
      <c r="BQ102" s="389"/>
      <c r="BR102" s="389"/>
      <c r="BS102" s="389"/>
      <c r="BT102" s="389"/>
      <c r="BU102" s="389"/>
      <c r="BV102" s="389"/>
      <c r="BW102" s="389"/>
      <c r="BX102" s="389"/>
      <c r="BY102" s="389"/>
      <c r="BZ102" s="389"/>
      <c r="CA102" s="389"/>
      <c r="CB102" s="389"/>
      <c r="CC102" s="389"/>
      <c r="CD102" s="389"/>
      <c r="CE102" s="389"/>
      <c r="CF102" s="389"/>
      <c r="CG102" s="389"/>
    </row>
    <row r="103" customFormat="false" ht="24.75" hidden="false" customHeight="true" outlineLevel="0" collapsed="false">
      <c r="A103" s="398" t="s">
        <v>1577</v>
      </c>
      <c r="B103" s="391"/>
      <c r="C103" s="391"/>
      <c r="D103" s="392" t="n">
        <v>35.45</v>
      </c>
      <c r="E103" s="391" t="n">
        <f aca="false">$D$92*E71</f>
        <v>2316.22023809524</v>
      </c>
      <c r="F103" s="391" t="n">
        <f aca="false">$D$92*F71</f>
        <v>4632.44047619048</v>
      </c>
      <c r="G103" s="391" t="n">
        <f aca="false">$D$92*G71</f>
        <v>9264.88095238096</v>
      </c>
      <c r="H103" s="391" t="n">
        <f aca="false">$D$92*H71</f>
        <v>13897.3214285714</v>
      </c>
      <c r="I103" s="391" t="n">
        <f aca="false">$D$92*I71</f>
        <v>18529.7619047619</v>
      </c>
      <c r="J103" s="391" t="n">
        <f aca="false">$D$92*J71</f>
        <v>23162.2023809524</v>
      </c>
      <c r="K103" s="391" t="n">
        <f aca="false">$D$92*K71</f>
        <v>27794.6428571429</v>
      </c>
      <c r="L103" s="391" t="n">
        <f aca="false">$D$92*L71</f>
        <v>32427.0833333334</v>
      </c>
      <c r="M103" s="391" t="n">
        <f aca="false">$D$92*M71</f>
        <v>37059.5238095238</v>
      </c>
      <c r="N103" s="393" t="n">
        <f aca="false">$D$89*N71*1.1</f>
        <v>56998.6607142855</v>
      </c>
      <c r="O103" s="393" t="n">
        <f aca="false">$D$89*O71*1.1</f>
        <v>63331.8452380953</v>
      </c>
      <c r="P103" s="393" t="n">
        <f aca="false">$D$89*P71*1.1</f>
        <v>69665.0297619047</v>
      </c>
      <c r="Q103" s="393" t="n">
        <f aca="false">$D$89*Q71*1.1</f>
        <v>75998.2142857145</v>
      </c>
      <c r="R103" s="393" t="n">
        <f aca="false">$D$89*R71*1.1</f>
        <v>82331.3988095239</v>
      </c>
      <c r="S103" s="393" t="n">
        <f aca="false">$D$89*S71*1.1</f>
        <v>88664.5833333332</v>
      </c>
      <c r="T103" s="393" t="n">
        <f aca="false">$D$89*T71*1.1</f>
        <v>94997.767857143</v>
      </c>
      <c r="U103" s="393" t="n">
        <f aca="false">$D$89*U71*1.1</f>
        <v>101330.952380952</v>
      </c>
      <c r="V103" s="393" t="n">
        <f aca="false">$D$89*V71*1.1</f>
        <v>107664.136904762</v>
      </c>
      <c r="W103" s="393" t="n">
        <f aca="false">$D$89*W71*1.1</f>
        <v>113997.321428571</v>
      </c>
      <c r="X103" s="393" t="n">
        <f aca="false">$D$89*X71*1.1</f>
        <v>120330.505952381</v>
      </c>
      <c r="Y103" s="393" t="n">
        <f aca="false">$D$89*Y71*1.1</f>
        <v>126663.690476191</v>
      </c>
      <c r="Z103" s="394" t="n">
        <f aca="false">$D$89*Z71*1.2</f>
        <v>241812.5</v>
      </c>
      <c r="AA103" s="394" t="n">
        <f aca="false">$D$89*AA71*1.2</f>
        <v>241812.5</v>
      </c>
      <c r="AB103" s="394" t="n">
        <f aca="false">$D$89*AB71*1.2</f>
        <v>241812.5</v>
      </c>
      <c r="AC103" s="394" t="n">
        <f aca="false">$D$89*AC71*1.2</f>
        <v>241812.5</v>
      </c>
      <c r="AD103" s="394" t="n">
        <f aca="false">$D$89*AD71*1.2</f>
        <v>241812.5</v>
      </c>
      <c r="AE103" s="394" t="n">
        <f aca="false">$D$89*AE71*1.2</f>
        <v>241812.5</v>
      </c>
      <c r="AF103" s="394" t="n">
        <f aca="false">$D$89*AF71*1.2</f>
        <v>241812.5</v>
      </c>
      <c r="AG103" s="394" t="n">
        <f aca="false">$D$89*AG71*1.2</f>
        <v>241812.5</v>
      </c>
      <c r="AH103" s="394" t="n">
        <f aca="false">$D$89*AH71*1.2</f>
        <v>241812.5</v>
      </c>
      <c r="AI103" s="394" t="n">
        <f aca="false">$D$89*AI71*1.2</f>
        <v>241812.5</v>
      </c>
      <c r="AJ103" s="394" t="n">
        <f aca="false">$D$89*AJ71*1.2</f>
        <v>241812.5</v>
      </c>
      <c r="AK103" s="394" t="n">
        <f aca="false">$D$89*AK71*1.2</f>
        <v>241812.5</v>
      </c>
      <c r="AL103" s="395" t="n">
        <f aca="false">$D$89*AL71*1.3</f>
        <v>261963.541666667</v>
      </c>
      <c r="AM103" s="395" t="n">
        <f aca="false">$D$89*AM71*1.3</f>
        <v>261963.541666667</v>
      </c>
      <c r="AN103" s="395" t="n">
        <f aca="false">$D$89*AN71*1.3</f>
        <v>261963.541666667</v>
      </c>
      <c r="AO103" s="395" t="n">
        <f aca="false">$D$89*AO71*1.3</f>
        <v>261963.541666667</v>
      </c>
      <c r="AP103" s="395" t="n">
        <f aca="false">$D$89*AP71*1.3</f>
        <v>261963.541666667</v>
      </c>
      <c r="AQ103" s="395" t="n">
        <f aca="false">$D$89*AQ71*1.3</f>
        <v>261963.541666667</v>
      </c>
      <c r="AR103" s="395" t="n">
        <f aca="false">$D$89*AR71*1.3</f>
        <v>261963.541666667</v>
      </c>
      <c r="AS103" s="395" t="n">
        <f aca="false">$D$89*AS71*1.3</f>
        <v>261963.541666667</v>
      </c>
      <c r="AT103" s="395" t="n">
        <f aca="false">$D$89*AT71*1.3</f>
        <v>261963.541666667</v>
      </c>
      <c r="AU103" s="395" t="n">
        <f aca="false">$D$89*AU71*1.3</f>
        <v>261963.541666667</v>
      </c>
      <c r="AV103" s="395" t="n">
        <f aca="false">$D$89*AV71*1.3</f>
        <v>261963.541666667</v>
      </c>
      <c r="AW103" s="395" t="n">
        <f aca="false">$D$89*AW71*1.3</f>
        <v>261963.541666667</v>
      </c>
      <c r="AX103" s="396" t="n">
        <f aca="false">$D$89*AX71*1.4</f>
        <v>282114.583333333</v>
      </c>
      <c r="AY103" s="396" t="n">
        <f aca="false">$D$89*AY71*1.4</f>
        <v>282114.583333333</v>
      </c>
      <c r="AZ103" s="396" t="n">
        <f aca="false">$D$89*AZ71*1.4</f>
        <v>282114.583333333</v>
      </c>
      <c r="BA103" s="396" t="n">
        <f aca="false">$D$89*BA71*1.4</f>
        <v>282114.583333333</v>
      </c>
      <c r="BB103" s="396" t="n">
        <f aca="false">$D$89*BB71*1.4</f>
        <v>282114.583333333</v>
      </c>
      <c r="BC103" s="396" t="n">
        <f aca="false">$D$89*BC71*1.4</f>
        <v>282114.583333333</v>
      </c>
      <c r="BD103" s="396" t="n">
        <f aca="false">$D$89*BD71*1.4</f>
        <v>282114.583333333</v>
      </c>
      <c r="BE103" s="396" t="n">
        <f aca="false">$D$89*BE71*1.4</f>
        <v>282114.583333333</v>
      </c>
      <c r="BF103" s="396" t="n">
        <f aca="false">$D$89*BF71*1.4</f>
        <v>282114.583333333</v>
      </c>
      <c r="BG103" s="396" t="n">
        <f aca="false">$D$89*BG71*1.4</f>
        <v>282114.583333333</v>
      </c>
      <c r="BH103" s="396" t="n">
        <f aca="false">$D$89*BH71*1.4</f>
        <v>282114.583333333</v>
      </c>
      <c r="BI103" s="396" t="n">
        <f aca="false">$D$89*BI71*1.4</f>
        <v>282114.583333333</v>
      </c>
      <c r="BJ103" s="397" t="n">
        <f aca="false">SUM(E103:M103)</f>
        <v>169084.077380952</v>
      </c>
      <c r="BK103" s="397" t="n">
        <f aca="false">SUM(N103:Y103)</f>
        <v>1101974.10714286</v>
      </c>
      <c r="BL103" s="397" t="n">
        <f aca="false">SUM(Z103:AK103)</f>
        <v>2901750</v>
      </c>
      <c r="BM103" s="397" t="n">
        <f aca="false">SUM(AL103:AW103)</f>
        <v>3143562.5</v>
      </c>
      <c r="BN103" s="397" t="n">
        <f aca="false">SUM(AX103:BI103)</f>
        <v>3385375</v>
      </c>
      <c r="BO103" s="325"/>
      <c r="BP103" s="389"/>
      <c r="BQ103" s="389"/>
      <c r="BR103" s="389"/>
      <c r="BS103" s="389"/>
      <c r="BT103" s="389"/>
      <c r="BU103" s="389"/>
      <c r="BV103" s="389"/>
      <c r="BW103" s="389"/>
      <c r="BX103" s="389"/>
      <c r="BY103" s="389"/>
      <c r="BZ103" s="389"/>
      <c r="CA103" s="389"/>
      <c r="CB103" s="389"/>
      <c r="CC103" s="389"/>
      <c r="CD103" s="389"/>
      <c r="CE103" s="389"/>
      <c r="CF103" s="389"/>
      <c r="CG103" s="389"/>
    </row>
    <row r="104" customFormat="false" ht="24.75" hidden="false" customHeight="true" outlineLevel="0" collapsed="false">
      <c r="A104" s="398" t="s">
        <v>1578</v>
      </c>
      <c r="B104" s="391"/>
      <c r="C104" s="391"/>
      <c r="D104" s="392" t="n">
        <v>36.82</v>
      </c>
      <c r="E104" s="391" t="n">
        <f aca="false">$D$92*E72</f>
        <v>2316.22023809524</v>
      </c>
      <c r="F104" s="391" t="n">
        <f aca="false">$D$92*F72</f>
        <v>4632.44047619048</v>
      </c>
      <c r="G104" s="391" t="n">
        <f aca="false">$D$92*G72</f>
        <v>9264.88095238096</v>
      </c>
      <c r="H104" s="391" t="n">
        <f aca="false">$D$92*H72</f>
        <v>13897.3214285714</v>
      </c>
      <c r="I104" s="391" t="n">
        <f aca="false">$D$92*I72</f>
        <v>18529.7619047619</v>
      </c>
      <c r="J104" s="391" t="n">
        <f aca="false">$D$92*J72</f>
        <v>23162.2023809524</v>
      </c>
      <c r="K104" s="391" t="n">
        <f aca="false">$D$92*K72</f>
        <v>27794.6428571429</v>
      </c>
      <c r="L104" s="391" t="n">
        <f aca="false">$D$92*L72</f>
        <v>32427.0833333334</v>
      </c>
      <c r="M104" s="391" t="n">
        <f aca="false">$D$92*M72</f>
        <v>37059.5238095238</v>
      </c>
      <c r="N104" s="393" t="n">
        <f aca="false">$D$89*N72*1.1</f>
        <v>56998.6607142855</v>
      </c>
      <c r="O104" s="393" t="n">
        <f aca="false">$D$89*O72*1.1</f>
        <v>63331.8452380953</v>
      </c>
      <c r="P104" s="393" t="n">
        <f aca="false">$D$89*P72*1.1</f>
        <v>69665.0297619047</v>
      </c>
      <c r="Q104" s="393" t="n">
        <f aca="false">$D$89*Q72*1.1</f>
        <v>75998.2142857145</v>
      </c>
      <c r="R104" s="393" t="n">
        <f aca="false">$D$89*R72*1.1</f>
        <v>82331.3988095239</v>
      </c>
      <c r="S104" s="393" t="n">
        <f aca="false">$D$89*S72*1.1</f>
        <v>88664.5833333332</v>
      </c>
      <c r="T104" s="393" t="n">
        <f aca="false">$D$89*T72*1.1</f>
        <v>94997.767857143</v>
      </c>
      <c r="U104" s="393" t="n">
        <f aca="false">$D$89*U72*1.1</f>
        <v>101330.952380952</v>
      </c>
      <c r="V104" s="393" t="n">
        <f aca="false">$D$89*V72*1.1</f>
        <v>107664.136904762</v>
      </c>
      <c r="W104" s="393" t="n">
        <f aca="false">$D$89*W72*1.1</f>
        <v>113997.321428571</v>
      </c>
      <c r="X104" s="393" t="n">
        <f aca="false">$D$89*X72*1.1</f>
        <v>120330.505952381</v>
      </c>
      <c r="Y104" s="393" t="n">
        <f aca="false">$D$89*Y72*1.1</f>
        <v>126663.690476191</v>
      </c>
      <c r="Z104" s="394" t="n">
        <f aca="false">$D$89*Z72*1.2</f>
        <v>241812.5</v>
      </c>
      <c r="AA104" s="394" t="n">
        <f aca="false">$D$89*AA72*1.2</f>
        <v>241812.5</v>
      </c>
      <c r="AB104" s="394" t="n">
        <f aca="false">$D$89*AB72*1.2</f>
        <v>241812.5</v>
      </c>
      <c r="AC104" s="394" t="n">
        <f aca="false">$D$89*AC72*1.2</f>
        <v>241812.5</v>
      </c>
      <c r="AD104" s="394" t="n">
        <f aca="false">$D$89*AD72*1.2</f>
        <v>241812.5</v>
      </c>
      <c r="AE104" s="394" t="n">
        <f aca="false">$D$89*AE72*1.2</f>
        <v>241812.5</v>
      </c>
      <c r="AF104" s="394" t="n">
        <f aca="false">$D$89*AF72*1.2</f>
        <v>241812.5</v>
      </c>
      <c r="AG104" s="394" t="n">
        <f aca="false">$D$89*AG72*1.2</f>
        <v>241812.5</v>
      </c>
      <c r="AH104" s="394" t="n">
        <f aca="false">$D$89*AH72*1.2</f>
        <v>241812.5</v>
      </c>
      <c r="AI104" s="394" t="n">
        <f aca="false">$D$89*AI72*1.2</f>
        <v>241812.5</v>
      </c>
      <c r="AJ104" s="394" t="n">
        <f aca="false">$D$89*AJ72*1.2</f>
        <v>241812.5</v>
      </c>
      <c r="AK104" s="394" t="n">
        <f aca="false">$D$89*AK72*1.2</f>
        <v>241812.5</v>
      </c>
      <c r="AL104" s="395" t="n">
        <f aca="false">$D$89*AL72*1.3</f>
        <v>261963.541666667</v>
      </c>
      <c r="AM104" s="395" t="n">
        <f aca="false">$D$89*AM72*1.3</f>
        <v>261963.541666667</v>
      </c>
      <c r="AN104" s="395" t="n">
        <f aca="false">$D$89*AN72*1.3</f>
        <v>261963.541666667</v>
      </c>
      <c r="AO104" s="395" t="n">
        <f aca="false">$D$89*AO72*1.3</f>
        <v>261963.541666667</v>
      </c>
      <c r="AP104" s="395" t="n">
        <f aca="false">$D$89*AP72*1.3</f>
        <v>261963.541666667</v>
      </c>
      <c r="AQ104" s="395" t="n">
        <f aca="false">$D$89*AQ72*1.3</f>
        <v>261963.541666667</v>
      </c>
      <c r="AR104" s="395" t="n">
        <f aca="false">$D$89*AR72*1.3</f>
        <v>261963.541666667</v>
      </c>
      <c r="AS104" s="395" t="n">
        <f aca="false">$D$89*AS72*1.3</f>
        <v>261963.541666667</v>
      </c>
      <c r="AT104" s="395" t="n">
        <f aca="false">$D$89*AT72*1.3</f>
        <v>261963.541666667</v>
      </c>
      <c r="AU104" s="395" t="n">
        <f aca="false">$D$89*AU72*1.3</f>
        <v>261963.541666667</v>
      </c>
      <c r="AV104" s="395" t="n">
        <f aca="false">$D$89*AV72*1.3</f>
        <v>261963.541666667</v>
      </c>
      <c r="AW104" s="395" t="n">
        <f aca="false">$D$89*AW72*1.3</f>
        <v>261963.541666667</v>
      </c>
      <c r="AX104" s="396" t="n">
        <f aca="false">$D$89*AX72*1.4</f>
        <v>282114.583333333</v>
      </c>
      <c r="AY104" s="396" t="n">
        <f aca="false">$D$89*AY72*1.4</f>
        <v>282114.583333333</v>
      </c>
      <c r="AZ104" s="396" t="n">
        <f aca="false">$D$89*AZ72*1.4</f>
        <v>282114.583333333</v>
      </c>
      <c r="BA104" s="396" t="n">
        <f aca="false">$D$89*BA72*1.4</f>
        <v>282114.583333333</v>
      </c>
      <c r="BB104" s="396" t="n">
        <f aca="false">$D$89*BB72*1.4</f>
        <v>282114.583333333</v>
      </c>
      <c r="BC104" s="396" t="n">
        <f aca="false">$D$89*BC72*1.4</f>
        <v>282114.583333333</v>
      </c>
      <c r="BD104" s="396" t="n">
        <f aca="false">$D$89*BD72*1.4</f>
        <v>282114.583333333</v>
      </c>
      <c r="BE104" s="396" t="n">
        <f aca="false">$D$89*BE72*1.4</f>
        <v>282114.583333333</v>
      </c>
      <c r="BF104" s="396" t="n">
        <f aca="false">$D$89*BF72*1.4</f>
        <v>282114.583333333</v>
      </c>
      <c r="BG104" s="396" t="n">
        <f aca="false">$D$89*BG72*1.4</f>
        <v>282114.583333333</v>
      </c>
      <c r="BH104" s="396" t="n">
        <f aca="false">$D$89*BH72*1.4</f>
        <v>282114.583333333</v>
      </c>
      <c r="BI104" s="396" t="n">
        <f aca="false">$D$89*BI72*1.4</f>
        <v>282114.583333333</v>
      </c>
      <c r="BJ104" s="397" t="n">
        <f aca="false">SUM(E104:M104)</f>
        <v>169084.077380952</v>
      </c>
      <c r="BK104" s="397" t="n">
        <f aca="false">SUM(N104:Y104)</f>
        <v>1101974.10714286</v>
      </c>
      <c r="BL104" s="397" t="n">
        <f aca="false">SUM(Z104:AK104)</f>
        <v>2901750</v>
      </c>
      <c r="BM104" s="397" t="n">
        <f aca="false">SUM(AL104:AW104)</f>
        <v>3143562.5</v>
      </c>
      <c r="BN104" s="397" t="n">
        <f aca="false">SUM(AX104:BI104)</f>
        <v>3385375</v>
      </c>
      <c r="BO104" s="325"/>
      <c r="BP104" s="389"/>
      <c r="BQ104" s="389"/>
      <c r="BR104" s="389"/>
      <c r="BS104" s="389"/>
      <c r="BT104" s="389"/>
      <c r="BU104" s="389"/>
      <c r="BV104" s="389"/>
      <c r="BW104" s="389"/>
      <c r="BX104" s="389"/>
      <c r="BY104" s="389"/>
      <c r="BZ104" s="389"/>
      <c r="CA104" s="389"/>
      <c r="CB104" s="389"/>
      <c r="CC104" s="389"/>
      <c r="CD104" s="389"/>
      <c r="CE104" s="389"/>
      <c r="CF104" s="389"/>
      <c r="CG104" s="389"/>
    </row>
    <row r="105" customFormat="false" ht="24.75" hidden="false" customHeight="true" outlineLevel="0" collapsed="false">
      <c r="A105" s="399"/>
      <c r="B105" s="391"/>
      <c r="C105" s="391"/>
      <c r="D105" s="392"/>
      <c r="E105" s="391"/>
      <c r="F105" s="391"/>
      <c r="G105" s="391"/>
      <c r="H105" s="391"/>
      <c r="I105" s="391"/>
      <c r="J105" s="391"/>
      <c r="K105" s="391"/>
      <c r="L105" s="391"/>
      <c r="M105" s="391"/>
      <c r="N105" s="391"/>
      <c r="O105" s="391"/>
      <c r="P105" s="391"/>
      <c r="Q105" s="391"/>
      <c r="R105" s="391"/>
      <c r="S105" s="391"/>
      <c r="T105" s="391"/>
      <c r="U105" s="391"/>
      <c r="V105" s="391"/>
      <c r="W105" s="391"/>
      <c r="X105" s="391"/>
      <c r="Y105" s="391"/>
      <c r="Z105" s="391"/>
      <c r="AA105" s="391"/>
      <c r="AB105" s="391"/>
      <c r="AC105" s="391"/>
      <c r="AD105" s="391"/>
      <c r="AE105" s="391"/>
      <c r="AF105" s="391"/>
      <c r="AG105" s="391"/>
      <c r="AH105" s="391"/>
      <c r="AI105" s="391"/>
      <c r="AJ105" s="391"/>
      <c r="AK105" s="391"/>
      <c r="AL105" s="391"/>
      <c r="AM105" s="391"/>
      <c r="AN105" s="391"/>
      <c r="AO105" s="391"/>
      <c r="AP105" s="391"/>
      <c r="AQ105" s="391"/>
      <c r="AR105" s="391"/>
      <c r="AS105" s="391"/>
      <c r="AT105" s="391"/>
      <c r="AU105" s="391"/>
      <c r="AV105" s="391"/>
      <c r="AW105" s="391"/>
      <c r="AX105" s="391"/>
      <c r="AY105" s="391"/>
      <c r="AZ105" s="391"/>
      <c r="BA105" s="391"/>
      <c r="BB105" s="391"/>
      <c r="BC105" s="391"/>
      <c r="BD105" s="391"/>
      <c r="BE105" s="391"/>
      <c r="BF105" s="391"/>
      <c r="BG105" s="391"/>
      <c r="BH105" s="391"/>
      <c r="BI105" s="391"/>
      <c r="BJ105" s="391"/>
      <c r="BK105" s="391"/>
      <c r="BL105" s="391"/>
      <c r="BM105" s="391"/>
      <c r="BN105" s="391"/>
      <c r="BO105" s="325"/>
      <c r="BP105" s="389"/>
      <c r="BQ105" s="389"/>
      <c r="BR105" s="389"/>
      <c r="BS105" s="389"/>
      <c r="BT105" s="389"/>
      <c r="BU105" s="389"/>
      <c r="BV105" s="389"/>
      <c r="BW105" s="389"/>
      <c r="BX105" s="389"/>
      <c r="BY105" s="389"/>
      <c r="BZ105" s="389"/>
      <c r="CA105" s="389"/>
      <c r="CB105" s="389"/>
      <c r="CC105" s="389"/>
      <c r="CD105" s="389"/>
      <c r="CE105" s="389"/>
      <c r="CF105" s="389"/>
      <c r="CG105" s="389"/>
    </row>
    <row r="106" customFormat="false" ht="24.75" hidden="false" customHeight="true" outlineLevel="0" collapsed="false">
      <c r="A106" s="398" t="s">
        <v>1581</v>
      </c>
      <c r="B106" s="391"/>
      <c r="C106" s="391"/>
      <c r="D106" s="392" t="n">
        <v>53.19</v>
      </c>
      <c r="E106" s="391" t="n">
        <f aca="false">$D$92*E74</f>
        <v>1056.19642857143</v>
      </c>
      <c r="F106" s="391" t="n">
        <f aca="false">$D$92*F74</f>
        <v>2112.39285714286</v>
      </c>
      <c r="G106" s="391" t="n">
        <f aca="false">$D$92*G74</f>
        <v>4224.78571428572</v>
      </c>
      <c r="H106" s="391" t="n">
        <f aca="false">$D$92*H74</f>
        <v>6337.17857142859</v>
      </c>
      <c r="I106" s="391" t="n">
        <f aca="false">$D$92*I74</f>
        <v>8449.57142857142</v>
      </c>
      <c r="J106" s="391" t="n">
        <f aca="false">$D$92*J74</f>
        <v>10561.9642857143</v>
      </c>
      <c r="K106" s="391" t="n">
        <f aca="false">$D$92*K74</f>
        <v>12674.3571428571</v>
      </c>
      <c r="L106" s="391" t="n">
        <f aca="false">$D$92*L74</f>
        <v>14786.75</v>
      </c>
      <c r="M106" s="391" t="n">
        <f aca="false">$D$92*M74</f>
        <v>16899.1428571429</v>
      </c>
      <c r="N106" s="393" t="n">
        <f aca="false">$D$89*N74*1.1</f>
        <v>25991.3892857143</v>
      </c>
      <c r="O106" s="393" t="n">
        <f aca="false">$D$89*O74*1.1</f>
        <v>28879.3214285715</v>
      </c>
      <c r="P106" s="393" t="n">
        <f aca="false">$D$89*P74*1.1</f>
        <v>31767.2535714286</v>
      </c>
      <c r="Q106" s="393" t="n">
        <f aca="false">$D$89*Q74*1.1</f>
        <v>34655.1857142857</v>
      </c>
      <c r="R106" s="393" t="n">
        <f aca="false">$D$89*R74*1.1</f>
        <v>37543.1178571429</v>
      </c>
      <c r="S106" s="393" t="n">
        <f aca="false">$D$89*S74*1.1</f>
        <v>40431.05</v>
      </c>
      <c r="T106" s="393" t="n">
        <f aca="false">$D$89*T74*1.1</f>
        <v>43318.982142857</v>
      </c>
      <c r="U106" s="393" t="n">
        <f aca="false">$D$89*U74*1.1</f>
        <v>46206.9142857145</v>
      </c>
      <c r="V106" s="393" t="n">
        <f aca="false">$D$89*V74*1.1</f>
        <v>49094.8464285715</v>
      </c>
      <c r="W106" s="393" t="n">
        <f aca="false">$D$89*W74*1.1</f>
        <v>51982.7785714285</v>
      </c>
      <c r="X106" s="393" t="n">
        <f aca="false">$D$89*X74*1.1</f>
        <v>54870.7107142855</v>
      </c>
      <c r="Y106" s="393" t="n">
        <f aca="false">$D$89*Y74*1.1</f>
        <v>57758.642857143</v>
      </c>
      <c r="Z106" s="394" t="n">
        <f aca="false">$D$89*Z74*1.2</f>
        <v>110266.5</v>
      </c>
      <c r="AA106" s="394" t="n">
        <f aca="false">$D$89*AA74*1.2</f>
        <v>110266.5</v>
      </c>
      <c r="AB106" s="394" t="n">
        <f aca="false">$D$89*AB74*1.2</f>
        <v>110266.5</v>
      </c>
      <c r="AC106" s="394" t="n">
        <f aca="false">$D$89*AC74*1.2</f>
        <v>110266.5</v>
      </c>
      <c r="AD106" s="394" t="n">
        <f aca="false">$D$89*AD74*1.2</f>
        <v>110266.5</v>
      </c>
      <c r="AE106" s="394" t="n">
        <f aca="false">$D$89*AE74*1.2</f>
        <v>110266.5</v>
      </c>
      <c r="AF106" s="394" t="n">
        <f aca="false">$D$89*AF74*1.2</f>
        <v>110266.5</v>
      </c>
      <c r="AG106" s="394" t="n">
        <f aca="false">$D$89*AG74*1.2</f>
        <v>110266.5</v>
      </c>
      <c r="AH106" s="394" t="n">
        <f aca="false">$D$89*AH74*1.2</f>
        <v>110266.5</v>
      </c>
      <c r="AI106" s="394" t="n">
        <f aca="false">$D$89*AI74*1.2</f>
        <v>110266.5</v>
      </c>
      <c r="AJ106" s="394" t="n">
        <f aca="false">$D$89*AJ74*1.2</f>
        <v>110266.5</v>
      </c>
      <c r="AK106" s="394" t="n">
        <f aca="false">$D$89*AK74*1.2</f>
        <v>110266.5</v>
      </c>
      <c r="AL106" s="395" t="n">
        <f aca="false">$D$89*AL74*1.3</f>
        <v>119455.375</v>
      </c>
      <c r="AM106" s="395" t="n">
        <f aca="false">$D$89*AM74*1.3</f>
        <v>119455.375</v>
      </c>
      <c r="AN106" s="395" t="n">
        <f aca="false">$D$89*AN74*1.3</f>
        <v>119455.375</v>
      </c>
      <c r="AO106" s="395" t="n">
        <f aca="false">$D$89*AO74*1.3</f>
        <v>119455.375</v>
      </c>
      <c r="AP106" s="395" t="n">
        <f aca="false">$D$89*AP74*1.3</f>
        <v>119455.375</v>
      </c>
      <c r="AQ106" s="395" t="n">
        <f aca="false">$D$89*AQ74*1.3</f>
        <v>119455.375</v>
      </c>
      <c r="AR106" s="395" t="n">
        <f aca="false">$D$89*AR74*1.3</f>
        <v>119455.375</v>
      </c>
      <c r="AS106" s="395" t="n">
        <f aca="false">$D$89*AS74*1.3</f>
        <v>119455.375</v>
      </c>
      <c r="AT106" s="395" t="n">
        <f aca="false">$D$89*AT74*1.3</f>
        <v>119455.375</v>
      </c>
      <c r="AU106" s="395" t="n">
        <f aca="false">$D$89*AU74*1.3</f>
        <v>119455.375</v>
      </c>
      <c r="AV106" s="395" t="n">
        <f aca="false">$D$89*AV74*1.3</f>
        <v>119455.375</v>
      </c>
      <c r="AW106" s="395" t="n">
        <f aca="false">$D$89*AW74*1.3</f>
        <v>119455.375</v>
      </c>
      <c r="AX106" s="396" t="n">
        <f aca="false">$D$89*AX74*1.4</f>
        <v>128644.25</v>
      </c>
      <c r="AY106" s="396" t="n">
        <f aca="false">$D$89*AY74*1.4</f>
        <v>128644.25</v>
      </c>
      <c r="AZ106" s="396" t="n">
        <f aca="false">$D$89*AZ74*1.4</f>
        <v>128644.25</v>
      </c>
      <c r="BA106" s="396" t="n">
        <f aca="false">$D$89*BA74*1.4</f>
        <v>128644.25</v>
      </c>
      <c r="BB106" s="396" t="n">
        <f aca="false">$D$89*BB74*1.4</f>
        <v>128644.25</v>
      </c>
      <c r="BC106" s="396" t="n">
        <f aca="false">$D$89*BC74*1.4</f>
        <v>128644.25</v>
      </c>
      <c r="BD106" s="396" t="n">
        <f aca="false">$D$89*BD74*1.4</f>
        <v>128644.25</v>
      </c>
      <c r="BE106" s="396" t="n">
        <f aca="false">$D$89*BE74*1.4</f>
        <v>128644.25</v>
      </c>
      <c r="BF106" s="396" t="n">
        <f aca="false">$D$89*BF74*1.4</f>
        <v>128644.25</v>
      </c>
      <c r="BG106" s="396" t="n">
        <f aca="false">$D$89*BG74*1.4</f>
        <v>128644.25</v>
      </c>
      <c r="BH106" s="396" t="n">
        <f aca="false">$D$89*BH74*1.4</f>
        <v>128644.25</v>
      </c>
      <c r="BI106" s="396" t="n">
        <f aca="false">$D$89*BI74*1.4</f>
        <v>128644.25</v>
      </c>
      <c r="BJ106" s="397" t="n">
        <f aca="false">SUM(E106:M106)</f>
        <v>77102.3392857143</v>
      </c>
      <c r="BK106" s="397" t="n">
        <f aca="false">SUM(N106:Y106)</f>
        <v>502500.192857143</v>
      </c>
      <c r="BL106" s="397" t="n">
        <f aca="false">SUM(Z106:AK106)</f>
        <v>1323198</v>
      </c>
      <c r="BM106" s="397" t="n">
        <f aca="false">SUM(AL106:AW106)</f>
        <v>1433464.5</v>
      </c>
      <c r="BN106" s="397" t="n">
        <f aca="false">SUM(AX106:BI106)</f>
        <v>1543731</v>
      </c>
      <c r="BO106" s="325"/>
      <c r="BP106" s="389"/>
      <c r="BQ106" s="389"/>
      <c r="BR106" s="389"/>
      <c r="BS106" s="389"/>
      <c r="BT106" s="389"/>
      <c r="BU106" s="389"/>
      <c r="BV106" s="389"/>
      <c r="BW106" s="389"/>
      <c r="BX106" s="389"/>
      <c r="BY106" s="389"/>
      <c r="BZ106" s="389"/>
      <c r="CA106" s="389"/>
      <c r="CB106" s="389"/>
      <c r="CC106" s="389"/>
      <c r="CD106" s="389"/>
      <c r="CE106" s="389"/>
      <c r="CF106" s="389"/>
      <c r="CG106" s="389"/>
    </row>
    <row r="107" customFormat="false" ht="24.75" hidden="false" customHeight="true" outlineLevel="0" collapsed="false">
      <c r="A107" s="398" t="s">
        <v>1582</v>
      </c>
      <c r="B107" s="391"/>
      <c r="C107" s="391"/>
      <c r="D107" s="392" t="n">
        <v>45.24</v>
      </c>
      <c r="E107" s="391" t="n">
        <f aca="false">$D$92*E75</f>
        <v>1408.2619047619</v>
      </c>
      <c r="F107" s="391" t="n">
        <f aca="false">$D$92*F75</f>
        <v>2816.52380952381</v>
      </c>
      <c r="G107" s="391" t="n">
        <f aca="false">$D$92*G75</f>
        <v>5633.04761904762</v>
      </c>
      <c r="H107" s="391" t="n">
        <f aca="false">$D$92*H75</f>
        <v>8449.57142857142</v>
      </c>
      <c r="I107" s="391" t="n">
        <f aca="false">$D$92*I75</f>
        <v>11266.0952380952</v>
      </c>
      <c r="J107" s="391" t="n">
        <f aca="false">$D$92*J75</f>
        <v>14082.619047619</v>
      </c>
      <c r="K107" s="391" t="n">
        <f aca="false">$D$92*K75</f>
        <v>16899.1428571429</v>
      </c>
      <c r="L107" s="391" t="n">
        <f aca="false">$D$92*L75</f>
        <v>19715.6666666667</v>
      </c>
      <c r="M107" s="391" t="n">
        <f aca="false">$D$92*M75</f>
        <v>22532.1904761905</v>
      </c>
      <c r="N107" s="393" t="n">
        <f aca="false">$D$89*N75*1.1</f>
        <v>34655.1857142857</v>
      </c>
      <c r="O107" s="393" t="n">
        <f aca="false">$D$89*O75*1.1</f>
        <v>38505.7619047619</v>
      </c>
      <c r="P107" s="393" t="n">
        <f aca="false">$D$89*P75*1.1</f>
        <v>42356.3380952381</v>
      </c>
      <c r="Q107" s="393" t="n">
        <f aca="false">$D$89*Q75*1.1</f>
        <v>46206.9142857145</v>
      </c>
      <c r="R107" s="393" t="n">
        <f aca="false">$D$89*R75*1.1</f>
        <v>50057.4904761906</v>
      </c>
      <c r="S107" s="393" t="n">
        <f aca="false">$D$89*S75*1.1</f>
        <v>53908.0666666668</v>
      </c>
      <c r="T107" s="393" t="n">
        <f aca="false">$D$89*T75*1.1</f>
        <v>57758.642857143</v>
      </c>
      <c r="U107" s="393" t="n">
        <f aca="false">$D$89*U75*1.1</f>
        <v>61609.2190476192</v>
      </c>
      <c r="V107" s="393" t="n">
        <f aca="false">$D$89*V75*1.1</f>
        <v>65459.7952380953</v>
      </c>
      <c r="W107" s="393" t="n">
        <f aca="false">$D$89*W75*1.1</f>
        <v>69310.3714285715</v>
      </c>
      <c r="X107" s="393" t="n">
        <f aca="false">$D$89*X75*1.1</f>
        <v>73160.9476190477</v>
      </c>
      <c r="Y107" s="393" t="n">
        <f aca="false">$D$89*Y75*1.1</f>
        <v>77011.5238095239</v>
      </c>
      <c r="Z107" s="394" t="n">
        <f aca="false">$D$89*Z75*1.2</f>
        <v>147022</v>
      </c>
      <c r="AA107" s="394" t="n">
        <f aca="false">$D$89*AA75*1.2</f>
        <v>147022</v>
      </c>
      <c r="AB107" s="394" t="n">
        <f aca="false">$D$89*AB75*1.2</f>
        <v>147022</v>
      </c>
      <c r="AC107" s="394" t="n">
        <f aca="false">$D$89*AC75*1.2</f>
        <v>147022</v>
      </c>
      <c r="AD107" s="394" t="n">
        <f aca="false">$D$89*AD75*1.2</f>
        <v>147022</v>
      </c>
      <c r="AE107" s="394" t="n">
        <f aca="false">$D$89*AE75*1.2</f>
        <v>147022</v>
      </c>
      <c r="AF107" s="394" t="n">
        <f aca="false">$D$89*AF75*1.2</f>
        <v>147022</v>
      </c>
      <c r="AG107" s="394" t="n">
        <f aca="false">$D$89*AG75*1.2</f>
        <v>147022</v>
      </c>
      <c r="AH107" s="394" t="n">
        <f aca="false">$D$89*AH75*1.2</f>
        <v>147022</v>
      </c>
      <c r="AI107" s="394" t="n">
        <f aca="false">$D$89*AI75*1.2</f>
        <v>147022</v>
      </c>
      <c r="AJ107" s="394" t="n">
        <f aca="false">$D$89*AJ75*1.2</f>
        <v>147022</v>
      </c>
      <c r="AK107" s="394" t="n">
        <f aca="false">$D$89*AK75*1.2</f>
        <v>147022</v>
      </c>
      <c r="AL107" s="395" t="n">
        <f aca="false">$D$89*AL75*1.3</f>
        <v>159273.833333334</v>
      </c>
      <c r="AM107" s="395" t="n">
        <f aca="false">$D$89*AM75*1.3</f>
        <v>159273.833333334</v>
      </c>
      <c r="AN107" s="395" t="n">
        <f aca="false">$D$89*AN75*1.3</f>
        <v>159273.833333334</v>
      </c>
      <c r="AO107" s="395" t="n">
        <f aca="false">$D$89*AO75*1.3</f>
        <v>159273.833333334</v>
      </c>
      <c r="AP107" s="395" t="n">
        <f aca="false">$D$89*AP75*1.3</f>
        <v>159273.833333334</v>
      </c>
      <c r="AQ107" s="395" t="n">
        <f aca="false">$D$89*AQ75*1.3</f>
        <v>159273.833333334</v>
      </c>
      <c r="AR107" s="395" t="n">
        <f aca="false">$D$89*AR75*1.3</f>
        <v>159273.833333334</v>
      </c>
      <c r="AS107" s="395" t="n">
        <f aca="false">$D$89*AS75*1.3</f>
        <v>159273.833333334</v>
      </c>
      <c r="AT107" s="395" t="n">
        <f aca="false">$D$89*AT75*1.3</f>
        <v>159273.833333334</v>
      </c>
      <c r="AU107" s="395" t="n">
        <f aca="false">$D$89*AU75*1.3</f>
        <v>159273.833333334</v>
      </c>
      <c r="AV107" s="395" t="n">
        <f aca="false">$D$89*AV75*1.3</f>
        <v>159273.833333334</v>
      </c>
      <c r="AW107" s="395" t="n">
        <f aca="false">$D$89*AW75*1.3</f>
        <v>159273.833333334</v>
      </c>
      <c r="AX107" s="396" t="n">
        <f aca="false">$D$89*AX75*1.4</f>
        <v>171525.666666667</v>
      </c>
      <c r="AY107" s="396" t="n">
        <f aca="false">$D$89*AY75*1.4</f>
        <v>171525.666666667</v>
      </c>
      <c r="AZ107" s="396" t="n">
        <f aca="false">$D$89*AZ75*1.4</f>
        <v>171525.666666667</v>
      </c>
      <c r="BA107" s="396" t="n">
        <f aca="false">$D$89*BA75*1.4</f>
        <v>171525.666666667</v>
      </c>
      <c r="BB107" s="396" t="n">
        <f aca="false">$D$89*BB75*1.4</f>
        <v>171525.666666667</v>
      </c>
      <c r="BC107" s="396" t="n">
        <f aca="false">$D$89*BC75*1.4</f>
        <v>171525.666666667</v>
      </c>
      <c r="BD107" s="396" t="n">
        <f aca="false">$D$89*BD75*1.4</f>
        <v>171525.666666667</v>
      </c>
      <c r="BE107" s="396" t="n">
        <f aca="false">$D$89*BE75*1.4</f>
        <v>171525.666666667</v>
      </c>
      <c r="BF107" s="396" t="n">
        <f aca="false">$D$89*BF75*1.4</f>
        <v>171525.666666667</v>
      </c>
      <c r="BG107" s="396" t="n">
        <f aca="false">$D$89*BG75*1.4</f>
        <v>171525.666666667</v>
      </c>
      <c r="BH107" s="396" t="n">
        <f aca="false">$D$89*BH75*1.4</f>
        <v>171525.666666667</v>
      </c>
      <c r="BI107" s="396" t="n">
        <f aca="false">$D$89*BI75*1.4</f>
        <v>171525.666666667</v>
      </c>
      <c r="BJ107" s="397" t="n">
        <f aca="false">SUM(E107:M107)</f>
        <v>102803.119047619</v>
      </c>
      <c r="BK107" s="397" t="n">
        <f aca="false">SUM(N107:Y107)</f>
        <v>670000.257142858</v>
      </c>
      <c r="BL107" s="397" t="n">
        <f aca="false">SUM(Z107:AK107)</f>
        <v>1764264</v>
      </c>
      <c r="BM107" s="397" t="n">
        <f aca="false">SUM(AL107:AW107)</f>
        <v>1911286</v>
      </c>
      <c r="BN107" s="397" t="n">
        <f aca="false">SUM(AX107:BI107)</f>
        <v>2058308</v>
      </c>
      <c r="BO107" s="325"/>
      <c r="BP107" s="389"/>
      <c r="BQ107" s="389"/>
      <c r="BR107" s="389"/>
      <c r="BS107" s="389"/>
      <c r="BT107" s="389"/>
      <c r="BU107" s="389"/>
      <c r="BV107" s="389"/>
      <c r="BW107" s="389"/>
      <c r="BX107" s="389"/>
      <c r="BY107" s="389"/>
      <c r="BZ107" s="389"/>
      <c r="CA107" s="389"/>
      <c r="CB107" s="389"/>
      <c r="CC107" s="389"/>
      <c r="CD107" s="389"/>
      <c r="CE107" s="389"/>
      <c r="CF107" s="389"/>
      <c r="CG107" s="389"/>
    </row>
    <row r="108" customFormat="false" ht="24.75" hidden="false" customHeight="true" outlineLevel="0" collapsed="false">
      <c r="A108" s="398" t="s">
        <v>1583</v>
      </c>
      <c r="B108" s="391"/>
      <c r="C108" s="391"/>
      <c r="D108" s="392" t="n">
        <v>40.35</v>
      </c>
      <c r="E108" s="391" t="n">
        <f aca="false">$D$92*E76</f>
        <v>2464.45833333333</v>
      </c>
      <c r="F108" s="391" t="n">
        <f aca="false">$D$92*F76</f>
        <v>4928.91666666666</v>
      </c>
      <c r="G108" s="391" t="n">
        <f aca="false">$D$92*G76</f>
        <v>9857.83333333335</v>
      </c>
      <c r="H108" s="391" t="n">
        <f aca="false">$D$92*H76</f>
        <v>14786.75</v>
      </c>
      <c r="I108" s="391" t="n">
        <f aca="false">$D$92*I76</f>
        <v>19715.6666666667</v>
      </c>
      <c r="J108" s="391" t="n">
        <f aca="false">$D$92*J76</f>
        <v>24644.5833333333</v>
      </c>
      <c r="K108" s="391" t="n">
        <f aca="false">$D$92*K76</f>
        <v>29573.5</v>
      </c>
      <c r="L108" s="391" t="n">
        <f aca="false">$D$92*L76</f>
        <v>34502.4166666666</v>
      </c>
      <c r="M108" s="391" t="n">
        <f aca="false">$D$92*M76</f>
        <v>39431.3333333334</v>
      </c>
      <c r="N108" s="393" t="n">
        <f aca="false">$D$89*N76*1.1</f>
        <v>60646.575</v>
      </c>
      <c r="O108" s="393" t="n">
        <f aca="false">$D$89*O76*1.1</f>
        <v>67385.0833333332</v>
      </c>
      <c r="P108" s="393" t="n">
        <f aca="false">$D$89*P76*1.1</f>
        <v>74123.5916666668</v>
      </c>
      <c r="Q108" s="393" t="n">
        <f aca="false">$D$89*Q76*1.1</f>
        <v>80862.1</v>
      </c>
      <c r="R108" s="393" t="n">
        <f aca="false">$D$89*R76*1.1</f>
        <v>87600.6083333332</v>
      </c>
      <c r="S108" s="393" t="n">
        <f aca="false">$D$89*S76*1.1</f>
        <v>94339.1166666668</v>
      </c>
      <c r="T108" s="393" t="n">
        <f aca="false">$D$89*T76*1.1</f>
        <v>101077.625</v>
      </c>
      <c r="U108" s="393" t="n">
        <f aca="false">$D$89*U76*1.1</f>
        <v>107816.133333333</v>
      </c>
      <c r="V108" s="393" t="n">
        <f aca="false">$D$89*V76*1.1</f>
        <v>114554.641666667</v>
      </c>
      <c r="W108" s="393" t="n">
        <f aca="false">$D$89*W76*1.1</f>
        <v>121293.15</v>
      </c>
      <c r="X108" s="393" t="n">
        <f aca="false">$D$89*X76*1.1</f>
        <v>128031.658333333</v>
      </c>
      <c r="Y108" s="393" t="n">
        <f aca="false">$D$89*Y76*1.1</f>
        <v>134770.166666667</v>
      </c>
      <c r="Z108" s="394" t="n">
        <f aca="false">$D$89*Z76*1.2</f>
        <v>257288.5</v>
      </c>
      <c r="AA108" s="394" t="n">
        <f aca="false">$D$89*AA76*1.2</f>
        <v>257288.5</v>
      </c>
      <c r="AB108" s="394" t="n">
        <f aca="false">$D$89*AB76*1.2</f>
        <v>257288.5</v>
      </c>
      <c r="AC108" s="394" t="n">
        <f aca="false">$D$89*AC76*1.2</f>
        <v>257288.5</v>
      </c>
      <c r="AD108" s="394" t="n">
        <f aca="false">$D$89*AD76*1.2</f>
        <v>257288.5</v>
      </c>
      <c r="AE108" s="394" t="n">
        <f aca="false">$D$89*AE76*1.2</f>
        <v>257288.5</v>
      </c>
      <c r="AF108" s="394" t="n">
        <f aca="false">$D$89*AF76*1.2</f>
        <v>257288.5</v>
      </c>
      <c r="AG108" s="394" t="n">
        <f aca="false">$D$89*AG76*1.2</f>
        <v>257288.5</v>
      </c>
      <c r="AH108" s="394" t="n">
        <f aca="false">$D$89*AH76*1.2</f>
        <v>257288.5</v>
      </c>
      <c r="AI108" s="394" t="n">
        <f aca="false">$D$89*AI76*1.2</f>
        <v>257288.5</v>
      </c>
      <c r="AJ108" s="394" t="n">
        <f aca="false">$D$89*AJ76*1.2</f>
        <v>257288.5</v>
      </c>
      <c r="AK108" s="394" t="n">
        <f aca="false">$D$89*AK76*1.2</f>
        <v>257288.5</v>
      </c>
      <c r="AL108" s="395" t="n">
        <f aca="false">$D$89*AL76*1.3</f>
        <v>278729.208333334</v>
      </c>
      <c r="AM108" s="395" t="n">
        <f aca="false">$D$89*AM76*1.3</f>
        <v>278729.208333334</v>
      </c>
      <c r="AN108" s="395" t="n">
        <f aca="false">$D$89*AN76*1.3</f>
        <v>278729.208333334</v>
      </c>
      <c r="AO108" s="395" t="n">
        <f aca="false">$D$89*AO76*1.3</f>
        <v>278729.208333334</v>
      </c>
      <c r="AP108" s="395" t="n">
        <f aca="false">$D$89*AP76*1.3</f>
        <v>278729.208333334</v>
      </c>
      <c r="AQ108" s="395" t="n">
        <f aca="false">$D$89*AQ76*1.3</f>
        <v>278729.208333334</v>
      </c>
      <c r="AR108" s="395" t="n">
        <f aca="false">$D$89*AR76*1.3</f>
        <v>278729.208333334</v>
      </c>
      <c r="AS108" s="395" t="n">
        <f aca="false">$D$89*AS76*1.3</f>
        <v>278729.208333334</v>
      </c>
      <c r="AT108" s="395" t="n">
        <f aca="false">$D$89*AT76*1.3</f>
        <v>278729.208333334</v>
      </c>
      <c r="AU108" s="395" t="n">
        <f aca="false">$D$89*AU76*1.3</f>
        <v>278729.208333334</v>
      </c>
      <c r="AV108" s="395" t="n">
        <f aca="false">$D$89*AV76*1.3</f>
        <v>278729.208333334</v>
      </c>
      <c r="AW108" s="395" t="n">
        <f aca="false">$D$89*AW76*1.3</f>
        <v>278729.208333334</v>
      </c>
      <c r="AX108" s="396" t="n">
        <f aca="false">$D$89*AX76*1.4</f>
        <v>300169.916666667</v>
      </c>
      <c r="AY108" s="396" t="n">
        <f aca="false">$D$89*AY76*1.4</f>
        <v>300169.916666667</v>
      </c>
      <c r="AZ108" s="396" t="n">
        <f aca="false">$D$89*AZ76*1.4</f>
        <v>300169.916666667</v>
      </c>
      <c r="BA108" s="396" t="n">
        <f aca="false">$D$89*BA76*1.4</f>
        <v>300169.916666667</v>
      </c>
      <c r="BB108" s="396" t="n">
        <f aca="false">$D$89*BB76*1.4</f>
        <v>300169.916666667</v>
      </c>
      <c r="BC108" s="396" t="n">
        <f aca="false">$D$89*BC76*1.4</f>
        <v>300169.916666667</v>
      </c>
      <c r="BD108" s="396" t="n">
        <f aca="false">$D$89*BD76*1.4</f>
        <v>300169.916666667</v>
      </c>
      <c r="BE108" s="396" t="n">
        <f aca="false">$D$89*BE76*1.4</f>
        <v>300169.916666667</v>
      </c>
      <c r="BF108" s="396" t="n">
        <f aca="false">$D$89*BF76*1.4</f>
        <v>300169.916666667</v>
      </c>
      <c r="BG108" s="396" t="n">
        <f aca="false">$D$89*BG76*1.4</f>
        <v>300169.916666667</v>
      </c>
      <c r="BH108" s="396" t="n">
        <f aca="false">$D$89*BH76*1.4</f>
        <v>300169.916666667</v>
      </c>
      <c r="BI108" s="396" t="n">
        <f aca="false">$D$89*BI76*1.4</f>
        <v>300169.916666667</v>
      </c>
      <c r="BJ108" s="397" t="n">
        <f aca="false">SUM(E108:M108)</f>
        <v>179905.458333333</v>
      </c>
      <c r="BK108" s="397" t="n">
        <f aca="false">SUM(N108:Y108)</f>
        <v>1172500.45</v>
      </c>
      <c r="BL108" s="397" t="n">
        <f aca="false">SUM(Z108:AK108)</f>
        <v>3087462</v>
      </c>
      <c r="BM108" s="397" t="n">
        <f aca="false">SUM(AL108:AW108)</f>
        <v>3344750.5</v>
      </c>
      <c r="BN108" s="397" t="n">
        <f aca="false">SUM(AX108:BI108)</f>
        <v>3602039</v>
      </c>
      <c r="BO108" s="325"/>
      <c r="BP108" s="389"/>
      <c r="BQ108" s="389"/>
      <c r="BR108" s="389"/>
      <c r="BS108" s="389"/>
      <c r="BT108" s="389"/>
      <c r="BU108" s="389"/>
      <c r="BV108" s="389"/>
      <c r="BW108" s="389"/>
      <c r="BX108" s="389"/>
      <c r="BY108" s="389"/>
      <c r="BZ108" s="389"/>
      <c r="CA108" s="389"/>
      <c r="CB108" s="389"/>
      <c r="CC108" s="389"/>
      <c r="CD108" s="389"/>
      <c r="CE108" s="389"/>
      <c r="CF108" s="389"/>
      <c r="CG108" s="389"/>
    </row>
    <row r="109" customFormat="false" ht="24.75" hidden="false" customHeight="true" outlineLevel="0" collapsed="false">
      <c r="A109" s="398" t="s">
        <v>1584</v>
      </c>
      <c r="B109" s="391"/>
      <c r="C109" s="391"/>
      <c r="D109" s="392" t="n">
        <v>35.46</v>
      </c>
      <c r="E109" s="391" t="n">
        <f aca="false">$D$92*E77</f>
        <v>3168.58928571428</v>
      </c>
      <c r="F109" s="391" t="n">
        <f aca="false">$D$92*F77</f>
        <v>6337.17857142859</v>
      </c>
      <c r="G109" s="391" t="n">
        <f aca="false">$D$92*G77</f>
        <v>12674.3571428571</v>
      </c>
      <c r="H109" s="391" t="n">
        <f aca="false">$D$92*H77</f>
        <v>19011.5357142857</v>
      </c>
      <c r="I109" s="391" t="n">
        <f aca="false">$D$92*I77</f>
        <v>25348.7142857143</v>
      </c>
      <c r="J109" s="391" t="n">
        <f aca="false">$D$92*J77</f>
        <v>31685.8928571428</v>
      </c>
      <c r="K109" s="391" t="n">
        <f aca="false">$D$92*K77</f>
        <v>38023.0714285714</v>
      </c>
      <c r="L109" s="391" t="n">
        <f aca="false">$D$92*L77</f>
        <v>44360.25</v>
      </c>
      <c r="M109" s="391" t="n">
        <f aca="false">$D$92*M77</f>
        <v>50697.4285714286</v>
      </c>
      <c r="N109" s="393" t="n">
        <f aca="false">$D$89*N77*1.1</f>
        <v>77974.167857143</v>
      </c>
      <c r="O109" s="393" t="n">
        <f aca="false">$D$89*O77*1.1</f>
        <v>86637.9642857145</v>
      </c>
      <c r="P109" s="393" t="n">
        <f aca="false">$D$89*P77*1.1</f>
        <v>95301.760714286</v>
      </c>
      <c r="Q109" s="393" t="n">
        <f aca="false">$D$89*Q77*1.1</f>
        <v>103965.557142857</v>
      </c>
      <c r="R109" s="393" t="n">
        <f aca="false">$D$89*R77*1.1</f>
        <v>112629.353571429</v>
      </c>
      <c r="S109" s="393" t="n">
        <f aca="false">$D$89*S77*1.1</f>
        <v>121293.15</v>
      </c>
      <c r="T109" s="393" t="n">
        <f aca="false">$D$89*T77*1.1</f>
        <v>129956.946428571</v>
      </c>
      <c r="U109" s="393" t="n">
        <f aca="false">$D$89*U77*1.1</f>
        <v>138620.742857143</v>
      </c>
      <c r="V109" s="393" t="n">
        <f aca="false">$D$89*V77*1.1</f>
        <v>147284.539285714</v>
      </c>
      <c r="W109" s="393" t="n">
        <f aca="false">$D$89*W77*1.1</f>
        <v>155948.335714286</v>
      </c>
      <c r="X109" s="393" t="n">
        <f aca="false">$D$89*X77*1.1</f>
        <v>164612.132142857</v>
      </c>
      <c r="Y109" s="393" t="n">
        <f aca="false">$D$89*Y77*1.1</f>
        <v>173275.928571429</v>
      </c>
      <c r="Z109" s="394" t="n">
        <f aca="false">$D$89*Z77*1.2</f>
        <v>330799.5</v>
      </c>
      <c r="AA109" s="394" t="n">
        <f aca="false">$D$89*AA77*1.2</f>
        <v>330799.5</v>
      </c>
      <c r="AB109" s="394" t="n">
        <f aca="false">$D$89*AB77*1.2</f>
        <v>330799.5</v>
      </c>
      <c r="AC109" s="394" t="n">
        <f aca="false">$D$89*AC77*1.2</f>
        <v>330799.5</v>
      </c>
      <c r="AD109" s="394" t="n">
        <f aca="false">$D$89*AD77*1.2</f>
        <v>330799.5</v>
      </c>
      <c r="AE109" s="394" t="n">
        <f aca="false">$D$89*AE77*1.2</f>
        <v>330799.5</v>
      </c>
      <c r="AF109" s="394" t="n">
        <f aca="false">$D$89*AF77*1.2</f>
        <v>330799.5</v>
      </c>
      <c r="AG109" s="394" t="n">
        <f aca="false">$D$89*AG77*1.2</f>
        <v>330799.5</v>
      </c>
      <c r="AH109" s="394" t="n">
        <f aca="false">$D$89*AH77*1.2</f>
        <v>330799.5</v>
      </c>
      <c r="AI109" s="394" t="n">
        <f aca="false">$D$89*AI77*1.2</f>
        <v>330799.5</v>
      </c>
      <c r="AJ109" s="394" t="n">
        <f aca="false">$D$89*AJ77*1.2</f>
        <v>330799.5</v>
      </c>
      <c r="AK109" s="394" t="n">
        <f aca="false">$D$89*AK77*1.2</f>
        <v>330799.5</v>
      </c>
      <c r="AL109" s="395" t="n">
        <f aca="false">$D$89*AL77*1.3</f>
        <v>358366.125</v>
      </c>
      <c r="AM109" s="395" t="n">
        <f aca="false">$D$89*AM77*1.3</f>
        <v>358366.125</v>
      </c>
      <c r="AN109" s="395" t="n">
        <f aca="false">$D$89*AN77*1.3</f>
        <v>358366.125</v>
      </c>
      <c r="AO109" s="395" t="n">
        <f aca="false">$D$89*AO77*1.3</f>
        <v>358366.125</v>
      </c>
      <c r="AP109" s="395" t="n">
        <f aca="false">$D$89*AP77*1.3</f>
        <v>358366.125</v>
      </c>
      <c r="AQ109" s="395" t="n">
        <f aca="false">$D$89*AQ77*1.3</f>
        <v>358366.125</v>
      </c>
      <c r="AR109" s="395" t="n">
        <f aca="false">$D$89*AR77*1.3</f>
        <v>358366.125</v>
      </c>
      <c r="AS109" s="395" t="n">
        <f aca="false">$D$89*AS77*1.3</f>
        <v>358366.125</v>
      </c>
      <c r="AT109" s="395" t="n">
        <f aca="false">$D$89*AT77*1.3</f>
        <v>358366.125</v>
      </c>
      <c r="AU109" s="395" t="n">
        <f aca="false">$D$89*AU77*1.3</f>
        <v>358366.125</v>
      </c>
      <c r="AV109" s="395" t="n">
        <f aca="false">$D$89*AV77*1.3</f>
        <v>358366.125</v>
      </c>
      <c r="AW109" s="395" t="n">
        <f aca="false">$D$89*AW77*1.3</f>
        <v>358366.125</v>
      </c>
      <c r="AX109" s="396" t="n">
        <f aca="false">$D$89*AX77*1.4</f>
        <v>385932.75</v>
      </c>
      <c r="AY109" s="396" t="n">
        <f aca="false">$D$89*AY77*1.4</f>
        <v>385932.75</v>
      </c>
      <c r="AZ109" s="396" t="n">
        <f aca="false">$D$89*AZ77*1.4</f>
        <v>385932.75</v>
      </c>
      <c r="BA109" s="396" t="n">
        <f aca="false">$D$89*BA77*1.4</f>
        <v>385932.75</v>
      </c>
      <c r="BB109" s="396" t="n">
        <f aca="false">$D$89*BB77*1.4</f>
        <v>385932.75</v>
      </c>
      <c r="BC109" s="396" t="n">
        <f aca="false">$D$89*BC77*1.4</f>
        <v>385932.75</v>
      </c>
      <c r="BD109" s="396" t="n">
        <f aca="false">$D$89*BD77*1.4</f>
        <v>385932.75</v>
      </c>
      <c r="BE109" s="396" t="n">
        <f aca="false">$D$89*BE77*1.4</f>
        <v>385932.75</v>
      </c>
      <c r="BF109" s="396" t="n">
        <f aca="false">$D$89*BF77*1.4</f>
        <v>385932.75</v>
      </c>
      <c r="BG109" s="396" t="n">
        <f aca="false">$D$89*BG77*1.4</f>
        <v>385932.75</v>
      </c>
      <c r="BH109" s="396" t="n">
        <f aca="false">$D$89*BH77*1.4</f>
        <v>385932.75</v>
      </c>
      <c r="BI109" s="396" t="n">
        <f aca="false">$D$89*BI77*1.4</f>
        <v>385932.75</v>
      </c>
      <c r="BJ109" s="397" t="n">
        <f aca="false">SUM(E109:M109)</f>
        <v>231307.017857143</v>
      </c>
      <c r="BK109" s="397" t="n">
        <f aca="false">SUM(N109:Y109)</f>
        <v>1507500.57857143</v>
      </c>
      <c r="BL109" s="397" t="n">
        <f aca="false">SUM(Z109:AK109)</f>
        <v>3969594</v>
      </c>
      <c r="BM109" s="397" t="n">
        <f aca="false">SUM(AL109:AW109)</f>
        <v>4300393.5</v>
      </c>
      <c r="BN109" s="397" t="n">
        <f aca="false">SUM(AX109:BI109)</f>
        <v>4631193</v>
      </c>
      <c r="BO109" s="325"/>
      <c r="BP109" s="389"/>
      <c r="BQ109" s="389"/>
      <c r="BR109" s="389"/>
      <c r="BS109" s="389"/>
      <c r="BT109" s="389"/>
      <c r="BU109" s="389"/>
      <c r="BV109" s="389"/>
      <c r="BW109" s="389"/>
      <c r="BX109" s="389"/>
      <c r="BY109" s="389"/>
      <c r="BZ109" s="389"/>
      <c r="CA109" s="389"/>
      <c r="CB109" s="389"/>
      <c r="CC109" s="389"/>
      <c r="CD109" s="389"/>
      <c r="CE109" s="389"/>
      <c r="CF109" s="389"/>
      <c r="CG109" s="389"/>
    </row>
    <row r="110" customFormat="false" ht="24.75" hidden="false" customHeight="true" outlineLevel="0" collapsed="false">
      <c r="A110" s="398" t="s">
        <v>1585</v>
      </c>
      <c r="B110" s="391"/>
      <c r="C110" s="391"/>
      <c r="D110" s="392" t="n">
        <v>32.1</v>
      </c>
      <c r="E110" s="391" t="n">
        <f aca="false">$D$92*E78</f>
        <v>3168.58928571428</v>
      </c>
      <c r="F110" s="391" t="n">
        <f aca="false">$D$92*F78</f>
        <v>6337.17857142859</v>
      </c>
      <c r="G110" s="391" t="n">
        <f aca="false">$D$92*G78</f>
        <v>12674.3571428571</v>
      </c>
      <c r="H110" s="391" t="n">
        <f aca="false">$D$92*H78</f>
        <v>19011.5357142857</v>
      </c>
      <c r="I110" s="391" t="n">
        <f aca="false">$D$92*I78</f>
        <v>25348.7142857143</v>
      </c>
      <c r="J110" s="391" t="n">
        <f aca="false">$D$92*J78</f>
        <v>31685.8928571428</v>
      </c>
      <c r="K110" s="391" t="n">
        <f aca="false">$D$92*K78</f>
        <v>38023.0714285714</v>
      </c>
      <c r="L110" s="391" t="n">
        <f aca="false">$D$92*L78</f>
        <v>44360.25</v>
      </c>
      <c r="M110" s="391" t="n">
        <f aca="false">$D$92*M78</f>
        <v>50697.4285714286</v>
      </c>
      <c r="N110" s="393" t="n">
        <f aca="false">$D$89*N78*1.1</f>
        <v>77974.167857143</v>
      </c>
      <c r="O110" s="393" t="n">
        <f aca="false">$D$89*O78*1.1</f>
        <v>86637.9642857145</v>
      </c>
      <c r="P110" s="393" t="n">
        <f aca="false">$D$89*P78*1.1</f>
        <v>95301.760714286</v>
      </c>
      <c r="Q110" s="393" t="n">
        <f aca="false">$D$89*Q78*1.1</f>
        <v>103965.557142857</v>
      </c>
      <c r="R110" s="393" t="n">
        <f aca="false">$D$89*R78*1.1</f>
        <v>112629.353571429</v>
      </c>
      <c r="S110" s="393" t="n">
        <f aca="false">$D$89*S78*1.1</f>
        <v>121293.15</v>
      </c>
      <c r="T110" s="393" t="n">
        <f aca="false">$D$89*T78*1.1</f>
        <v>129956.946428571</v>
      </c>
      <c r="U110" s="393" t="n">
        <f aca="false">$D$89*U78*1.1</f>
        <v>138620.742857143</v>
      </c>
      <c r="V110" s="393" t="n">
        <f aca="false">$D$89*V78*1.1</f>
        <v>147284.539285714</v>
      </c>
      <c r="W110" s="393" t="n">
        <f aca="false">$D$89*W78*1.1</f>
        <v>155948.335714286</v>
      </c>
      <c r="X110" s="393" t="n">
        <f aca="false">$D$89*X78*1.1</f>
        <v>164612.132142857</v>
      </c>
      <c r="Y110" s="393" t="n">
        <f aca="false">$D$89*Y78*1.1</f>
        <v>173275.928571429</v>
      </c>
      <c r="Z110" s="394" t="n">
        <f aca="false">$D$89*Z78*1.2</f>
        <v>330799.5</v>
      </c>
      <c r="AA110" s="394" t="n">
        <f aca="false">$D$89*AA78*1.2</f>
        <v>330799.5</v>
      </c>
      <c r="AB110" s="394" t="n">
        <f aca="false">$D$89*AB78*1.2</f>
        <v>330799.5</v>
      </c>
      <c r="AC110" s="394" t="n">
        <f aca="false">$D$89*AC78*1.2</f>
        <v>330799.5</v>
      </c>
      <c r="AD110" s="394" t="n">
        <f aca="false">$D$89*AD78*1.2</f>
        <v>330799.5</v>
      </c>
      <c r="AE110" s="394" t="n">
        <f aca="false">$D$89*AE78*1.2</f>
        <v>330799.5</v>
      </c>
      <c r="AF110" s="394" t="n">
        <f aca="false">$D$89*AF78*1.2</f>
        <v>330799.5</v>
      </c>
      <c r="AG110" s="394" t="n">
        <f aca="false">$D$89*AG78*1.2</f>
        <v>330799.5</v>
      </c>
      <c r="AH110" s="394" t="n">
        <f aca="false">$D$89*AH78*1.2</f>
        <v>330799.5</v>
      </c>
      <c r="AI110" s="394" t="n">
        <f aca="false">$D$89*AI78*1.2</f>
        <v>330799.5</v>
      </c>
      <c r="AJ110" s="394" t="n">
        <f aca="false">$D$89*AJ78*1.2</f>
        <v>330799.5</v>
      </c>
      <c r="AK110" s="394" t="n">
        <f aca="false">$D$89*AK78*1.2</f>
        <v>330799.5</v>
      </c>
      <c r="AL110" s="395" t="n">
        <f aca="false">$D$89*AL78*1.3</f>
        <v>358366.125</v>
      </c>
      <c r="AM110" s="395" t="n">
        <f aca="false">$D$89*AM78*1.3</f>
        <v>358366.125</v>
      </c>
      <c r="AN110" s="395" t="n">
        <f aca="false">$D$89*AN78*1.3</f>
        <v>358366.125</v>
      </c>
      <c r="AO110" s="395" t="n">
        <f aca="false">$D$89*AO78*1.3</f>
        <v>358366.125</v>
      </c>
      <c r="AP110" s="395" t="n">
        <f aca="false">$D$89*AP78*1.3</f>
        <v>358366.125</v>
      </c>
      <c r="AQ110" s="395" t="n">
        <f aca="false">$D$89*AQ78*1.3</f>
        <v>358366.125</v>
      </c>
      <c r="AR110" s="395" t="n">
        <f aca="false">$D$89*AR78*1.3</f>
        <v>358366.125</v>
      </c>
      <c r="AS110" s="395" t="n">
        <f aca="false">$D$89*AS78*1.3</f>
        <v>358366.125</v>
      </c>
      <c r="AT110" s="395" t="n">
        <f aca="false">$D$89*AT78*1.3</f>
        <v>358366.125</v>
      </c>
      <c r="AU110" s="395" t="n">
        <f aca="false">$D$89*AU78*1.3</f>
        <v>358366.125</v>
      </c>
      <c r="AV110" s="395" t="n">
        <f aca="false">$D$89*AV78*1.3</f>
        <v>358366.125</v>
      </c>
      <c r="AW110" s="395" t="n">
        <f aca="false">$D$89*AW78*1.3</f>
        <v>358366.125</v>
      </c>
      <c r="AX110" s="396" t="n">
        <f aca="false">$D$89*AX78*1.4</f>
        <v>385932.75</v>
      </c>
      <c r="AY110" s="396" t="n">
        <f aca="false">$D$89*AY78*1.4</f>
        <v>385932.75</v>
      </c>
      <c r="AZ110" s="396" t="n">
        <f aca="false">$D$89*AZ78*1.4</f>
        <v>385932.75</v>
      </c>
      <c r="BA110" s="396" t="n">
        <f aca="false">$D$89*BA78*1.4</f>
        <v>385932.75</v>
      </c>
      <c r="BB110" s="396" t="n">
        <f aca="false">$D$89*BB78*1.4</f>
        <v>385932.75</v>
      </c>
      <c r="BC110" s="396" t="n">
        <f aca="false">$D$89*BC78*1.4</f>
        <v>385932.75</v>
      </c>
      <c r="BD110" s="396" t="n">
        <f aca="false">$D$89*BD78*1.4</f>
        <v>385932.75</v>
      </c>
      <c r="BE110" s="396" t="n">
        <f aca="false">$D$89*BE78*1.4</f>
        <v>385932.75</v>
      </c>
      <c r="BF110" s="396" t="n">
        <f aca="false">$D$89*BF78*1.4</f>
        <v>385932.75</v>
      </c>
      <c r="BG110" s="396" t="n">
        <f aca="false">$D$89*BG78*1.4</f>
        <v>385932.75</v>
      </c>
      <c r="BH110" s="396" t="n">
        <f aca="false">$D$89*BH78*1.4</f>
        <v>385932.75</v>
      </c>
      <c r="BI110" s="396" t="n">
        <f aca="false">$D$89*BI78*1.4</f>
        <v>385932.75</v>
      </c>
      <c r="BJ110" s="397" t="n">
        <f aca="false">SUM(E110:M110)</f>
        <v>231307.017857143</v>
      </c>
      <c r="BK110" s="397" t="n">
        <f aca="false">SUM(N110:Y110)</f>
        <v>1507500.57857143</v>
      </c>
      <c r="BL110" s="397" t="n">
        <f aca="false">SUM(Z110:AK110)</f>
        <v>3969594</v>
      </c>
      <c r="BM110" s="397" t="n">
        <f aca="false">SUM(AL110:AW110)</f>
        <v>4300393.5</v>
      </c>
      <c r="BN110" s="397" t="n">
        <f aca="false">SUM(AX110:BI110)</f>
        <v>4631193</v>
      </c>
      <c r="BO110" s="325"/>
      <c r="BP110" s="389"/>
      <c r="BQ110" s="389"/>
      <c r="BR110" s="389"/>
      <c r="BS110" s="389"/>
      <c r="BT110" s="389"/>
      <c r="BU110" s="389"/>
      <c r="BV110" s="389"/>
      <c r="BW110" s="389"/>
      <c r="BX110" s="389"/>
      <c r="BY110" s="389"/>
      <c r="BZ110" s="389"/>
      <c r="CA110" s="389"/>
      <c r="CB110" s="389"/>
      <c r="CC110" s="389"/>
      <c r="CD110" s="389"/>
      <c r="CE110" s="389"/>
      <c r="CF110" s="389"/>
      <c r="CG110" s="389"/>
    </row>
    <row r="111" customFormat="false" ht="24.75" hidden="false" customHeight="true" outlineLevel="0" collapsed="false">
      <c r="A111" s="398" t="s">
        <v>1586</v>
      </c>
      <c r="B111" s="391"/>
      <c r="C111" s="391"/>
      <c r="D111" s="392" t="n">
        <v>28.74</v>
      </c>
      <c r="E111" s="391" t="n">
        <f aca="false">$D$92*E79</f>
        <v>2816.52380952381</v>
      </c>
      <c r="F111" s="391" t="n">
        <f aca="false">$D$92*F79</f>
        <v>5633.04761904762</v>
      </c>
      <c r="G111" s="391" t="n">
        <f aca="false">$D$92*G79</f>
        <v>11266.0952380952</v>
      </c>
      <c r="H111" s="391" t="n">
        <f aca="false">$D$92*H79</f>
        <v>16899.1428571429</v>
      </c>
      <c r="I111" s="391" t="n">
        <f aca="false">$D$92*I79</f>
        <v>22532.1904761905</v>
      </c>
      <c r="J111" s="391" t="n">
        <f aca="false">$D$92*J79</f>
        <v>28165.2380952381</v>
      </c>
      <c r="K111" s="391" t="n">
        <f aca="false">$D$92*K79</f>
        <v>33798.2857142859</v>
      </c>
      <c r="L111" s="391" t="n">
        <f aca="false">$D$92*L79</f>
        <v>39431.3333333334</v>
      </c>
      <c r="M111" s="391" t="n">
        <f aca="false">$D$92*M79</f>
        <v>45064.380952381</v>
      </c>
      <c r="N111" s="393" t="n">
        <f aca="false">$D$89*N79*1.1</f>
        <v>69310.3714285715</v>
      </c>
      <c r="O111" s="393" t="n">
        <f aca="false">$D$89*O79*1.1</f>
        <v>77011.5238095239</v>
      </c>
      <c r="P111" s="393" t="n">
        <f aca="false">$D$89*P79*1.1</f>
        <v>84712.6761904762</v>
      </c>
      <c r="Q111" s="393" t="n">
        <f aca="false">$D$89*Q79*1.1</f>
        <v>92413.8285714285</v>
      </c>
      <c r="R111" s="393" t="n">
        <f aca="false">$D$89*R79*1.1</f>
        <v>100114.980952381</v>
      </c>
      <c r="S111" s="393" t="n">
        <f aca="false">$D$89*S79*1.1</f>
        <v>107816.133333333</v>
      </c>
      <c r="T111" s="393" t="n">
        <f aca="false">$D$89*T79*1.1</f>
        <v>115517.285714286</v>
      </c>
      <c r="U111" s="393" t="n">
        <f aca="false">$D$89*U79*1.1</f>
        <v>123218.438095238</v>
      </c>
      <c r="V111" s="393" t="n">
        <f aca="false">$D$89*V79*1.1</f>
        <v>130919.590476191</v>
      </c>
      <c r="W111" s="393" t="n">
        <f aca="false">$D$89*W79*1.1</f>
        <v>138620.742857143</v>
      </c>
      <c r="X111" s="393" t="n">
        <f aca="false">$D$89*X79*1.1</f>
        <v>146321.895238095</v>
      </c>
      <c r="Y111" s="393" t="n">
        <f aca="false">$D$89*Y79*1.1</f>
        <v>154023.047619048</v>
      </c>
      <c r="Z111" s="394" t="n">
        <f aca="false">$D$89*Z79*1.2</f>
        <v>294044</v>
      </c>
      <c r="AA111" s="394" t="n">
        <f aca="false">$D$89*AA79*1.2</f>
        <v>294044</v>
      </c>
      <c r="AB111" s="394" t="n">
        <f aca="false">$D$89*AB79*1.2</f>
        <v>294044</v>
      </c>
      <c r="AC111" s="394" t="n">
        <f aca="false">$D$89*AC79*1.2</f>
        <v>294044</v>
      </c>
      <c r="AD111" s="394" t="n">
        <f aca="false">$D$89*AD79*1.2</f>
        <v>294044</v>
      </c>
      <c r="AE111" s="394" t="n">
        <f aca="false">$D$89*AE79*1.2</f>
        <v>294044</v>
      </c>
      <c r="AF111" s="394" t="n">
        <f aca="false">$D$89*AF79*1.2</f>
        <v>294044</v>
      </c>
      <c r="AG111" s="394" t="n">
        <f aca="false">$D$89*AG79*1.2</f>
        <v>294044</v>
      </c>
      <c r="AH111" s="394" t="n">
        <f aca="false">$D$89*AH79*1.2</f>
        <v>294044</v>
      </c>
      <c r="AI111" s="394" t="n">
        <f aca="false">$D$89*AI79*1.2</f>
        <v>294044</v>
      </c>
      <c r="AJ111" s="394" t="n">
        <f aca="false">$D$89*AJ79*1.2</f>
        <v>294044</v>
      </c>
      <c r="AK111" s="394" t="n">
        <f aca="false">$D$89*AK79*1.2</f>
        <v>294044</v>
      </c>
      <c r="AL111" s="395" t="n">
        <f aca="false">$D$89*AL79*1.3</f>
        <v>318547.666666667</v>
      </c>
      <c r="AM111" s="395" t="n">
        <f aca="false">$D$89*AM79*1.3</f>
        <v>318547.666666667</v>
      </c>
      <c r="AN111" s="395" t="n">
        <f aca="false">$D$89*AN79*1.3</f>
        <v>318547.666666667</v>
      </c>
      <c r="AO111" s="395" t="n">
        <f aca="false">$D$89*AO79*1.3</f>
        <v>318547.666666667</v>
      </c>
      <c r="AP111" s="395" t="n">
        <f aca="false">$D$89*AP79*1.3</f>
        <v>318547.666666667</v>
      </c>
      <c r="AQ111" s="395" t="n">
        <f aca="false">$D$89*AQ79*1.3</f>
        <v>318547.666666667</v>
      </c>
      <c r="AR111" s="395" t="n">
        <f aca="false">$D$89*AR79*1.3</f>
        <v>318547.666666667</v>
      </c>
      <c r="AS111" s="395" t="n">
        <f aca="false">$D$89*AS79*1.3</f>
        <v>318547.666666667</v>
      </c>
      <c r="AT111" s="395" t="n">
        <f aca="false">$D$89*AT79*1.3</f>
        <v>318547.666666667</v>
      </c>
      <c r="AU111" s="395" t="n">
        <f aca="false">$D$89*AU79*1.3</f>
        <v>318547.666666667</v>
      </c>
      <c r="AV111" s="395" t="n">
        <f aca="false">$D$89*AV79*1.3</f>
        <v>318547.666666667</v>
      </c>
      <c r="AW111" s="395" t="n">
        <f aca="false">$D$89*AW79*1.3</f>
        <v>318547.666666667</v>
      </c>
      <c r="AX111" s="396" t="n">
        <f aca="false">$D$89*AX79*1.4</f>
        <v>343051.333333333</v>
      </c>
      <c r="AY111" s="396" t="n">
        <f aca="false">$D$89*AY79*1.4</f>
        <v>343051.333333333</v>
      </c>
      <c r="AZ111" s="396" t="n">
        <f aca="false">$D$89*AZ79*1.4</f>
        <v>343051.333333333</v>
      </c>
      <c r="BA111" s="396" t="n">
        <f aca="false">$D$89*BA79*1.4</f>
        <v>343051.333333333</v>
      </c>
      <c r="BB111" s="396" t="n">
        <f aca="false">$D$89*BB79*1.4</f>
        <v>343051.333333333</v>
      </c>
      <c r="BC111" s="396" t="n">
        <f aca="false">$D$89*BC79*1.4</f>
        <v>343051.333333333</v>
      </c>
      <c r="BD111" s="396" t="n">
        <f aca="false">$D$89*BD79*1.4</f>
        <v>343051.333333333</v>
      </c>
      <c r="BE111" s="396" t="n">
        <f aca="false">$D$89*BE79*1.4</f>
        <v>343051.333333333</v>
      </c>
      <c r="BF111" s="396" t="n">
        <f aca="false">$D$89*BF79*1.4</f>
        <v>343051.333333333</v>
      </c>
      <c r="BG111" s="396" t="n">
        <f aca="false">$D$89*BG79*1.4</f>
        <v>343051.333333333</v>
      </c>
      <c r="BH111" s="396" t="n">
        <f aca="false">$D$89*BH79*1.4</f>
        <v>343051.333333333</v>
      </c>
      <c r="BI111" s="396" t="n">
        <f aca="false">$D$89*BI79*1.4</f>
        <v>343051.333333333</v>
      </c>
      <c r="BJ111" s="397" t="n">
        <f aca="false">SUM(E111:M111)</f>
        <v>205606.238095238</v>
      </c>
      <c r="BK111" s="397" t="n">
        <f aca="false">SUM(N111:Y111)</f>
        <v>1340000.51428571</v>
      </c>
      <c r="BL111" s="397" t="n">
        <f aca="false">SUM(Z111:AK111)</f>
        <v>3528528</v>
      </c>
      <c r="BM111" s="397" t="n">
        <f aca="false">SUM(AL111:AW111)</f>
        <v>3822572</v>
      </c>
      <c r="BN111" s="397" t="n">
        <f aca="false">SUM(AX111:BI111)</f>
        <v>4116616</v>
      </c>
      <c r="BO111" s="325"/>
      <c r="BP111" s="389"/>
      <c r="BQ111" s="389"/>
      <c r="BR111" s="389"/>
      <c r="BS111" s="389"/>
      <c r="BT111" s="389"/>
      <c r="BU111" s="389"/>
      <c r="BV111" s="389"/>
      <c r="BW111" s="389"/>
      <c r="BX111" s="389"/>
      <c r="BY111" s="389"/>
      <c r="BZ111" s="389"/>
      <c r="CA111" s="389"/>
      <c r="CB111" s="389"/>
      <c r="CC111" s="389"/>
      <c r="CD111" s="389"/>
      <c r="CE111" s="389"/>
      <c r="CF111" s="389"/>
      <c r="CG111" s="389"/>
    </row>
    <row r="112" customFormat="false" ht="24.75" hidden="false" customHeight="true" outlineLevel="0" collapsed="false">
      <c r="A112" s="398" t="s">
        <v>1587</v>
      </c>
      <c r="B112" s="391"/>
      <c r="C112" s="391"/>
      <c r="D112" s="392" t="n">
        <v>26.83</v>
      </c>
      <c r="E112" s="391" t="n">
        <f aca="false">$D$92*E80</f>
        <v>1760.32738095238</v>
      </c>
      <c r="F112" s="391" t="n">
        <f aca="false">$D$92*F80</f>
        <v>3520.65476190476</v>
      </c>
      <c r="G112" s="391" t="n">
        <f aca="false">$D$92*G80</f>
        <v>7041.30952380952</v>
      </c>
      <c r="H112" s="391" t="n">
        <f aca="false">$D$92*H80</f>
        <v>10561.9642857143</v>
      </c>
      <c r="I112" s="391" t="n">
        <f aca="false">$D$92*I80</f>
        <v>14082.619047619</v>
      </c>
      <c r="J112" s="391" t="n">
        <f aca="false">$D$92*J80</f>
        <v>17603.2738095238</v>
      </c>
      <c r="K112" s="391" t="n">
        <f aca="false">$D$92*K80</f>
        <v>21123.9285714286</v>
      </c>
      <c r="L112" s="391" t="n">
        <f aca="false">$D$92*L80</f>
        <v>24644.5833333333</v>
      </c>
      <c r="M112" s="391" t="n">
        <f aca="false">$D$92*M80</f>
        <v>28165.2380952381</v>
      </c>
      <c r="N112" s="393" t="n">
        <f aca="false">$D$89*N80*1.1</f>
        <v>43318.982142857</v>
      </c>
      <c r="O112" s="393" t="n">
        <f aca="false">$D$89*O80*1.1</f>
        <v>48132.2023809523</v>
      </c>
      <c r="P112" s="393" t="n">
        <f aca="false">$D$89*P80*1.1</f>
        <v>52945.4226190477</v>
      </c>
      <c r="Q112" s="393" t="n">
        <f aca="false">$D$89*Q80*1.1</f>
        <v>57758.642857143</v>
      </c>
      <c r="R112" s="393" t="n">
        <f aca="false">$D$89*R80*1.1</f>
        <v>62571.8630952383</v>
      </c>
      <c r="S112" s="393" t="n">
        <f aca="false">$D$89*S80*1.1</f>
        <v>67385.0833333332</v>
      </c>
      <c r="T112" s="393" t="n">
        <f aca="false">$D$89*T80*1.1</f>
        <v>72198.3035714285</v>
      </c>
      <c r="U112" s="393" t="n">
        <f aca="false">$D$89*U80*1.1</f>
        <v>77011.5238095239</v>
      </c>
      <c r="V112" s="393" t="n">
        <f aca="false">$D$89*V80*1.1</f>
        <v>81824.7440476191</v>
      </c>
      <c r="W112" s="393" t="n">
        <f aca="false">$D$89*W80*1.1</f>
        <v>86637.9642857145</v>
      </c>
      <c r="X112" s="393" t="n">
        <f aca="false">$D$89*X80*1.1</f>
        <v>91451.1845238094</v>
      </c>
      <c r="Y112" s="393" t="n">
        <f aca="false">$D$89*Y80*1.1</f>
        <v>96264.4047619047</v>
      </c>
      <c r="Z112" s="394" t="n">
        <f aca="false">$D$89*Z80*1.2</f>
        <v>183777.5</v>
      </c>
      <c r="AA112" s="394" t="n">
        <f aca="false">$D$89*AA80*1.2</f>
        <v>183777.5</v>
      </c>
      <c r="AB112" s="394" t="n">
        <f aca="false">$D$89*AB80*1.2</f>
        <v>183777.5</v>
      </c>
      <c r="AC112" s="394" t="n">
        <f aca="false">$D$89*AC80*1.2</f>
        <v>183777.5</v>
      </c>
      <c r="AD112" s="394" t="n">
        <f aca="false">$D$89*AD80*1.2</f>
        <v>183777.5</v>
      </c>
      <c r="AE112" s="394" t="n">
        <f aca="false">$D$89*AE80*1.2</f>
        <v>183777.5</v>
      </c>
      <c r="AF112" s="394" t="n">
        <f aca="false">$D$89*AF80*1.2</f>
        <v>183777.5</v>
      </c>
      <c r="AG112" s="394" t="n">
        <f aca="false">$D$89*AG80*1.2</f>
        <v>183777.5</v>
      </c>
      <c r="AH112" s="394" t="n">
        <f aca="false">$D$89*AH80*1.2</f>
        <v>183777.5</v>
      </c>
      <c r="AI112" s="394" t="n">
        <f aca="false">$D$89*AI80*1.2</f>
        <v>183777.5</v>
      </c>
      <c r="AJ112" s="394" t="n">
        <f aca="false">$D$89*AJ80*1.2</f>
        <v>183777.5</v>
      </c>
      <c r="AK112" s="394" t="n">
        <f aca="false">$D$89*AK80*1.2</f>
        <v>183777.5</v>
      </c>
      <c r="AL112" s="395" t="n">
        <f aca="false">$D$89*AL80*1.3</f>
        <v>199092.291666666</v>
      </c>
      <c r="AM112" s="395" t="n">
        <f aca="false">$D$89*AM80*1.3</f>
        <v>199092.291666666</v>
      </c>
      <c r="AN112" s="395" t="n">
        <f aca="false">$D$89*AN80*1.3</f>
        <v>199092.291666666</v>
      </c>
      <c r="AO112" s="395" t="n">
        <f aca="false">$D$89*AO80*1.3</f>
        <v>199092.291666666</v>
      </c>
      <c r="AP112" s="395" t="n">
        <f aca="false">$D$89*AP80*1.3</f>
        <v>199092.291666666</v>
      </c>
      <c r="AQ112" s="395" t="n">
        <f aca="false">$D$89*AQ80*1.3</f>
        <v>199092.291666666</v>
      </c>
      <c r="AR112" s="395" t="n">
        <f aca="false">$D$89*AR80*1.3</f>
        <v>199092.291666666</v>
      </c>
      <c r="AS112" s="395" t="n">
        <f aca="false">$D$89*AS80*1.3</f>
        <v>199092.291666666</v>
      </c>
      <c r="AT112" s="395" t="n">
        <f aca="false">$D$89*AT80*1.3</f>
        <v>199092.291666666</v>
      </c>
      <c r="AU112" s="395" t="n">
        <f aca="false">$D$89*AU80*1.3</f>
        <v>199092.291666666</v>
      </c>
      <c r="AV112" s="395" t="n">
        <f aca="false">$D$89*AV80*1.3</f>
        <v>199092.291666666</v>
      </c>
      <c r="AW112" s="395" t="n">
        <f aca="false">$D$89*AW80*1.3</f>
        <v>199092.291666666</v>
      </c>
      <c r="AX112" s="396" t="n">
        <f aca="false">$D$89*AX80*1.4</f>
        <v>214407.083333333</v>
      </c>
      <c r="AY112" s="396" t="n">
        <f aca="false">$D$89*AY80*1.4</f>
        <v>214407.083333333</v>
      </c>
      <c r="AZ112" s="396" t="n">
        <f aca="false">$D$89*AZ80*1.4</f>
        <v>214407.083333333</v>
      </c>
      <c r="BA112" s="396" t="n">
        <f aca="false">$D$89*BA80*1.4</f>
        <v>214407.083333333</v>
      </c>
      <c r="BB112" s="396" t="n">
        <f aca="false">$D$89*BB80*1.4</f>
        <v>214407.083333333</v>
      </c>
      <c r="BC112" s="396" t="n">
        <f aca="false">$D$89*BC80*1.4</f>
        <v>214407.083333333</v>
      </c>
      <c r="BD112" s="396" t="n">
        <f aca="false">$D$89*BD80*1.4</f>
        <v>214407.083333333</v>
      </c>
      <c r="BE112" s="396" t="n">
        <f aca="false">$D$89*BE80*1.4</f>
        <v>214407.083333333</v>
      </c>
      <c r="BF112" s="396" t="n">
        <f aca="false">$D$89*BF80*1.4</f>
        <v>214407.083333333</v>
      </c>
      <c r="BG112" s="396" t="n">
        <f aca="false">$D$89*BG80*1.4</f>
        <v>214407.083333333</v>
      </c>
      <c r="BH112" s="396" t="n">
        <f aca="false">$D$89*BH80*1.4</f>
        <v>214407.083333333</v>
      </c>
      <c r="BI112" s="396" t="n">
        <f aca="false">$D$89*BI80*1.4</f>
        <v>214407.083333333</v>
      </c>
      <c r="BJ112" s="397" t="n">
        <f aca="false">SUM(E112:M112)</f>
        <v>128503.898809524</v>
      </c>
      <c r="BK112" s="397" t="n">
        <f aca="false">SUM(N112:Y112)</f>
        <v>837500.321428572</v>
      </c>
      <c r="BL112" s="397" t="n">
        <f aca="false">SUM(Z112:AK112)</f>
        <v>2205330</v>
      </c>
      <c r="BM112" s="397" t="n">
        <f aca="false">SUM(AL112:AW112)</f>
        <v>2389107.5</v>
      </c>
      <c r="BN112" s="397" t="n">
        <f aca="false">SUM(AX112:BI112)</f>
        <v>2572885</v>
      </c>
      <c r="BO112" s="325"/>
      <c r="BP112" s="389"/>
      <c r="BQ112" s="389"/>
      <c r="BR112" s="389"/>
      <c r="BS112" s="389"/>
      <c r="BT112" s="389"/>
      <c r="BU112" s="389"/>
      <c r="BV112" s="389"/>
      <c r="BW112" s="389"/>
      <c r="BX112" s="389"/>
      <c r="BY112" s="389"/>
      <c r="BZ112" s="389"/>
      <c r="CA112" s="389"/>
      <c r="CB112" s="389"/>
      <c r="CC112" s="389"/>
      <c r="CD112" s="389"/>
      <c r="CE112" s="389"/>
      <c r="CF112" s="389"/>
      <c r="CG112" s="389"/>
    </row>
    <row r="113" customFormat="false" ht="24.75" hidden="false" customHeight="true" outlineLevel="0" collapsed="false">
      <c r="A113" s="398" t="s">
        <v>1588</v>
      </c>
      <c r="B113" s="391"/>
      <c r="C113" s="391"/>
      <c r="D113" s="392" t="n">
        <v>26.23</v>
      </c>
      <c r="E113" s="391" t="n">
        <f aca="false">$D$92*E81</f>
        <v>880.16369047619</v>
      </c>
      <c r="F113" s="391" t="n">
        <f aca="false">$D$92*F81</f>
        <v>1760.32738095238</v>
      </c>
      <c r="G113" s="391" t="n">
        <f aca="false">$D$92*G81</f>
        <v>3520.65476190476</v>
      </c>
      <c r="H113" s="391" t="n">
        <f aca="false">$D$92*H81</f>
        <v>5280.98214285714</v>
      </c>
      <c r="I113" s="391" t="n">
        <f aca="false">$D$92*I81</f>
        <v>7041.30952380952</v>
      </c>
      <c r="J113" s="391" t="n">
        <f aca="false">$D$92*J81</f>
        <v>8801.6369047619</v>
      </c>
      <c r="K113" s="391" t="n">
        <f aca="false">$D$92*K81</f>
        <v>10561.9642857143</v>
      </c>
      <c r="L113" s="391" t="n">
        <f aca="false">$D$92*L81</f>
        <v>12322.2916666667</v>
      </c>
      <c r="M113" s="391" t="n">
        <f aca="false">$D$92*M81</f>
        <v>14082.619047619</v>
      </c>
      <c r="N113" s="393" t="n">
        <f aca="false">$D$89*N81*1.1</f>
        <v>21659.4910714286</v>
      </c>
      <c r="O113" s="393" t="n">
        <f aca="false">$D$89*O81*1.1</f>
        <v>24066.1011904762</v>
      </c>
      <c r="P113" s="393" t="n">
        <f aca="false">$D$89*P81*1.1</f>
        <v>26472.7113095238</v>
      </c>
      <c r="Q113" s="393" t="n">
        <f aca="false">$D$89*Q81*1.1</f>
        <v>28879.3214285715</v>
      </c>
      <c r="R113" s="393" t="n">
        <f aca="false">$D$89*R81*1.1</f>
        <v>31285.9315476191</v>
      </c>
      <c r="S113" s="393" t="n">
        <f aca="false">$D$89*S81*1.1</f>
        <v>33692.5416666667</v>
      </c>
      <c r="T113" s="393" t="n">
        <f aca="false">$D$89*T81*1.1</f>
        <v>36099.1517857143</v>
      </c>
      <c r="U113" s="393" t="n">
        <f aca="false">$D$89*U81*1.1</f>
        <v>38505.7619047619</v>
      </c>
      <c r="V113" s="393" t="n">
        <f aca="false">$D$89*V81*1.1</f>
        <v>40912.3720238095</v>
      </c>
      <c r="W113" s="393" t="n">
        <f aca="false">$D$89*W81*1.1</f>
        <v>43318.982142857</v>
      </c>
      <c r="X113" s="393" t="n">
        <f aca="false">$D$89*X81*1.1</f>
        <v>45725.5922619047</v>
      </c>
      <c r="Y113" s="393" t="n">
        <f aca="false">$D$89*Y81*1.1</f>
        <v>48132.2023809523</v>
      </c>
      <c r="Z113" s="394" t="n">
        <f aca="false">$D$89*Z81*1.2</f>
        <v>91888.7500000002</v>
      </c>
      <c r="AA113" s="394" t="n">
        <f aca="false">$D$89*AA81*1.2</f>
        <v>91888.7500000002</v>
      </c>
      <c r="AB113" s="394" t="n">
        <f aca="false">$D$89*AB81*1.2</f>
        <v>91888.7500000002</v>
      </c>
      <c r="AC113" s="394" t="n">
        <f aca="false">$D$89*AC81*1.2</f>
        <v>91888.7500000002</v>
      </c>
      <c r="AD113" s="394" t="n">
        <f aca="false">$D$89*AD81*1.2</f>
        <v>91888.7500000002</v>
      </c>
      <c r="AE113" s="394" t="n">
        <f aca="false">$D$89*AE81*1.2</f>
        <v>91888.7500000002</v>
      </c>
      <c r="AF113" s="394" t="n">
        <f aca="false">$D$89*AF81*1.2</f>
        <v>91888.7500000002</v>
      </c>
      <c r="AG113" s="394" t="n">
        <f aca="false">$D$89*AG81*1.2</f>
        <v>91888.7500000002</v>
      </c>
      <c r="AH113" s="394" t="n">
        <f aca="false">$D$89*AH81*1.2</f>
        <v>91888.7500000002</v>
      </c>
      <c r="AI113" s="394" t="n">
        <f aca="false">$D$89*AI81*1.2</f>
        <v>91888.7500000002</v>
      </c>
      <c r="AJ113" s="394" t="n">
        <f aca="false">$D$89*AJ81*1.2</f>
        <v>91888.7500000002</v>
      </c>
      <c r="AK113" s="394" t="n">
        <f aca="false">$D$89*AK81*1.2</f>
        <v>91888.7500000002</v>
      </c>
      <c r="AL113" s="395" t="n">
        <f aca="false">$D$89*AL81*1.3</f>
        <v>99546.1458333335</v>
      </c>
      <c r="AM113" s="395" t="n">
        <f aca="false">$D$89*AM81*1.3</f>
        <v>99546.1458333335</v>
      </c>
      <c r="AN113" s="395" t="n">
        <f aca="false">$D$89*AN81*1.3</f>
        <v>99546.1458333335</v>
      </c>
      <c r="AO113" s="395" t="n">
        <f aca="false">$D$89*AO81*1.3</f>
        <v>99546.1458333335</v>
      </c>
      <c r="AP113" s="395" t="n">
        <f aca="false">$D$89*AP81*1.3</f>
        <v>99546.1458333335</v>
      </c>
      <c r="AQ113" s="395" t="n">
        <f aca="false">$D$89*AQ81*1.3</f>
        <v>99546.1458333335</v>
      </c>
      <c r="AR113" s="395" t="n">
        <f aca="false">$D$89*AR81*1.3</f>
        <v>99546.1458333335</v>
      </c>
      <c r="AS113" s="395" t="n">
        <f aca="false">$D$89*AS81*1.3</f>
        <v>99546.1458333335</v>
      </c>
      <c r="AT113" s="395" t="n">
        <f aca="false">$D$89*AT81*1.3</f>
        <v>99546.1458333335</v>
      </c>
      <c r="AU113" s="395" t="n">
        <f aca="false">$D$89*AU81*1.3</f>
        <v>99546.1458333335</v>
      </c>
      <c r="AV113" s="395" t="n">
        <f aca="false">$D$89*AV81*1.3</f>
        <v>99546.1458333335</v>
      </c>
      <c r="AW113" s="395" t="n">
        <f aca="false">$D$89*AW81*1.3</f>
        <v>99546.1458333335</v>
      </c>
      <c r="AX113" s="396" t="n">
        <f aca="false">$D$89*AX81*1.4</f>
        <v>107203.541666667</v>
      </c>
      <c r="AY113" s="396" t="n">
        <f aca="false">$D$89*AY81*1.4</f>
        <v>107203.541666667</v>
      </c>
      <c r="AZ113" s="396" t="n">
        <f aca="false">$D$89*AZ81*1.4</f>
        <v>107203.541666667</v>
      </c>
      <c r="BA113" s="396" t="n">
        <f aca="false">$D$89*BA81*1.4</f>
        <v>107203.541666667</v>
      </c>
      <c r="BB113" s="396" t="n">
        <f aca="false">$D$89*BB81*1.4</f>
        <v>107203.541666667</v>
      </c>
      <c r="BC113" s="396" t="n">
        <f aca="false">$D$89*BC81*1.4</f>
        <v>107203.541666667</v>
      </c>
      <c r="BD113" s="396" t="n">
        <f aca="false">$D$89*BD81*1.4</f>
        <v>107203.541666667</v>
      </c>
      <c r="BE113" s="396" t="n">
        <f aca="false">$D$89*BE81*1.4</f>
        <v>107203.541666667</v>
      </c>
      <c r="BF113" s="396" t="n">
        <f aca="false">$D$89*BF81*1.4</f>
        <v>107203.541666667</v>
      </c>
      <c r="BG113" s="396" t="n">
        <f aca="false">$D$89*BG81*1.4</f>
        <v>107203.541666667</v>
      </c>
      <c r="BH113" s="396" t="n">
        <f aca="false">$D$89*BH81*1.4</f>
        <v>107203.541666667</v>
      </c>
      <c r="BI113" s="396" t="n">
        <f aca="false">$D$89*BI81*1.4</f>
        <v>107203.541666667</v>
      </c>
      <c r="BJ113" s="397" t="n">
        <f aca="false">SUM(E113:M113)</f>
        <v>64251.9494047619</v>
      </c>
      <c r="BK113" s="397" t="n">
        <f aca="false">SUM(N113:Y113)</f>
        <v>418750.160714286</v>
      </c>
      <c r="BL113" s="397" t="n">
        <f aca="false">SUM(Z113:AK113)</f>
        <v>1102665</v>
      </c>
      <c r="BM113" s="397" t="n">
        <f aca="false">SUM(AL113:AW113)</f>
        <v>1194553.75</v>
      </c>
      <c r="BN113" s="397" t="n">
        <f aca="false">SUM(AX113:BI113)</f>
        <v>1286442.5</v>
      </c>
      <c r="BO113" s="325"/>
      <c r="BP113" s="389"/>
      <c r="BQ113" s="389"/>
      <c r="BR113" s="389"/>
      <c r="BS113" s="389"/>
      <c r="BT113" s="389"/>
      <c r="BU113" s="389"/>
      <c r="BV113" s="389"/>
      <c r="BW113" s="389"/>
      <c r="BX113" s="389"/>
      <c r="BY113" s="389"/>
      <c r="BZ113" s="389"/>
      <c r="CA113" s="389"/>
      <c r="CB113" s="389"/>
      <c r="CC113" s="389"/>
      <c r="CD113" s="389"/>
      <c r="CE113" s="389"/>
      <c r="CF113" s="389"/>
      <c r="CG113" s="389"/>
    </row>
    <row r="114" customFormat="false" ht="24.75" hidden="false" customHeight="true" outlineLevel="0" collapsed="false">
      <c r="A114" s="398" t="s">
        <v>1589</v>
      </c>
      <c r="B114" s="391"/>
      <c r="C114" s="391"/>
      <c r="D114" s="392" t="n">
        <v>26.29</v>
      </c>
      <c r="E114" s="391" t="n">
        <f aca="false">$D$92*E82</f>
        <v>528.098214285714</v>
      </c>
      <c r="F114" s="391" t="n">
        <f aca="false">$D$92*F82</f>
        <v>1056.19642857143</v>
      </c>
      <c r="G114" s="391" t="n">
        <f aca="false">$D$92*G82</f>
        <v>2112.39285714286</v>
      </c>
      <c r="H114" s="391" t="n">
        <f aca="false">$D$92*H82</f>
        <v>3168.58928571428</v>
      </c>
      <c r="I114" s="391" t="n">
        <f aca="false">$D$92*I82</f>
        <v>4224.78571428572</v>
      </c>
      <c r="J114" s="391" t="n">
        <f aca="false">$D$92*J82</f>
        <v>5280.98214285714</v>
      </c>
      <c r="K114" s="391" t="n">
        <f aca="false">$D$92*K82</f>
        <v>6337.17857142859</v>
      </c>
      <c r="L114" s="391" t="n">
        <f aca="false">$D$92*L82</f>
        <v>7393.375</v>
      </c>
      <c r="M114" s="391" t="n">
        <f aca="false">$D$92*M82</f>
        <v>8449.57142857142</v>
      </c>
      <c r="N114" s="393" t="n">
        <f aca="false">$D$89*N82*1.1</f>
        <v>12995.6946428572</v>
      </c>
      <c r="O114" s="393" t="n">
        <f aca="false">$D$89*O82*1.1</f>
        <v>14439.6607142857</v>
      </c>
      <c r="P114" s="393" t="n">
        <f aca="false">$D$89*P82*1.1</f>
        <v>15883.6267857143</v>
      </c>
      <c r="Q114" s="393" t="n">
        <f aca="false">$D$89*Q82*1.1</f>
        <v>17327.5928571429</v>
      </c>
      <c r="R114" s="393" t="n">
        <f aca="false">$D$89*R82*1.1</f>
        <v>18771.5589285715</v>
      </c>
      <c r="S114" s="393" t="n">
        <f aca="false">$D$89*S82*1.1</f>
        <v>20215.525</v>
      </c>
      <c r="T114" s="393" t="n">
        <f aca="false">$D$89*T82*1.1</f>
        <v>21659.4910714286</v>
      </c>
      <c r="U114" s="393" t="n">
        <f aca="false">$D$89*U82*1.1</f>
        <v>23103.4571428572</v>
      </c>
      <c r="V114" s="393" t="n">
        <f aca="false">$D$89*V82*1.1</f>
        <v>24547.4232142857</v>
      </c>
      <c r="W114" s="393" t="n">
        <f aca="false">$D$89*W82*1.1</f>
        <v>25991.3892857143</v>
      </c>
      <c r="X114" s="393" t="n">
        <f aca="false">$D$89*X82*1.1</f>
        <v>27435.3553571429</v>
      </c>
      <c r="Y114" s="393" t="n">
        <f aca="false">$D$89*Y82*1.1</f>
        <v>28879.3214285715</v>
      </c>
      <c r="Z114" s="394" t="n">
        <f aca="false">$D$89*Z82*1.2</f>
        <v>55133.25</v>
      </c>
      <c r="AA114" s="394" t="n">
        <f aca="false">$D$89*AA82*1.2</f>
        <v>55133.25</v>
      </c>
      <c r="AB114" s="394" t="n">
        <f aca="false">$D$89*AB82*1.2</f>
        <v>55133.25</v>
      </c>
      <c r="AC114" s="394" t="n">
        <f aca="false">$D$89*AC82*1.2</f>
        <v>55133.25</v>
      </c>
      <c r="AD114" s="394" t="n">
        <f aca="false">$D$89*AD82*1.2</f>
        <v>55133.25</v>
      </c>
      <c r="AE114" s="394" t="n">
        <f aca="false">$D$89*AE82*1.2</f>
        <v>55133.25</v>
      </c>
      <c r="AF114" s="394" t="n">
        <f aca="false">$D$89*AF82*1.2</f>
        <v>55133.25</v>
      </c>
      <c r="AG114" s="394" t="n">
        <f aca="false">$D$89*AG82*1.2</f>
        <v>55133.25</v>
      </c>
      <c r="AH114" s="394" t="n">
        <f aca="false">$D$89*AH82*1.2</f>
        <v>55133.25</v>
      </c>
      <c r="AI114" s="394" t="n">
        <f aca="false">$D$89*AI82*1.2</f>
        <v>55133.25</v>
      </c>
      <c r="AJ114" s="394" t="n">
        <f aca="false">$D$89*AJ82*1.2</f>
        <v>55133.25</v>
      </c>
      <c r="AK114" s="394" t="n">
        <f aca="false">$D$89*AK82*1.2</f>
        <v>55133.25</v>
      </c>
      <c r="AL114" s="395" t="n">
        <f aca="false">$D$89*AL82*1.3</f>
        <v>59727.6875</v>
      </c>
      <c r="AM114" s="395" t="n">
        <f aca="false">$D$89*AM82*1.3</f>
        <v>59727.6875</v>
      </c>
      <c r="AN114" s="395" t="n">
        <f aca="false">$D$89*AN82*1.3</f>
        <v>59727.6875</v>
      </c>
      <c r="AO114" s="395" t="n">
        <f aca="false">$D$89*AO82*1.3</f>
        <v>59727.6875</v>
      </c>
      <c r="AP114" s="395" t="n">
        <f aca="false">$D$89*AP82*1.3</f>
        <v>59727.6875</v>
      </c>
      <c r="AQ114" s="395" t="n">
        <f aca="false">$D$89*AQ82*1.3</f>
        <v>59727.6875</v>
      </c>
      <c r="AR114" s="395" t="n">
        <f aca="false">$D$89*AR82*1.3</f>
        <v>59727.6875</v>
      </c>
      <c r="AS114" s="395" t="n">
        <f aca="false">$D$89*AS82*1.3</f>
        <v>59727.6875</v>
      </c>
      <c r="AT114" s="395" t="n">
        <f aca="false">$D$89*AT82*1.3</f>
        <v>59727.6875</v>
      </c>
      <c r="AU114" s="395" t="n">
        <f aca="false">$D$89*AU82*1.3</f>
        <v>59727.6875</v>
      </c>
      <c r="AV114" s="395" t="n">
        <f aca="false">$D$89*AV82*1.3</f>
        <v>59727.6875</v>
      </c>
      <c r="AW114" s="395" t="n">
        <f aca="false">$D$89*AW82*1.3</f>
        <v>59727.6875</v>
      </c>
      <c r="AX114" s="396" t="n">
        <f aca="false">$D$89*AX82*1.4</f>
        <v>64322.125</v>
      </c>
      <c r="AY114" s="396" t="n">
        <f aca="false">$D$89*AY82*1.4</f>
        <v>64322.125</v>
      </c>
      <c r="AZ114" s="396" t="n">
        <f aca="false">$D$89*AZ82*1.4</f>
        <v>64322.125</v>
      </c>
      <c r="BA114" s="396" t="n">
        <f aca="false">$D$89*BA82*1.4</f>
        <v>64322.125</v>
      </c>
      <c r="BB114" s="396" t="n">
        <f aca="false">$D$89*BB82*1.4</f>
        <v>64322.125</v>
      </c>
      <c r="BC114" s="396" t="n">
        <f aca="false">$D$89*BC82*1.4</f>
        <v>64322.125</v>
      </c>
      <c r="BD114" s="396" t="n">
        <f aca="false">$D$89*BD82*1.4</f>
        <v>64322.125</v>
      </c>
      <c r="BE114" s="396" t="n">
        <f aca="false">$D$89*BE82*1.4</f>
        <v>64322.125</v>
      </c>
      <c r="BF114" s="396" t="n">
        <f aca="false">$D$89*BF82*1.4</f>
        <v>64322.125</v>
      </c>
      <c r="BG114" s="396" t="n">
        <f aca="false">$D$89*BG82*1.4</f>
        <v>64322.125</v>
      </c>
      <c r="BH114" s="396" t="n">
        <f aca="false">$D$89*BH82*1.4</f>
        <v>64322.125</v>
      </c>
      <c r="BI114" s="396" t="n">
        <f aca="false">$D$89*BI82*1.4</f>
        <v>64322.125</v>
      </c>
      <c r="BJ114" s="397" t="n">
        <f aca="false">SUM(E114:M114)</f>
        <v>38551.1696428571</v>
      </c>
      <c r="BK114" s="397" t="n">
        <f aca="false">SUM(N114:Y114)</f>
        <v>251250.096428571</v>
      </c>
      <c r="BL114" s="397" t="n">
        <f aca="false">SUM(Z114:AK114)</f>
        <v>661599</v>
      </c>
      <c r="BM114" s="397" t="n">
        <f aca="false">SUM(AL114:AW114)</f>
        <v>716732.25</v>
      </c>
      <c r="BN114" s="397" t="n">
        <f aca="false">SUM(AX114:BI114)</f>
        <v>771865.5</v>
      </c>
      <c r="BO114" s="325"/>
      <c r="BP114" s="389"/>
      <c r="BQ114" s="389"/>
      <c r="BR114" s="389"/>
      <c r="BS114" s="389"/>
      <c r="BT114" s="389"/>
      <c r="BU114" s="389"/>
      <c r="BV114" s="389"/>
      <c r="BW114" s="389"/>
      <c r="BX114" s="389"/>
      <c r="BY114" s="389"/>
      <c r="BZ114" s="389"/>
      <c r="CA114" s="389"/>
      <c r="CB114" s="389"/>
      <c r="CC114" s="389"/>
      <c r="CD114" s="389"/>
      <c r="CE114" s="389"/>
      <c r="CF114" s="389"/>
      <c r="CG114" s="389"/>
    </row>
    <row r="115" customFormat="false" ht="24.75" hidden="false" customHeight="true" outlineLevel="0" collapsed="false">
      <c r="A115" s="398" t="s">
        <v>1590</v>
      </c>
      <c r="B115" s="391"/>
      <c r="C115" s="391"/>
      <c r="D115" s="392" t="n">
        <v>26.63</v>
      </c>
      <c r="E115" s="391" t="n">
        <f aca="false">$D$92*E83</f>
        <v>176.032738095238</v>
      </c>
      <c r="F115" s="391" t="n">
        <f aca="false">$D$92*F83</f>
        <v>352.065476190476</v>
      </c>
      <c r="G115" s="391" t="n">
        <f aca="false">$D$92*G83</f>
        <v>704.130952380952</v>
      </c>
      <c r="H115" s="391" t="n">
        <f aca="false">$D$92*H83</f>
        <v>1056.19642857143</v>
      </c>
      <c r="I115" s="391" t="n">
        <f aca="false">$D$92*I83</f>
        <v>1408.2619047619</v>
      </c>
      <c r="J115" s="391" t="n">
        <f aca="false">$D$92*J83</f>
        <v>1760.32738095238</v>
      </c>
      <c r="K115" s="391" t="n">
        <f aca="false">$D$92*K83</f>
        <v>2112.39285714286</v>
      </c>
      <c r="L115" s="391" t="n">
        <f aca="false">$D$92*L83</f>
        <v>2464.45833333333</v>
      </c>
      <c r="M115" s="391" t="n">
        <f aca="false">$D$92*M83</f>
        <v>2816.52380952381</v>
      </c>
      <c r="N115" s="393" t="n">
        <f aca="false">$D$89*N83*1.1</f>
        <v>4331.8982142857</v>
      </c>
      <c r="O115" s="393" t="n">
        <f aca="false">$D$89*O83*1.1</f>
        <v>4813.22023809523</v>
      </c>
      <c r="P115" s="393" t="n">
        <f aca="false">$D$89*P83*1.1</f>
        <v>5294.54226190477</v>
      </c>
      <c r="Q115" s="393" t="n">
        <f aca="false">$D$89*Q83*1.1</f>
        <v>5775.8642857143</v>
      </c>
      <c r="R115" s="393" t="n">
        <f aca="false">$D$89*R83*1.1</f>
        <v>6257.18630952383</v>
      </c>
      <c r="S115" s="393" t="n">
        <f aca="false">$D$89*S83*1.1</f>
        <v>6738.50833333332</v>
      </c>
      <c r="T115" s="393" t="n">
        <f aca="false">$D$89*T83*1.1</f>
        <v>7219.83035714285</v>
      </c>
      <c r="U115" s="393" t="n">
        <f aca="false">$D$89*U83*1.1</f>
        <v>7701.15238095238</v>
      </c>
      <c r="V115" s="393" t="n">
        <f aca="false">$D$89*V83*1.1</f>
        <v>8182.47440476191</v>
      </c>
      <c r="W115" s="393" t="n">
        <f aca="false">$D$89*W83*1.1</f>
        <v>8663.79642857145</v>
      </c>
      <c r="X115" s="393" t="n">
        <f aca="false">$D$89*X83*1.1</f>
        <v>9145.11845238094</v>
      </c>
      <c r="Y115" s="393" t="n">
        <f aca="false">$D$89*Y83*1.1</f>
        <v>9626.44047619047</v>
      </c>
      <c r="Z115" s="394" t="n">
        <f aca="false">$D$89*Z83*1.2</f>
        <v>18377.75</v>
      </c>
      <c r="AA115" s="394" t="n">
        <f aca="false">$D$89*AA83*1.2</f>
        <v>18377.75</v>
      </c>
      <c r="AB115" s="394" t="n">
        <f aca="false">$D$89*AB83*1.2</f>
        <v>18377.75</v>
      </c>
      <c r="AC115" s="394" t="n">
        <f aca="false">$D$89*AC83*1.2</f>
        <v>18377.75</v>
      </c>
      <c r="AD115" s="394" t="n">
        <f aca="false">$D$89*AD83*1.2</f>
        <v>18377.75</v>
      </c>
      <c r="AE115" s="394" t="n">
        <f aca="false">$D$89*AE83*1.2</f>
        <v>18377.75</v>
      </c>
      <c r="AF115" s="394" t="n">
        <f aca="false">$D$89*AF83*1.2</f>
        <v>18377.75</v>
      </c>
      <c r="AG115" s="394" t="n">
        <f aca="false">$D$89*AG83*1.2</f>
        <v>18377.75</v>
      </c>
      <c r="AH115" s="394" t="n">
        <f aca="false">$D$89*AH83*1.2</f>
        <v>18377.75</v>
      </c>
      <c r="AI115" s="394" t="n">
        <f aca="false">$D$89*AI83*1.2</f>
        <v>18377.75</v>
      </c>
      <c r="AJ115" s="394" t="n">
        <f aca="false">$D$89*AJ83*1.2</f>
        <v>18377.75</v>
      </c>
      <c r="AK115" s="394" t="n">
        <f aca="false">$D$89*AK83*1.2</f>
        <v>18377.75</v>
      </c>
      <c r="AL115" s="395" t="n">
        <f aca="false">$D$89*AL83*1.3</f>
        <v>19909.2291666666</v>
      </c>
      <c r="AM115" s="395" t="n">
        <f aca="false">$D$89*AM83*1.3</f>
        <v>19909.2291666666</v>
      </c>
      <c r="AN115" s="395" t="n">
        <f aca="false">$D$89*AN83*1.3</f>
        <v>19909.2291666666</v>
      </c>
      <c r="AO115" s="395" t="n">
        <f aca="false">$D$89*AO83*1.3</f>
        <v>19909.2291666666</v>
      </c>
      <c r="AP115" s="395" t="n">
        <f aca="false">$D$89*AP83*1.3</f>
        <v>19909.2291666666</v>
      </c>
      <c r="AQ115" s="395" t="n">
        <f aca="false">$D$89*AQ83*1.3</f>
        <v>19909.2291666666</v>
      </c>
      <c r="AR115" s="395" t="n">
        <f aca="false">$D$89*AR83*1.3</f>
        <v>19909.2291666666</v>
      </c>
      <c r="AS115" s="395" t="n">
        <f aca="false">$D$89*AS83*1.3</f>
        <v>19909.2291666666</v>
      </c>
      <c r="AT115" s="395" t="n">
        <f aca="false">$D$89*AT83*1.3</f>
        <v>19909.2291666666</v>
      </c>
      <c r="AU115" s="395" t="n">
        <f aca="false">$D$89*AU83*1.3</f>
        <v>19909.2291666666</v>
      </c>
      <c r="AV115" s="395" t="n">
        <f aca="false">$D$89*AV83*1.3</f>
        <v>19909.2291666666</v>
      </c>
      <c r="AW115" s="395" t="n">
        <f aca="false">$D$89*AW83*1.3</f>
        <v>19909.2291666666</v>
      </c>
      <c r="AX115" s="396" t="n">
        <f aca="false">$D$89*AX83*1.4</f>
        <v>21440.7083333333</v>
      </c>
      <c r="AY115" s="396" t="n">
        <f aca="false">$D$89*AY83*1.4</f>
        <v>21440.7083333333</v>
      </c>
      <c r="AZ115" s="396" t="n">
        <f aca="false">$D$89*AZ83*1.4</f>
        <v>21440.7083333333</v>
      </c>
      <c r="BA115" s="396" t="n">
        <f aca="false">$D$89*BA83*1.4</f>
        <v>21440.7083333333</v>
      </c>
      <c r="BB115" s="396" t="n">
        <f aca="false">$D$89*BB83*1.4</f>
        <v>21440.7083333333</v>
      </c>
      <c r="BC115" s="396" t="n">
        <f aca="false">$D$89*BC83*1.4</f>
        <v>21440.7083333333</v>
      </c>
      <c r="BD115" s="396" t="n">
        <f aca="false">$D$89*BD83*1.4</f>
        <v>21440.7083333333</v>
      </c>
      <c r="BE115" s="396" t="n">
        <f aca="false">$D$89*BE83*1.4</f>
        <v>21440.7083333333</v>
      </c>
      <c r="BF115" s="396" t="n">
        <f aca="false">$D$89*BF83*1.4</f>
        <v>21440.7083333333</v>
      </c>
      <c r="BG115" s="396" t="n">
        <f aca="false">$D$89*BG83*1.4</f>
        <v>21440.7083333333</v>
      </c>
      <c r="BH115" s="396" t="n">
        <f aca="false">$D$89*BH83*1.4</f>
        <v>21440.7083333333</v>
      </c>
      <c r="BI115" s="396" t="n">
        <f aca="false">$D$89*BI83*1.4</f>
        <v>21440.7083333333</v>
      </c>
      <c r="BJ115" s="397" t="n">
        <f aca="false">SUM(E115:M115)</f>
        <v>12850.3898809524</v>
      </c>
      <c r="BK115" s="397" t="n">
        <f aca="false">SUM(N115:Y115)</f>
        <v>83750.0321428572</v>
      </c>
      <c r="BL115" s="397" t="n">
        <f aca="false">SUM(Z115:AK115)</f>
        <v>220533</v>
      </c>
      <c r="BM115" s="397" t="n">
        <f aca="false">SUM(AL115:AW115)</f>
        <v>238910.75</v>
      </c>
      <c r="BN115" s="397" t="n">
        <f aca="false">SUM(AX115:BI115)</f>
        <v>257288.5</v>
      </c>
      <c r="BO115" s="325"/>
      <c r="BP115" s="389"/>
      <c r="BQ115" s="389"/>
      <c r="BR115" s="389"/>
      <c r="BS115" s="389"/>
      <c r="BT115" s="389"/>
      <c r="BU115" s="389"/>
      <c r="BV115" s="389"/>
      <c r="BW115" s="389"/>
      <c r="BX115" s="389"/>
      <c r="BY115" s="389"/>
      <c r="BZ115" s="389"/>
      <c r="CA115" s="389"/>
      <c r="CB115" s="389"/>
      <c r="CC115" s="389"/>
      <c r="CD115" s="389"/>
      <c r="CE115" s="389"/>
      <c r="CF115" s="389"/>
      <c r="CG115" s="389"/>
    </row>
    <row r="116" customFormat="false" ht="24.75" hidden="false" customHeight="true" outlineLevel="0" collapsed="false">
      <c r="A116" s="398" t="s">
        <v>1591</v>
      </c>
      <c r="B116" s="391"/>
      <c r="C116" s="391"/>
      <c r="D116" s="392" t="n">
        <v>26.97</v>
      </c>
      <c r="E116" s="391" t="n">
        <f aca="false">$D$92*E84</f>
        <v>132.043083333333</v>
      </c>
      <c r="F116" s="391" t="n">
        <f aca="false">$D$92*F84</f>
        <v>264.086166666667</v>
      </c>
      <c r="G116" s="391" t="n">
        <f aca="false">$D$92*G84</f>
        <v>528.172333333334</v>
      </c>
      <c r="H116" s="391" t="n">
        <f aca="false">$D$92*H84</f>
        <v>792.2585</v>
      </c>
      <c r="I116" s="391" t="n">
        <f aca="false">$D$92*I84</f>
        <v>1056.34466666667</v>
      </c>
      <c r="J116" s="391" t="n">
        <f aca="false">$D$92*J84</f>
        <v>1320.43083333333</v>
      </c>
      <c r="K116" s="391" t="n">
        <f aca="false">$D$92*K84</f>
        <v>1584.517</v>
      </c>
      <c r="L116" s="391" t="n">
        <f aca="false">$D$92*L84</f>
        <v>1848.60316666667</v>
      </c>
      <c r="M116" s="391" t="n">
        <f aca="false">$D$92*M84</f>
        <v>2112.68933333333</v>
      </c>
      <c r="N116" s="393" t="n">
        <f aca="false">$D$89*N84*1.1</f>
        <v>3249.37965</v>
      </c>
      <c r="O116" s="393" t="n">
        <f aca="false">$D$89*O84*1.1</f>
        <v>3610.42183333333</v>
      </c>
      <c r="P116" s="393" t="n">
        <f aca="false">$D$89*P84*1.1</f>
        <v>3971.46401666667</v>
      </c>
      <c r="Q116" s="393" t="n">
        <f aca="false">$D$89*Q84*1.1</f>
        <v>4332.5062</v>
      </c>
      <c r="R116" s="393" t="n">
        <f aca="false">$D$89*R84*1.1</f>
        <v>4693.54838333332</v>
      </c>
      <c r="S116" s="393" t="n">
        <f aca="false">$D$89*S84*1.1</f>
        <v>5054.59056666668</v>
      </c>
      <c r="T116" s="393" t="n">
        <f aca="false">$D$89*T84*1.1</f>
        <v>5415.63275</v>
      </c>
      <c r="U116" s="393" t="n">
        <f aca="false">$D$89*U84*1.1</f>
        <v>5776.67493333332</v>
      </c>
      <c r="V116" s="393" t="n">
        <f aca="false">$D$89*V84*1.1</f>
        <v>6137.71711666668</v>
      </c>
      <c r="W116" s="393" t="n">
        <f aca="false">$D$89*W84*1.1</f>
        <v>6498.7593</v>
      </c>
      <c r="X116" s="393" t="n">
        <f aca="false">$D$89*X84*1.1</f>
        <v>6859.80148333332</v>
      </c>
      <c r="Y116" s="393" t="n">
        <f aca="false">$D$89*Y84*1.1</f>
        <v>7220.84366666668</v>
      </c>
      <c r="Z116" s="394" t="n">
        <f aca="false">$D$89*Z84*1.2</f>
        <v>13785.247</v>
      </c>
      <c r="AA116" s="394" t="n">
        <f aca="false">$D$89*AA84*1.2</f>
        <v>13785.247</v>
      </c>
      <c r="AB116" s="394" t="n">
        <f aca="false">$D$89*AB84*1.2</f>
        <v>13785.247</v>
      </c>
      <c r="AC116" s="394" t="n">
        <f aca="false">$D$89*AC84*1.2</f>
        <v>13785.247</v>
      </c>
      <c r="AD116" s="394" t="n">
        <f aca="false">$D$89*AD84*1.2</f>
        <v>13785.247</v>
      </c>
      <c r="AE116" s="394" t="n">
        <f aca="false">$D$89*AE84*1.2</f>
        <v>13785.247</v>
      </c>
      <c r="AF116" s="394" t="n">
        <f aca="false">$D$89*AF84*1.2</f>
        <v>13785.247</v>
      </c>
      <c r="AG116" s="394" t="n">
        <f aca="false">$D$89*AG84*1.2</f>
        <v>13785.247</v>
      </c>
      <c r="AH116" s="394" t="n">
        <f aca="false">$D$89*AH84*1.2</f>
        <v>13785.247</v>
      </c>
      <c r="AI116" s="394" t="n">
        <f aca="false">$D$89*AI84*1.2</f>
        <v>13785.247</v>
      </c>
      <c r="AJ116" s="394" t="n">
        <f aca="false">$D$89*AJ84*1.2</f>
        <v>13785.247</v>
      </c>
      <c r="AK116" s="394" t="n">
        <f aca="false">$D$89*AK84*1.2</f>
        <v>13785.247</v>
      </c>
      <c r="AL116" s="395" t="n">
        <f aca="false">$D$89*AL84*1.3</f>
        <v>14934.0175833334</v>
      </c>
      <c r="AM116" s="395" t="n">
        <f aca="false">$D$89*AM84*1.3</f>
        <v>14934.0175833334</v>
      </c>
      <c r="AN116" s="395" t="n">
        <f aca="false">$D$89*AN84*1.3</f>
        <v>14934.0175833334</v>
      </c>
      <c r="AO116" s="395" t="n">
        <f aca="false">$D$89*AO84*1.3</f>
        <v>14934.0175833334</v>
      </c>
      <c r="AP116" s="395" t="n">
        <f aca="false">$D$89*AP84*1.3</f>
        <v>14934.0175833334</v>
      </c>
      <c r="AQ116" s="395" t="n">
        <f aca="false">$D$89*AQ84*1.3</f>
        <v>14934.0175833334</v>
      </c>
      <c r="AR116" s="395" t="n">
        <f aca="false">$D$89*AR84*1.3</f>
        <v>14934.0175833334</v>
      </c>
      <c r="AS116" s="395" t="n">
        <f aca="false">$D$89*AS84*1.3</f>
        <v>14934.0175833334</v>
      </c>
      <c r="AT116" s="395" t="n">
        <f aca="false">$D$89*AT84*1.3</f>
        <v>14934.0175833334</v>
      </c>
      <c r="AU116" s="395" t="n">
        <f aca="false">$D$89*AU84*1.3</f>
        <v>14934.0175833334</v>
      </c>
      <c r="AV116" s="395" t="n">
        <f aca="false">$D$89*AV84*1.3</f>
        <v>14934.0175833334</v>
      </c>
      <c r="AW116" s="395" t="n">
        <f aca="false">$D$89*AW84*1.3</f>
        <v>14934.0175833334</v>
      </c>
      <c r="AX116" s="396" t="n">
        <f aca="false">$D$89*AX84*1.4</f>
        <v>16082.7881666667</v>
      </c>
      <c r="AY116" s="396" t="n">
        <f aca="false">$D$89*AY84*1.4</f>
        <v>16082.7881666667</v>
      </c>
      <c r="AZ116" s="396" t="n">
        <f aca="false">$D$89*AZ84*1.4</f>
        <v>16082.7881666667</v>
      </c>
      <c r="BA116" s="396" t="n">
        <f aca="false">$D$89*BA84*1.4</f>
        <v>16082.7881666667</v>
      </c>
      <c r="BB116" s="396" t="n">
        <f aca="false">$D$89*BB84*1.4</f>
        <v>16082.7881666667</v>
      </c>
      <c r="BC116" s="396" t="n">
        <f aca="false">$D$89*BC84*1.4</f>
        <v>16082.7881666667</v>
      </c>
      <c r="BD116" s="396" t="n">
        <f aca="false">$D$89*BD84*1.4</f>
        <v>16082.7881666667</v>
      </c>
      <c r="BE116" s="396" t="n">
        <f aca="false">$D$89*BE84*1.4</f>
        <v>16082.7881666667</v>
      </c>
      <c r="BF116" s="396" t="n">
        <f aca="false">$D$89*BF84*1.4</f>
        <v>16082.7881666667</v>
      </c>
      <c r="BG116" s="396" t="n">
        <f aca="false">$D$89*BG84*1.4</f>
        <v>16082.7881666667</v>
      </c>
      <c r="BH116" s="396" t="n">
        <f aca="false">$D$89*BH84*1.4</f>
        <v>16082.7881666667</v>
      </c>
      <c r="BI116" s="396" t="n">
        <f aca="false">$D$89*BI84*1.4</f>
        <v>16082.7881666667</v>
      </c>
      <c r="BJ116" s="397" t="n">
        <f aca="false">SUM(E116:M116)</f>
        <v>9639.14508333333</v>
      </c>
      <c r="BK116" s="397" t="n">
        <f aca="false">SUM(N116:Y116)</f>
        <v>62821.3399</v>
      </c>
      <c r="BL116" s="397" t="n">
        <f aca="false">SUM(Z116:AK116)</f>
        <v>165422.964</v>
      </c>
      <c r="BM116" s="397" t="n">
        <f aca="false">SUM(AL116:AW116)</f>
        <v>179208.211</v>
      </c>
      <c r="BN116" s="397" t="n">
        <f aca="false">SUM(AX116:BI116)</f>
        <v>192993.458</v>
      </c>
      <c r="BO116" s="325"/>
      <c r="BP116" s="389"/>
      <c r="BQ116" s="389"/>
      <c r="BR116" s="389"/>
      <c r="BS116" s="389"/>
      <c r="BT116" s="389"/>
      <c r="BU116" s="389"/>
      <c r="BV116" s="389"/>
      <c r="BW116" s="389"/>
      <c r="BX116" s="389"/>
      <c r="BY116" s="389"/>
      <c r="BZ116" s="389"/>
      <c r="CA116" s="389"/>
      <c r="CB116" s="389"/>
      <c r="CC116" s="389"/>
      <c r="CD116" s="389"/>
      <c r="CE116" s="389"/>
      <c r="CF116" s="389"/>
      <c r="CG116" s="389"/>
    </row>
    <row r="117" customFormat="false" ht="24.75" hidden="false" customHeight="true" outlineLevel="0" collapsed="false">
      <c r="A117" s="400" t="s">
        <v>1592</v>
      </c>
      <c r="B117" s="401"/>
      <c r="C117" s="401"/>
      <c r="D117" s="402" t="n">
        <v>27.31</v>
      </c>
      <c r="E117" s="401" t="n">
        <f aca="false">$D$92*E85</f>
        <v>44.0267142857142</v>
      </c>
      <c r="F117" s="401" t="n">
        <f aca="false">$D$92*F85</f>
        <v>88.0534285714286</v>
      </c>
      <c r="G117" s="401" t="n">
        <f aca="false">$D$92*G85</f>
        <v>176.106857142857</v>
      </c>
      <c r="H117" s="401" t="n">
        <f aca="false">$D$92*H85</f>
        <v>264.160285714286</v>
      </c>
      <c r="I117" s="401" t="n">
        <f aca="false">$D$92*I85</f>
        <v>352.213714285714</v>
      </c>
      <c r="J117" s="401" t="n">
        <f aca="false">$D$92*J85</f>
        <v>440.267142857142</v>
      </c>
      <c r="K117" s="401" t="n">
        <f aca="false">$D$92*K85</f>
        <v>528.320571428572</v>
      </c>
      <c r="L117" s="401" t="n">
        <f aca="false">$D$92*L85</f>
        <v>616.374</v>
      </c>
      <c r="M117" s="401" t="n">
        <f aca="false">$D$92*M85</f>
        <v>704.427428571428</v>
      </c>
      <c r="N117" s="403" t="n">
        <f aca="false">$D$89*N85*1.1</f>
        <v>1083.43054285714</v>
      </c>
      <c r="O117" s="403" t="n">
        <f aca="false">$D$89*O85*1.1</f>
        <v>1203.81171428571</v>
      </c>
      <c r="P117" s="403" t="n">
        <f aca="false">$D$89*P85*1.1</f>
        <v>1324.19288571429</v>
      </c>
      <c r="Q117" s="403" t="n">
        <f aca="false">$D$89*Q85*1.1</f>
        <v>1444.57405714286</v>
      </c>
      <c r="R117" s="403" t="n">
        <f aca="false">$D$89*R85*1.1</f>
        <v>1564.95522857143</v>
      </c>
      <c r="S117" s="403" t="n">
        <f aca="false">$D$89*S85*1.1</f>
        <v>1685.3364</v>
      </c>
      <c r="T117" s="403" t="n">
        <f aca="false">$D$89*T85*1.1</f>
        <v>1805.71757142857</v>
      </c>
      <c r="U117" s="403" t="n">
        <f aca="false">$D$89*U85*1.1</f>
        <v>1926.09874285714</v>
      </c>
      <c r="V117" s="403" t="n">
        <f aca="false">$D$89*V85*1.1</f>
        <v>2046.47991428572</v>
      </c>
      <c r="W117" s="403" t="n">
        <f aca="false">$D$89*W85*1.1</f>
        <v>2166.86108571429</v>
      </c>
      <c r="X117" s="403" t="n">
        <f aca="false">$D$89*X85*1.1</f>
        <v>2287.24225714286</v>
      </c>
      <c r="Y117" s="403" t="n">
        <f aca="false">$D$89*Y85*1.1</f>
        <v>2407.62342857143</v>
      </c>
      <c r="Z117" s="404" t="n">
        <f aca="false">$D$89*Z85*1.2</f>
        <v>4596.372</v>
      </c>
      <c r="AA117" s="404" t="n">
        <f aca="false">$D$89*AA85*1.2</f>
        <v>4596.372</v>
      </c>
      <c r="AB117" s="404" t="n">
        <f aca="false">$D$89*AB85*1.2</f>
        <v>4596.372</v>
      </c>
      <c r="AC117" s="404" t="n">
        <f aca="false">$D$89*AC85*1.2</f>
        <v>4596.372</v>
      </c>
      <c r="AD117" s="404" t="n">
        <f aca="false">$D$89*AD85*1.2</f>
        <v>4596.372</v>
      </c>
      <c r="AE117" s="404" t="n">
        <f aca="false">$D$89*AE85*1.2</f>
        <v>4596.372</v>
      </c>
      <c r="AF117" s="404" t="n">
        <f aca="false">$D$89*AF85*1.2</f>
        <v>4596.372</v>
      </c>
      <c r="AG117" s="404" t="n">
        <f aca="false">$D$89*AG85*1.2</f>
        <v>4596.372</v>
      </c>
      <c r="AH117" s="404" t="n">
        <f aca="false">$D$89*AH85*1.2</f>
        <v>4596.372</v>
      </c>
      <c r="AI117" s="404" t="n">
        <f aca="false">$D$89*AI85*1.2</f>
        <v>4596.372</v>
      </c>
      <c r="AJ117" s="404" t="n">
        <f aca="false">$D$89*AJ85*1.2</f>
        <v>4596.372</v>
      </c>
      <c r="AK117" s="404" t="n">
        <f aca="false">$D$89*AK85*1.2</f>
        <v>4596.372</v>
      </c>
      <c r="AL117" s="405" t="n">
        <f aca="false">$D$89*AL85*1.3</f>
        <v>4979.403</v>
      </c>
      <c r="AM117" s="405" t="n">
        <f aca="false">$D$89*AM85*1.3</f>
        <v>4979.403</v>
      </c>
      <c r="AN117" s="405" t="n">
        <f aca="false">$D$89*AN85*1.3</f>
        <v>4979.403</v>
      </c>
      <c r="AO117" s="405" t="n">
        <f aca="false">$D$89*AO85*1.3</f>
        <v>4979.403</v>
      </c>
      <c r="AP117" s="405" t="n">
        <f aca="false">$D$89*AP85*1.3</f>
        <v>4979.403</v>
      </c>
      <c r="AQ117" s="405" t="n">
        <f aca="false">$D$89*AQ85*1.3</f>
        <v>4979.403</v>
      </c>
      <c r="AR117" s="405" t="n">
        <f aca="false">$D$89*AR85*1.3</f>
        <v>4979.403</v>
      </c>
      <c r="AS117" s="405" t="n">
        <f aca="false">$D$89*AS85*1.3</f>
        <v>4979.403</v>
      </c>
      <c r="AT117" s="405" t="n">
        <f aca="false">$D$89*AT85*1.3</f>
        <v>4979.403</v>
      </c>
      <c r="AU117" s="405" t="n">
        <f aca="false">$D$89*AU85*1.3</f>
        <v>4979.403</v>
      </c>
      <c r="AV117" s="405" t="n">
        <f aca="false">$D$89*AV85*1.3</f>
        <v>4979.403</v>
      </c>
      <c r="AW117" s="405" t="n">
        <f aca="false">$D$89*AW85*1.3</f>
        <v>4979.403</v>
      </c>
      <c r="AX117" s="406" t="n">
        <f aca="false">$D$89*AX85*1.4</f>
        <v>5362.434</v>
      </c>
      <c r="AY117" s="406" t="n">
        <f aca="false">$D$89*AY85*1.4</f>
        <v>5362.434</v>
      </c>
      <c r="AZ117" s="406" t="n">
        <f aca="false">$D$89*AZ85*1.4</f>
        <v>5362.434</v>
      </c>
      <c r="BA117" s="406" t="n">
        <f aca="false">$D$89*BA85*1.4</f>
        <v>5362.434</v>
      </c>
      <c r="BB117" s="406" t="n">
        <f aca="false">$D$89*BB85*1.4</f>
        <v>5362.434</v>
      </c>
      <c r="BC117" s="406" t="n">
        <f aca="false">$D$89*BC85*1.4</f>
        <v>5362.434</v>
      </c>
      <c r="BD117" s="406" t="n">
        <f aca="false">$D$89*BD85*1.4</f>
        <v>5362.434</v>
      </c>
      <c r="BE117" s="406" t="n">
        <f aca="false">$D$89*BE85*1.4</f>
        <v>5362.434</v>
      </c>
      <c r="BF117" s="406" t="n">
        <f aca="false">$D$89*BF85*1.4</f>
        <v>5362.434</v>
      </c>
      <c r="BG117" s="406" t="n">
        <f aca="false">$D$89*BG85*1.4</f>
        <v>5362.434</v>
      </c>
      <c r="BH117" s="406" t="n">
        <f aca="false">$D$89*BH85*1.4</f>
        <v>5362.434</v>
      </c>
      <c r="BI117" s="406" t="n">
        <f aca="false">$D$89*BI85*1.4</f>
        <v>5362.434</v>
      </c>
      <c r="BJ117" s="407" t="n">
        <f aca="false">SUM(E117:M117)</f>
        <v>3213.95014285714</v>
      </c>
      <c r="BK117" s="407" t="n">
        <f aca="false">SUM(N117:Y117)</f>
        <v>20946.3238285714</v>
      </c>
      <c r="BL117" s="407" t="n">
        <f aca="false">SUM(Z117:AK117)</f>
        <v>55156.464</v>
      </c>
      <c r="BM117" s="407" t="n">
        <f aca="false">SUM(AL117:AW117)</f>
        <v>59752.836</v>
      </c>
      <c r="BN117" s="407" t="n">
        <f aca="false">SUM(AX117:BI117)</f>
        <v>64349.208</v>
      </c>
      <c r="BO117" s="325"/>
      <c r="BP117" s="389"/>
      <c r="BQ117" s="389"/>
      <c r="BR117" s="389"/>
      <c r="BS117" s="389"/>
      <c r="BT117" s="389"/>
      <c r="BU117" s="389"/>
      <c r="BV117" s="389"/>
      <c r="BW117" s="389"/>
      <c r="BX117" s="389"/>
      <c r="BY117" s="389"/>
      <c r="BZ117" s="389"/>
      <c r="CA117" s="389"/>
      <c r="CB117" s="389"/>
      <c r="CC117" s="389"/>
      <c r="CD117" s="389"/>
      <c r="CE117" s="389"/>
      <c r="CF117" s="389"/>
      <c r="CG117" s="389"/>
    </row>
    <row r="118" customFormat="false" ht="24.75" hidden="false" customHeight="true" outlineLevel="0" collapsed="false">
      <c r="A118" s="408" t="s">
        <v>1676</v>
      </c>
      <c r="B118" s="333"/>
      <c r="C118" s="333"/>
      <c r="D118" s="409" t="n">
        <f aca="false">SUM(D89:D117)</f>
        <v>917.14</v>
      </c>
      <c r="E118" s="333" t="n">
        <f aca="false">SUM(E89:E117)</f>
        <v>134197.060869048</v>
      </c>
      <c r="F118" s="333" t="n">
        <f aca="false">SUM(F89:F117)</f>
        <v>268394.121738095</v>
      </c>
      <c r="G118" s="333" t="n">
        <f aca="false">SUM(G89:G117)</f>
        <v>536788.243476191</v>
      </c>
      <c r="H118" s="333" t="n">
        <f aca="false">SUM(H89:H117)</f>
        <v>805182.365214286</v>
      </c>
      <c r="I118" s="333" t="n">
        <f aca="false">SUM(I89:I117)</f>
        <v>1073576.48695238</v>
      </c>
      <c r="J118" s="333" t="n">
        <f aca="false">SUM(J89:J117)</f>
        <v>1341970.60869048</v>
      </c>
      <c r="K118" s="333" t="n">
        <f aca="false">SUM(K89:K117)</f>
        <v>1610364.73042857</v>
      </c>
      <c r="L118" s="333" t="n">
        <f aca="false">SUM(L89:L117)</f>
        <v>1878758.85216667</v>
      </c>
      <c r="M118" s="333" t="n">
        <f aca="false">SUM(M89:M117)</f>
        <v>2147152.97390476</v>
      </c>
      <c r="N118" s="333" t="n">
        <f aca="false">SUM(N89:N117)</f>
        <v>3283123.76912143</v>
      </c>
      <c r="O118" s="333" t="n">
        <f aca="false">SUM(O89:O117)</f>
        <v>3647915.29902381</v>
      </c>
      <c r="P118" s="333" t="n">
        <f aca="false">SUM(P89:P117)</f>
        <v>4012706.82892619</v>
      </c>
      <c r="Q118" s="333" t="n">
        <f aca="false">SUM(Q89:Q117)</f>
        <v>4377498.35882857</v>
      </c>
      <c r="R118" s="333" t="n">
        <f aca="false">SUM(R89:R117)</f>
        <v>4742289.88873096</v>
      </c>
      <c r="S118" s="333" t="n">
        <f aca="false">SUM(S89:S117)</f>
        <v>5107081.41863334</v>
      </c>
      <c r="T118" s="333" t="n">
        <f aca="false">SUM(T89:T117)</f>
        <v>5471872.94853572</v>
      </c>
      <c r="U118" s="333" t="n">
        <f aca="false">SUM(U89:U117)</f>
        <v>5836664.4784381</v>
      </c>
      <c r="V118" s="333" t="n">
        <f aca="false">SUM(V89:V117)</f>
        <v>6201456.00834048</v>
      </c>
      <c r="W118" s="333" t="n">
        <f aca="false">SUM(W89:W117)</f>
        <v>6566247.53824285</v>
      </c>
      <c r="X118" s="333" t="n">
        <f aca="false">SUM(X89:X117)</f>
        <v>6931039.06814524</v>
      </c>
      <c r="Y118" s="333" t="n">
        <f aca="false">SUM(Y89:Y117)</f>
        <v>7295830.59804762</v>
      </c>
      <c r="Z118" s="333" t="n">
        <f aca="false">SUM(Z89:Z117)</f>
        <v>13928403.869</v>
      </c>
      <c r="AA118" s="333" t="n">
        <f aca="false">SUM(AA89:AA117)</f>
        <v>13928403.869</v>
      </c>
      <c r="AB118" s="333" t="n">
        <f aca="false">SUM(AB89:AB117)</f>
        <v>13928403.869</v>
      </c>
      <c r="AC118" s="333" t="n">
        <f aca="false">SUM(AC89:AC117)</f>
        <v>13928403.869</v>
      </c>
      <c r="AD118" s="333" t="n">
        <f aca="false">SUM(AD89:AD117)</f>
        <v>13928403.869</v>
      </c>
      <c r="AE118" s="333" t="n">
        <f aca="false">SUM(AE89:AE117)</f>
        <v>13928403.869</v>
      </c>
      <c r="AF118" s="333" t="n">
        <f aca="false">SUM(AF89:AF117)</f>
        <v>13928403.869</v>
      </c>
      <c r="AG118" s="333" t="n">
        <f aca="false">SUM(AG89:AG117)</f>
        <v>13928403.869</v>
      </c>
      <c r="AH118" s="333" t="n">
        <f aca="false">SUM(AH89:AH117)</f>
        <v>13928403.869</v>
      </c>
      <c r="AI118" s="333" t="n">
        <f aca="false">SUM(AI89:AI117)</f>
        <v>13928403.869</v>
      </c>
      <c r="AJ118" s="333" t="n">
        <f aca="false">SUM(AJ89:AJ117)</f>
        <v>13928403.869</v>
      </c>
      <c r="AK118" s="333" t="n">
        <f aca="false">SUM(AK89:AK117)</f>
        <v>13928403.869</v>
      </c>
      <c r="AL118" s="333" t="n">
        <f aca="false">SUM(AL89:AL117)</f>
        <v>15089104.1914167</v>
      </c>
      <c r="AM118" s="333" t="n">
        <f aca="false">SUM(AM89:AM117)</f>
        <v>15089104.1914167</v>
      </c>
      <c r="AN118" s="333" t="n">
        <f aca="false">SUM(AN89:AN117)</f>
        <v>15089104.1914167</v>
      </c>
      <c r="AO118" s="333" t="n">
        <f aca="false">SUM(AO89:AO117)</f>
        <v>15089104.1914167</v>
      </c>
      <c r="AP118" s="333" t="n">
        <f aca="false">SUM(AP89:AP117)</f>
        <v>15089104.1914167</v>
      </c>
      <c r="AQ118" s="333" t="n">
        <f aca="false">SUM(AQ89:AQ117)</f>
        <v>15089104.1914167</v>
      </c>
      <c r="AR118" s="333" t="n">
        <f aca="false">SUM(AR89:AR117)</f>
        <v>15089104.1914167</v>
      </c>
      <c r="AS118" s="333" t="n">
        <f aca="false">SUM(AS89:AS117)</f>
        <v>15089104.1914167</v>
      </c>
      <c r="AT118" s="333" t="n">
        <f aca="false">SUM(AT89:AT117)</f>
        <v>15089104.1914167</v>
      </c>
      <c r="AU118" s="333" t="n">
        <f aca="false">SUM(AU89:AU117)</f>
        <v>15089104.1914167</v>
      </c>
      <c r="AV118" s="333" t="n">
        <f aca="false">SUM(AV89:AV117)</f>
        <v>15089104.1914167</v>
      </c>
      <c r="AW118" s="333" t="n">
        <f aca="false">SUM(AW89:AW117)</f>
        <v>15089104.1914167</v>
      </c>
      <c r="AX118" s="333" t="n">
        <f aca="false">SUM(AX89:AX117)</f>
        <v>16249804.5138333</v>
      </c>
      <c r="AY118" s="333" t="n">
        <f aca="false">SUM(AY89:AY117)</f>
        <v>16249804.5138333</v>
      </c>
      <c r="AZ118" s="333" t="n">
        <f aca="false">SUM(AZ89:AZ117)</f>
        <v>16249804.5138333</v>
      </c>
      <c r="BA118" s="333" t="n">
        <f aca="false">SUM(BA89:BA117)</f>
        <v>16249804.5138333</v>
      </c>
      <c r="BB118" s="333" t="n">
        <f aca="false">SUM(BB89:BB117)</f>
        <v>16249804.5138333</v>
      </c>
      <c r="BC118" s="333" t="n">
        <f aca="false">SUM(BC89:BC117)</f>
        <v>16249804.5138333</v>
      </c>
      <c r="BD118" s="333" t="n">
        <f aca="false">SUM(BD89:BD117)</f>
        <v>16249804.5138333</v>
      </c>
      <c r="BE118" s="333" t="n">
        <f aca="false">SUM(BE89:BE117)</f>
        <v>16249804.5138333</v>
      </c>
      <c r="BF118" s="333" t="n">
        <f aca="false">SUM(BF89:BF117)</f>
        <v>16249804.5138333</v>
      </c>
      <c r="BG118" s="333" t="n">
        <f aca="false">SUM(BG89:BG117)</f>
        <v>16249804.5138333</v>
      </c>
      <c r="BH118" s="333" t="n">
        <f aca="false">SUM(BH89:BH117)</f>
        <v>16249804.5138333</v>
      </c>
      <c r="BI118" s="333" t="n">
        <f aca="false">SUM(BI89:BI117)</f>
        <v>16249804.5138333</v>
      </c>
      <c r="BJ118" s="333" t="n">
        <f aca="false">SUM(BJ89:BJ117)</f>
        <v>9796385.44344048</v>
      </c>
      <c r="BK118" s="333" t="n">
        <f aca="false">SUM(BK89:BK117)</f>
        <v>63473726.2030143</v>
      </c>
      <c r="BL118" s="333" t="n">
        <f aca="false">SUM(BL89:BL117)</f>
        <v>167140846.428</v>
      </c>
      <c r="BM118" s="333" t="n">
        <f aca="false">SUM(BM89:BM117)</f>
        <v>181069250.297</v>
      </c>
      <c r="BN118" s="333" t="n">
        <f aca="false">SUM(BN89:BN117)</f>
        <v>194997654.166</v>
      </c>
      <c r="BO118" s="325"/>
      <c r="BP118" s="389"/>
      <c r="BQ118" s="389"/>
      <c r="BR118" s="389"/>
      <c r="BS118" s="389"/>
      <c r="BT118" s="389"/>
      <c r="BU118" s="389"/>
      <c r="BV118" s="389"/>
      <c r="BW118" s="389"/>
      <c r="BX118" s="389"/>
      <c r="BY118" s="389"/>
      <c r="BZ118" s="389"/>
      <c r="CA118" s="389"/>
      <c r="CB118" s="389"/>
      <c r="CC118" s="389"/>
      <c r="CD118" s="389"/>
      <c r="CE118" s="389"/>
      <c r="CF118" s="389"/>
      <c r="CG118" s="389"/>
    </row>
    <row r="119" customFormat="false" ht="24.75" hidden="false" customHeight="true" outlineLevel="0" collapsed="false">
      <c r="A119" s="323"/>
      <c r="B119" s="325"/>
      <c r="C119" s="325"/>
      <c r="D119" s="325"/>
      <c r="E119" s="325"/>
      <c r="F119" s="325"/>
      <c r="G119" s="325"/>
      <c r="H119" s="325"/>
      <c r="I119" s="325"/>
      <c r="J119" s="325"/>
      <c r="K119" s="325"/>
      <c r="L119" s="325"/>
      <c r="M119" s="325"/>
      <c r="N119" s="325"/>
      <c r="O119" s="325"/>
      <c r="P119" s="325"/>
      <c r="Q119" s="325"/>
      <c r="R119" s="325"/>
      <c r="S119" s="325"/>
      <c r="T119" s="325"/>
      <c r="U119" s="325"/>
      <c r="V119" s="325"/>
      <c r="W119" s="325"/>
      <c r="X119" s="325"/>
      <c r="Y119" s="325"/>
      <c r="Z119" s="325"/>
      <c r="AA119" s="325"/>
      <c r="AB119" s="325"/>
      <c r="AC119" s="325"/>
      <c r="AD119" s="325"/>
      <c r="AE119" s="325"/>
      <c r="AF119" s="325"/>
      <c r="AG119" s="325"/>
      <c r="AH119" s="325"/>
      <c r="AI119" s="325"/>
      <c r="AJ119" s="325"/>
      <c r="AK119" s="325"/>
      <c r="AL119" s="325"/>
      <c r="AM119" s="325"/>
      <c r="AN119" s="325"/>
      <c r="AO119" s="325"/>
      <c r="AP119" s="325"/>
      <c r="AQ119" s="325"/>
      <c r="AR119" s="325"/>
      <c r="AS119" s="325"/>
      <c r="AT119" s="325"/>
      <c r="AU119" s="325"/>
      <c r="AV119" s="325"/>
      <c r="AW119" s="325"/>
      <c r="AX119" s="325"/>
      <c r="AY119" s="325"/>
      <c r="AZ119" s="325"/>
      <c r="BA119" s="325"/>
      <c r="BB119" s="325"/>
      <c r="BC119" s="325"/>
      <c r="BD119" s="325"/>
      <c r="BE119" s="325"/>
      <c r="BF119" s="325"/>
      <c r="BG119" s="325"/>
      <c r="BH119" s="325"/>
      <c r="BI119" s="325"/>
      <c r="BJ119" s="375"/>
      <c r="BK119" s="375"/>
      <c r="BL119" s="375"/>
      <c r="BM119" s="375"/>
      <c r="BN119" s="375"/>
    </row>
    <row r="120" customFormat="false" ht="24.75" hidden="false" customHeight="true" outlineLevel="0" collapsed="false">
      <c r="A120" s="410" t="str">
        <f aca="false">IF('P&amp;L'!E14="y","Direct Cost of Funding","Direct Cost of Revenue")</f>
        <v>Direct Cost of Revenue</v>
      </c>
      <c r="B120" s="333" t="s">
        <v>1476</v>
      </c>
      <c r="C120" s="333" t="s">
        <v>1477</v>
      </c>
      <c r="D120" s="333" t="s">
        <v>1478</v>
      </c>
      <c r="E120" s="333" t="s">
        <v>1479</v>
      </c>
      <c r="F120" s="333" t="s">
        <v>1480</v>
      </c>
      <c r="G120" s="333" t="s">
        <v>1481</v>
      </c>
      <c r="H120" s="333" t="s">
        <v>1482</v>
      </c>
      <c r="I120" s="333" t="s">
        <v>1483</v>
      </c>
      <c r="J120" s="333" t="s">
        <v>1484</v>
      </c>
      <c r="K120" s="333" t="s">
        <v>1485</v>
      </c>
      <c r="L120" s="333" t="s">
        <v>1486</v>
      </c>
      <c r="M120" s="333" t="s">
        <v>1487</v>
      </c>
      <c r="N120" s="333" t="s">
        <v>1622</v>
      </c>
      <c r="O120" s="333" t="s">
        <v>1623</v>
      </c>
      <c r="P120" s="333" t="s">
        <v>1624</v>
      </c>
      <c r="Q120" s="333" t="s">
        <v>1625</v>
      </c>
      <c r="R120" s="333" t="s">
        <v>1626</v>
      </c>
      <c r="S120" s="333" t="s">
        <v>1627</v>
      </c>
      <c r="T120" s="333" t="s">
        <v>1628</v>
      </c>
      <c r="U120" s="333" t="s">
        <v>1629</v>
      </c>
      <c r="V120" s="333" t="s">
        <v>1630</v>
      </c>
      <c r="W120" s="333" t="s">
        <v>1631</v>
      </c>
      <c r="X120" s="333" t="s">
        <v>1632</v>
      </c>
      <c r="Y120" s="333" t="s">
        <v>1633</v>
      </c>
      <c r="Z120" s="333" t="s">
        <v>1634</v>
      </c>
      <c r="AA120" s="333" t="s">
        <v>1635</v>
      </c>
      <c r="AB120" s="333" t="s">
        <v>1636</v>
      </c>
      <c r="AC120" s="333" t="s">
        <v>1637</v>
      </c>
      <c r="AD120" s="333" t="s">
        <v>1638</v>
      </c>
      <c r="AE120" s="333" t="s">
        <v>1639</v>
      </c>
      <c r="AF120" s="333" t="s">
        <v>1640</v>
      </c>
      <c r="AG120" s="333" t="s">
        <v>1641</v>
      </c>
      <c r="AH120" s="333" t="s">
        <v>1642</v>
      </c>
      <c r="AI120" s="333" t="s">
        <v>1643</v>
      </c>
      <c r="AJ120" s="333" t="s">
        <v>1644</v>
      </c>
      <c r="AK120" s="333" t="s">
        <v>1645</v>
      </c>
      <c r="AL120" s="333" t="s">
        <v>1646</v>
      </c>
      <c r="AM120" s="333" t="s">
        <v>1647</v>
      </c>
      <c r="AN120" s="333" t="s">
        <v>1648</v>
      </c>
      <c r="AO120" s="333" t="s">
        <v>1649</v>
      </c>
      <c r="AP120" s="333" t="s">
        <v>1650</v>
      </c>
      <c r="AQ120" s="333" t="s">
        <v>1651</v>
      </c>
      <c r="AR120" s="333" t="s">
        <v>1652</v>
      </c>
      <c r="AS120" s="333" t="s">
        <v>1653</v>
      </c>
      <c r="AT120" s="333" t="s">
        <v>1654</v>
      </c>
      <c r="AU120" s="333" t="s">
        <v>1655</v>
      </c>
      <c r="AV120" s="333" t="s">
        <v>1656</v>
      </c>
      <c r="AW120" s="333" t="s">
        <v>1657</v>
      </c>
      <c r="AX120" s="333" t="s">
        <v>1658</v>
      </c>
      <c r="AY120" s="333" t="s">
        <v>1659</v>
      </c>
      <c r="AZ120" s="333" t="s">
        <v>1660</v>
      </c>
      <c r="BA120" s="333" t="s">
        <v>1661</v>
      </c>
      <c r="BB120" s="333" t="s">
        <v>1662</v>
      </c>
      <c r="BC120" s="333" t="s">
        <v>1663</v>
      </c>
      <c r="BD120" s="333" t="s">
        <v>1664</v>
      </c>
      <c r="BE120" s="333" t="s">
        <v>1665</v>
      </c>
      <c r="BF120" s="333" t="s">
        <v>1666</v>
      </c>
      <c r="BG120" s="333" t="s">
        <v>1667</v>
      </c>
      <c r="BH120" s="333" t="s">
        <v>1668</v>
      </c>
      <c r="BI120" s="333" t="s">
        <v>1669</v>
      </c>
      <c r="BJ120" s="333" t="s">
        <v>1488</v>
      </c>
      <c r="BK120" s="333" t="s">
        <v>1672</v>
      </c>
      <c r="BL120" s="333" t="s">
        <v>1673</v>
      </c>
      <c r="BM120" s="333" t="s">
        <v>1674</v>
      </c>
      <c r="BN120" s="333" t="s">
        <v>1675</v>
      </c>
      <c r="BO120" s="375"/>
      <c r="BP120" s="325"/>
      <c r="BQ120" s="325"/>
      <c r="BR120" s="325"/>
      <c r="BS120" s="325"/>
      <c r="BT120" s="325"/>
      <c r="BU120" s="325"/>
      <c r="BV120" s="325"/>
      <c r="BW120" s="325"/>
      <c r="BX120" s="325"/>
      <c r="BY120" s="325"/>
      <c r="BZ120" s="325"/>
      <c r="CA120" s="325"/>
      <c r="CB120" s="325"/>
      <c r="CC120" s="325"/>
      <c r="CD120" s="325"/>
      <c r="CE120" s="325"/>
      <c r="CF120" s="325"/>
      <c r="CG120" s="325"/>
      <c r="CH120" s="325"/>
      <c r="CI120" s="325"/>
      <c r="CJ120" s="325"/>
      <c r="CK120" s="325"/>
      <c r="CL120" s="325"/>
      <c r="CM120" s="325"/>
      <c r="CN120" s="325"/>
      <c r="CO120" s="325"/>
      <c r="CP120" s="325"/>
      <c r="CQ120" s="325"/>
      <c r="CR120" s="325"/>
      <c r="CS120" s="325"/>
      <c r="CT120" s="325"/>
      <c r="CU120" s="325"/>
      <c r="CV120" s="325"/>
      <c r="CW120" s="325"/>
      <c r="CX120" s="325"/>
      <c r="CY120" s="325"/>
      <c r="CZ120" s="325"/>
      <c r="DA120" s="325"/>
      <c r="DB120" s="325"/>
      <c r="DC120" s="325"/>
      <c r="DD120" s="325"/>
      <c r="DE120" s="325"/>
      <c r="DF120" s="325"/>
      <c r="DG120" s="325"/>
      <c r="DH120" s="325"/>
      <c r="DI120" s="325"/>
      <c r="DJ120" s="325"/>
      <c r="DK120" s="325"/>
      <c r="DL120" s="325"/>
      <c r="DM120" s="325"/>
      <c r="DN120" s="325"/>
      <c r="DO120" s="325"/>
      <c r="DP120" s="325"/>
      <c r="DQ120" s="325"/>
      <c r="DR120" s="325"/>
      <c r="DS120" s="325"/>
      <c r="DT120" s="325"/>
      <c r="DU120" s="325"/>
      <c r="DV120" s="325"/>
      <c r="DW120" s="325"/>
      <c r="DX120" s="325"/>
      <c r="DY120" s="325"/>
      <c r="DZ120" s="325"/>
      <c r="EA120" s="325"/>
      <c r="EB120" s="325"/>
      <c r="EC120" s="325"/>
      <c r="ED120" s="325"/>
      <c r="EE120" s="325"/>
      <c r="EF120" s="325"/>
      <c r="EG120" s="325"/>
      <c r="EH120" s="325"/>
      <c r="EI120" s="325"/>
      <c r="EJ120" s="325"/>
      <c r="EK120" s="325"/>
      <c r="EL120" s="325"/>
      <c r="EM120" s="325"/>
      <c r="EN120" s="325"/>
      <c r="EO120" s="325"/>
      <c r="EP120" s="325"/>
      <c r="EQ120" s="325"/>
      <c r="ER120" s="325"/>
      <c r="ES120" s="325"/>
      <c r="ET120" s="325"/>
      <c r="EU120" s="325"/>
      <c r="EV120" s="325"/>
      <c r="EW120" s="325"/>
      <c r="EX120" s="325"/>
      <c r="EY120" s="325"/>
      <c r="EZ120" s="325"/>
      <c r="FA120" s="325"/>
      <c r="FB120" s="325"/>
      <c r="FC120" s="325"/>
      <c r="FD120" s="325"/>
      <c r="FE120" s="325"/>
      <c r="FF120" s="325"/>
      <c r="FG120" s="325"/>
      <c r="FH120" s="325"/>
      <c r="FI120" s="325"/>
      <c r="FJ120" s="325"/>
      <c r="FK120" s="325"/>
      <c r="FL120" s="325"/>
      <c r="FM120" s="325"/>
      <c r="FN120" s="325"/>
      <c r="FO120" s="325"/>
      <c r="FP120" s="325"/>
      <c r="FQ120" s="325"/>
      <c r="FR120" s="325"/>
      <c r="FS120" s="325"/>
      <c r="FT120" s="325"/>
      <c r="FU120" s="325"/>
      <c r="FV120" s="325"/>
      <c r="FW120" s="325"/>
      <c r="FX120" s="325"/>
      <c r="FY120" s="325"/>
      <c r="FZ120" s="325"/>
      <c r="GA120" s="325"/>
      <c r="GB120" s="325"/>
      <c r="GC120" s="325"/>
      <c r="GD120" s="325"/>
      <c r="GE120" s="325"/>
      <c r="GF120" s="325"/>
      <c r="GG120" s="325"/>
      <c r="GH120" s="325"/>
      <c r="GI120" s="325"/>
      <c r="GJ120" s="325"/>
      <c r="GK120" s="325"/>
      <c r="GL120" s="325"/>
    </row>
    <row r="121" customFormat="false" ht="24.75" hidden="false" customHeight="true" outlineLevel="0" collapsed="false">
      <c r="A121" s="381" t="s">
        <v>1563</v>
      </c>
      <c r="B121" s="411"/>
      <c r="C121" s="411"/>
      <c r="D121" s="412" t="n">
        <v>32.7552</v>
      </c>
      <c r="E121" s="411" t="n">
        <f aca="false">$D121*E57</f>
        <v>1218.57142857143</v>
      </c>
      <c r="F121" s="411" t="n">
        <f aca="false">$D121*F57</f>
        <v>2437.14285714286</v>
      </c>
      <c r="G121" s="411" t="n">
        <f aca="false">$D121*G57</f>
        <v>4874.28571428572</v>
      </c>
      <c r="H121" s="411" t="n">
        <f aca="false">$D121*H57</f>
        <v>7311.42857142858</v>
      </c>
      <c r="I121" s="411" t="n">
        <f aca="false">$D121*I57</f>
        <v>9748.57142857144</v>
      </c>
      <c r="J121" s="411" t="n">
        <f aca="false">$D121*J57</f>
        <v>12185.7142857143</v>
      </c>
      <c r="K121" s="411" t="n">
        <f aca="false">$D121*K57</f>
        <v>14622.8571428571</v>
      </c>
      <c r="L121" s="411" t="n">
        <f aca="false">$D121*L57</f>
        <v>17060</v>
      </c>
      <c r="M121" s="411" t="n">
        <f aca="false">$D121*M57</f>
        <v>19497.1428571428</v>
      </c>
      <c r="N121" s="393" t="n">
        <f aca="false">$D121*N57*1.05</f>
        <v>23031</v>
      </c>
      <c r="O121" s="393" t="n">
        <f aca="false">$D121*O57*1.05</f>
        <v>25590</v>
      </c>
      <c r="P121" s="393" t="n">
        <f aca="false">$D121*P57*1.05</f>
        <v>28149</v>
      </c>
      <c r="Q121" s="393" t="n">
        <f aca="false">$D121*Q57*1.05</f>
        <v>30708</v>
      </c>
      <c r="R121" s="393" t="n">
        <f aca="false">$D121*R57*1.05</f>
        <v>33267</v>
      </c>
      <c r="S121" s="393" t="n">
        <f aca="false">$D121*S57*1.05</f>
        <v>35826.0000000001</v>
      </c>
      <c r="T121" s="393" t="n">
        <f aca="false">$D121*T57*1.05</f>
        <v>38385.0000000001</v>
      </c>
      <c r="U121" s="393" t="n">
        <f aca="false">$D121*U57*1.05</f>
        <v>40944</v>
      </c>
      <c r="V121" s="393" t="n">
        <f aca="false">$D121*V57*1.05</f>
        <v>43502.9999999999</v>
      </c>
      <c r="W121" s="393" t="n">
        <f aca="false">$D121*W57*1.05</f>
        <v>46061.9999999999</v>
      </c>
      <c r="X121" s="393" t="n">
        <f aca="false">$D121*X57*1.05</f>
        <v>48621.0000000001</v>
      </c>
      <c r="Y121" s="393" t="n">
        <f aca="false">$D121*Y57*1.05</f>
        <v>51180.0000000001</v>
      </c>
      <c r="Z121" s="394" t="n">
        <f aca="false">$D121*Z57*1.1</f>
        <v>93830.0000000001</v>
      </c>
      <c r="AA121" s="394" t="n">
        <f aca="false">$D121*AA57*1.1</f>
        <v>93830.0000000001</v>
      </c>
      <c r="AB121" s="394" t="n">
        <f aca="false">$D121*AB57*1.1</f>
        <v>93830.0000000001</v>
      </c>
      <c r="AC121" s="394" t="n">
        <f aca="false">$D121*AC57*1.1</f>
        <v>93830.0000000001</v>
      </c>
      <c r="AD121" s="394" t="n">
        <f aca="false">$D121*AD57*1.1</f>
        <v>93830.0000000001</v>
      </c>
      <c r="AE121" s="394" t="n">
        <f aca="false">$D121*AE57*1.1</f>
        <v>93830.0000000001</v>
      </c>
      <c r="AF121" s="394" t="n">
        <f aca="false">$D121*AF57*1.1</f>
        <v>93830.0000000001</v>
      </c>
      <c r="AG121" s="394" t="n">
        <f aca="false">$D121*AG57*1.1</f>
        <v>93830.0000000001</v>
      </c>
      <c r="AH121" s="394" t="n">
        <f aca="false">$D121*AH57*1.1</f>
        <v>93830.0000000001</v>
      </c>
      <c r="AI121" s="394" t="n">
        <f aca="false">$D121*AI57*1.1</f>
        <v>93830.0000000001</v>
      </c>
      <c r="AJ121" s="394" t="n">
        <f aca="false">$D121*AJ57*1.1</f>
        <v>93830.0000000001</v>
      </c>
      <c r="AK121" s="394" t="n">
        <f aca="false">$D121*AK57*1.1</f>
        <v>93830.0000000001</v>
      </c>
      <c r="AL121" s="395" t="n">
        <f aca="false">$D121*AL57*1.15</f>
        <v>98095.0000000001</v>
      </c>
      <c r="AM121" s="395" t="n">
        <f aca="false">$D121*AM57*1.15</f>
        <v>98095.0000000001</v>
      </c>
      <c r="AN121" s="395" t="n">
        <f aca="false">$D121*AN57*1.15</f>
        <v>98095.0000000001</v>
      </c>
      <c r="AO121" s="395" t="n">
        <f aca="false">$D121*AO57*1.15</f>
        <v>98095.0000000001</v>
      </c>
      <c r="AP121" s="395" t="n">
        <f aca="false">$D121*AP57*1.15</f>
        <v>98095.0000000001</v>
      </c>
      <c r="AQ121" s="395" t="n">
        <f aca="false">$D121*AQ57*1.15</f>
        <v>98095.0000000001</v>
      </c>
      <c r="AR121" s="395" t="n">
        <f aca="false">$D121*AR57*1.15</f>
        <v>98095.0000000001</v>
      </c>
      <c r="AS121" s="395" t="n">
        <f aca="false">$D121*AS57*1.15</f>
        <v>98095.0000000001</v>
      </c>
      <c r="AT121" s="395" t="n">
        <f aca="false">$D121*AT57*1.15</f>
        <v>98095.0000000001</v>
      </c>
      <c r="AU121" s="395" t="n">
        <f aca="false">$D121*AU57*1.15</f>
        <v>98095.0000000001</v>
      </c>
      <c r="AV121" s="395" t="n">
        <f aca="false">$D121*AV57*1.15</f>
        <v>98095.0000000001</v>
      </c>
      <c r="AW121" s="395" t="n">
        <f aca="false">$D121*AW57*1.15</f>
        <v>98095.0000000001</v>
      </c>
      <c r="AX121" s="396" t="n">
        <f aca="false">$D121*AX57*1.2</f>
        <v>102360</v>
      </c>
      <c r="AY121" s="396" t="n">
        <f aca="false">$D121*AY57*1.2</f>
        <v>102360</v>
      </c>
      <c r="AZ121" s="396" t="n">
        <f aca="false">$D121*AZ57*1.2</f>
        <v>102360</v>
      </c>
      <c r="BA121" s="396" t="n">
        <f aca="false">$D121*BA57*1.2</f>
        <v>102360</v>
      </c>
      <c r="BB121" s="396" t="n">
        <f aca="false">$D121*BB57*1.2</f>
        <v>102360</v>
      </c>
      <c r="BC121" s="396" t="n">
        <f aca="false">$D121*BC57*1.2</f>
        <v>102360</v>
      </c>
      <c r="BD121" s="396" t="n">
        <f aca="false">$D121*BD57*1.2</f>
        <v>102360</v>
      </c>
      <c r="BE121" s="396" t="n">
        <f aca="false">$D121*BE57*1.2</f>
        <v>102360</v>
      </c>
      <c r="BF121" s="396" t="n">
        <f aca="false">$D121*BF57*1.2</f>
        <v>102360</v>
      </c>
      <c r="BG121" s="396" t="n">
        <f aca="false">$D121*BG57*1.2</f>
        <v>102360</v>
      </c>
      <c r="BH121" s="396" t="n">
        <f aca="false">$D121*BH57*1.2</f>
        <v>102360</v>
      </c>
      <c r="BI121" s="396" t="n">
        <f aca="false">$D121*BI57*1.2</f>
        <v>102360</v>
      </c>
      <c r="BJ121" s="413" t="n">
        <f aca="false">SUM(E121:M121)</f>
        <v>88955.7142857143</v>
      </c>
      <c r="BK121" s="413" t="n">
        <f aca="false">SUM(N121:Y121)</f>
        <v>445266</v>
      </c>
      <c r="BL121" s="413" t="n">
        <f aca="false">SUM(Z121:AK121)</f>
        <v>1125960</v>
      </c>
      <c r="BM121" s="413" t="n">
        <f aca="false">SUM(AL121:AW121)</f>
        <v>1177140</v>
      </c>
      <c r="BN121" s="413" t="n">
        <f aca="false">SUM(AX121:BI121)</f>
        <v>1228320</v>
      </c>
      <c r="BO121" s="325"/>
      <c r="BP121" s="325"/>
      <c r="BQ121" s="325"/>
      <c r="BR121" s="325"/>
      <c r="BS121" s="325"/>
      <c r="BT121" s="325"/>
      <c r="BU121" s="325"/>
      <c r="BV121" s="325"/>
      <c r="BW121" s="325"/>
      <c r="BX121" s="325"/>
      <c r="BY121" s="325"/>
      <c r="BZ121" s="325"/>
      <c r="CA121" s="325"/>
      <c r="CB121" s="325"/>
      <c r="CC121" s="325"/>
      <c r="CD121" s="325"/>
      <c r="CE121" s="325"/>
      <c r="CF121" s="325"/>
      <c r="CG121" s="325"/>
      <c r="CH121" s="325"/>
      <c r="CI121" s="325"/>
      <c r="CJ121" s="325"/>
      <c r="CK121" s="325"/>
      <c r="CL121" s="325"/>
      <c r="CM121" s="325"/>
      <c r="CN121" s="325"/>
      <c r="CO121" s="325"/>
      <c r="CP121" s="325"/>
      <c r="CQ121" s="325"/>
      <c r="CR121" s="325"/>
      <c r="CS121" s="325"/>
      <c r="CT121" s="325"/>
      <c r="CU121" s="325"/>
      <c r="CV121" s="325"/>
      <c r="CW121" s="325"/>
      <c r="CX121" s="325"/>
      <c r="CY121" s="325"/>
      <c r="CZ121" s="325"/>
      <c r="DA121" s="325"/>
      <c r="DB121" s="325"/>
      <c r="DC121" s="325"/>
      <c r="DD121" s="325"/>
      <c r="DE121" s="325"/>
      <c r="DF121" s="325"/>
      <c r="DG121" s="325"/>
      <c r="DH121" s="325"/>
      <c r="DI121" s="325"/>
      <c r="DJ121" s="325"/>
      <c r="DK121" s="325"/>
      <c r="DL121" s="325"/>
      <c r="DM121" s="325"/>
      <c r="DN121" s="325"/>
      <c r="DO121" s="325"/>
      <c r="DP121" s="325"/>
      <c r="DQ121" s="325"/>
      <c r="DR121" s="325"/>
      <c r="DS121" s="325"/>
      <c r="DT121" s="325"/>
      <c r="DU121" s="325"/>
      <c r="DV121" s="325"/>
      <c r="DW121" s="325"/>
      <c r="DX121" s="325"/>
      <c r="DY121" s="325"/>
      <c r="DZ121" s="325"/>
      <c r="EA121" s="325"/>
      <c r="EB121" s="325"/>
      <c r="EC121" s="325"/>
      <c r="ED121" s="325"/>
      <c r="EE121" s="325"/>
      <c r="EF121" s="325"/>
      <c r="EG121" s="325"/>
      <c r="EH121" s="325"/>
      <c r="EI121" s="325"/>
      <c r="EJ121" s="325"/>
      <c r="EK121" s="325"/>
      <c r="EL121" s="325"/>
      <c r="EM121" s="325"/>
      <c r="EN121" s="325"/>
      <c r="EO121" s="325"/>
      <c r="EP121" s="325"/>
      <c r="EQ121" s="325"/>
      <c r="ER121" s="325"/>
      <c r="ES121" s="325"/>
      <c r="ET121" s="325"/>
      <c r="EU121" s="325"/>
      <c r="EV121" s="325"/>
      <c r="EW121" s="325"/>
      <c r="EX121" s="325"/>
      <c r="EY121" s="325"/>
      <c r="EZ121" s="325"/>
      <c r="FA121" s="325"/>
      <c r="FB121" s="325"/>
      <c r="FC121" s="325"/>
      <c r="FD121" s="325"/>
      <c r="FE121" s="325"/>
      <c r="FF121" s="325"/>
      <c r="FG121" s="325"/>
      <c r="FH121" s="325"/>
      <c r="FI121" s="325"/>
      <c r="FJ121" s="325"/>
      <c r="FK121" s="325"/>
      <c r="FL121" s="325"/>
      <c r="FM121" s="325"/>
      <c r="FN121" s="325"/>
      <c r="FO121" s="325"/>
      <c r="FP121" s="325"/>
      <c r="FQ121" s="325"/>
      <c r="FR121" s="325"/>
      <c r="FS121" s="325"/>
      <c r="FT121" s="325"/>
      <c r="FU121" s="325"/>
      <c r="FV121" s="325"/>
      <c r="FW121" s="325"/>
      <c r="FX121" s="325"/>
      <c r="FY121" s="325"/>
      <c r="FZ121" s="325"/>
      <c r="GA121" s="325"/>
      <c r="GB121" s="325"/>
      <c r="GC121" s="325"/>
      <c r="GD121" s="325"/>
      <c r="GE121" s="325"/>
      <c r="GF121" s="325"/>
      <c r="GG121" s="325"/>
      <c r="GH121" s="325"/>
      <c r="GI121" s="325"/>
      <c r="GJ121" s="325"/>
      <c r="GK121" s="325"/>
      <c r="GL121" s="325"/>
    </row>
    <row r="122" customFormat="false" ht="24.75" hidden="false" customHeight="true" outlineLevel="0" collapsed="false">
      <c r="A122" s="390" t="s">
        <v>1564</v>
      </c>
      <c r="B122" s="411"/>
      <c r="C122" s="411"/>
      <c r="D122" s="412" t="n">
        <v>28.192</v>
      </c>
      <c r="E122" s="411" t="n">
        <f aca="false">$D122*E58</f>
        <v>1048.80952380953</v>
      </c>
      <c r="F122" s="411" t="n">
        <f aca="false">$D122*F58</f>
        <v>2097.61904761905</v>
      </c>
      <c r="G122" s="411" t="n">
        <f aca="false">$D122*G58</f>
        <v>4195.2380952381</v>
      </c>
      <c r="H122" s="411" t="n">
        <f aca="false">$D122*H58</f>
        <v>6292.85714285715</v>
      </c>
      <c r="I122" s="411" t="n">
        <f aca="false">$D122*I58</f>
        <v>8390.4761904762</v>
      </c>
      <c r="J122" s="411" t="n">
        <f aca="false">$D122*J58</f>
        <v>10488.0952380953</v>
      </c>
      <c r="K122" s="411" t="n">
        <f aca="false">$D122*K58</f>
        <v>12585.7142857143</v>
      </c>
      <c r="L122" s="411" t="n">
        <f aca="false">$D122*L58</f>
        <v>14683.3333333333</v>
      </c>
      <c r="M122" s="411" t="n">
        <f aca="false">$D122*M58</f>
        <v>16780.9523809524</v>
      </c>
      <c r="N122" s="393" t="n">
        <f aca="false">$D122*N58*1.05</f>
        <v>19822.5</v>
      </c>
      <c r="O122" s="393" t="n">
        <f aca="false">$D122*O58*1.05</f>
        <v>22025</v>
      </c>
      <c r="P122" s="393" t="n">
        <f aca="false">$D122*P58*1.05</f>
        <v>24227.5</v>
      </c>
      <c r="Q122" s="393" t="n">
        <f aca="false">$D122*Q58*1.05</f>
        <v>26430</v>
      </c>
      <c r="R122" s="393" t="n">
        <f aca="false">$D122*R58*1.05</f>
        <v>28632.5</v>
      </c>
      <c r="S122" s="393" t="n">
        <f aca="false">$D122*S58*1.05</f>
        <v>30835.0000000001</v>
      </c>
      <c r="T122" s="393" t="n">
        <f aca="false">$D122*T58*1.05</f>
        <v>33037.5</v>
      </c>
      <c r="U122" s="393" t="n">
        <f aca="false">$D122*U58*1.05</f>
        <v>35240</v>
      </c>
      <c r="V122" s="393" t="n">
        <f aca="false">$D122*V58*1.05</f>
        <v>37442.4999999999</v>
      </c>
      <c r="W122" s="393" t="n">
        <f aca="false">$D122*W58*1.05</f>
        <v>39644.9999999999</v>
      </c>
      <c r="X122" s="393" t="n">
        <f aca="false">$D122*X58*1.05</f>
        <v>41847.5000000001</v>
      </c>
      <c r="Y122" s="393" t="n">
        <f aca="false">$D122*Y58*1.05</f>
        <v>44050.0000000001</v>
      </c>
      <c r="Z122" s="394" t="n">
        <f aca="false">$D122*Z58*1.1</f>
        <v>80758.3333333334</v>
      </c>
      <c r="AA122" s="394" t="n">
        <f aca="false">$D122*AA58*1.1</f>
        <v>80758.3333333334</v>
      </c>
      <c r="AB122" s="394" t="n">
        <f aca="false">$D122*AB58*1.1</f>
        <v>80758.3333333334</v>
      </c>
      <c r="AC122" s="394" t="n">
        <f aca="false">$D122*AC58*1.1</f>
        <v>80758.3333333334</v>
      </c>
      <c r="AD122" s="394" t="n">
        <f aca="false">$D122*AD58*1.1</f>
        <v>80758.3333333334</v>
      </c>
      <c r="AE122" s="394" t="n">
        <f aca="false">$D122*AE58*1.1</f>
        <v>80758.3333333334</v>
      </c>
      <c r="AF122" s="394" t="n">
        <f aca="false">$D122*AF58*1.1</f>
        <v>80758.3333333334</v>
      </c>
      <c r="AG122" s="394" t="n">
        <f aca="false">$D122*AG58*1.1</f>
        <v>80758.3333333334</v>
      </c>
      <c r="AH122" s="394" t="n">
        <f aca="false">$D122*AH58*1.1</f>
        <v>80758.3333333334</v>
      </c>
      <c r="AI122" s="394" t="n">
        <f aca="false">$D122*AI58*1.1</f>
        <v>80758.3333333334</v>
      </c>
      <c r="AJ122" s="394" t="n">
        <f aca="false">$D122*AJ58*1.1</f>
        <v>80758.3333333334</v>
      </c>
      <c r="AK122" s="394" t="n">
        <f aca="false">$D122*AK58*1.1</f>
        <v>80758.3333333334</v>
      </c>
      <c r="AL122" s="395" t="n">
        <f aca="false">$D122*AL58*1.15</f>
        <v>84429.1666666668</v>
      </c>
      <c r="AM122" s="395" t="n">
        <f aca="false">$D122*AM58*1.15</f>
        <v>84429.1666666668</v>
      </c>
      <c r="AN122" s="395" t="n">
        <f aca="false">$D122*AN58*1.15</f>
        <v>84429.1666666668</v>
      </c>
      <c r="AO122" s="395" t="n">
        <f aca="false">$D122*AO58*1.15</f>
        <v>84429.1666666668</v>
      </c>
      <c r="AP122" s="395" t="n">
        <f aca="false">$D122*AP58*1.15</f>
        <v>84429.1666666668</v>
      </c>
      <c r="AQ122" s="395" t="n">
        <f aca="false">$D122*AQ58*1.15</f>
        <v>84429.1666666668</v>
      </c>
      <c r="AR122" s="395" t="n">
        <f aca="false">$D122*AR58*1.15</f>
        <v>84429.1666666668</v>
      </c>
      <c r="AS122" s="395" t="n">
        <f aca="false">$D122*AS58*1.15</f>
        <v>84429.1666666668</v>
      </c>
      <c r="AT122" s="395" t="n">
        <f aca="false">$D122*AT58*1.15</f>
        <v>84429.1666666668</v>
      </c>
      <c r="AU122" s="395" t="n">
        <f aca="false">$D122*AU58*1.15</f>
        <v>84429.1666666668</v>
      </c>
      <c r="AV122" s="395" t="n">
        <f aca="false">$D122*AV58*1.15</f>
        <v>84429.1666666668</v>
      </c>
      <c r="AW122" s="395" t="n">
        <f aca="false">$D122*AW58*1.15</f>
        <v>84429.1666666668</v>
      </c>
      <c r="AX122" s="396" t="n">
        <f aca="false">$D122*AX58*1.2</f>
        <v>88100.0000000001</v>
      </c>
      <c r="AY122" s="396" t="n">
        <f aca="false">$D122*AY58*1.2</f>
        <v>88100.0000000001</v>
      </c>
      <c r="AZ122" s="396" t="n">
        <f aca="false">$D122*AZ58*1.2</f>
        <v>88100.0000000001</v>
      </c>
      <c r="BA122" s="396" t="n">
        <f aca="false">$D122*BA58*1.2</f>
        <v>88100.0000000001</v>
      </c>
      <c r="BB122" s="396" t="n">
        <f aca="false">$D122*BB58*1.2</f>
        <v>88100.0000000001</v>
      </c>
      <c r="BC122" s="396" t="n">
        <f aca="false">$D122*BC58*1.2</f>
        <v>88100.0000000001</v>
      </c>
      <c r="BD122" s="396" t="n">
        <f aca="false">$D122*BD58*1.2</f>
        <v>88100.0000000001</v>
      </c>
      <c r="BE122" s="396" t="n">
        <f aca="false">$D122*BE58*1.2</f>
        <v>88100.0000000001</v>
      </c>
      <c r="BF122" s="396" t="n">
        <f aca="false">$D122*BF58*1.2</f>
        <v>88100.0000000001</v>
      </c>
      <c r="BG122" s="396" t="n">
        <f aca="false">$D122*BG58*1.2</f>
        <v>88100.0000000001</v>
      </c>
      <c r="BH122" s="396" t="n">
        <f aca="false">$D122*BH58*1.2</f>
        <v>88100.0000000001</v>
      </c>
      <c r="BI122" s="396" t="n">
        <f aca="false">$D122*BI58*1.2</f>
        <v>88100.0000000001</v>
      </c>
      <c r="BJ122" s="413" t="n">
        <f aca="false">SUM(E122:M122)</f>
        <v>76563.0952380953</v>
      </c>
      <c r="BK122" s="413" t="n">
        <f aca="false">SUM(N122:Y122)</f>
        <v>383235</v>
      </c>
      <c r="BL122" s="413" t="n">
        <f aca="false">SUM(Z122:AK122)</f>
        <v>969100.000000001</v>
      </c>
      <c r="BM122" s="413" t="n">
        <f aca="false">SUM(AL122:AW122)</f>
        <v>1013150</v>
      </c>
      <c r="BN122" s="413" t="n">
        <f aca="false">SUM(AX122:BI122)</f>
        <v>1057200</v>
      </c>
      <c r="BO122" s="325"/>
      <c r="BP122" s="325"/>
      <c r="BQ122" s="325"/>
      <c r="BR122" s="325"/>
      <c r="BS122" s="325"/>
      <c r="BT122" s="325"/>
      <c r="BU122" s="325"/>
      <c r="BV122" s="325"/>
      <c r="BW122" s="325"/>
      <c r="BX122" s="325"/>
      <c r="BY122" s="325"/>
      <c r="BZ122" s="325"/>
      <c r="CA122" s="325"/>
      <c r="CB122" s="325"/>
      <c r="CC122" s="325"/>
      <c r="CD122" s="325"/>
      <c r="CE122" s="325"/>
      <c r="CF122" s="325"/>
      <c r="CG122" s="325"/>
      <c r="CH122" s="325"/>
      <c r="CI122" s="325"/>
      <c r="CJ122" s="325"/>
      <c r="CK122" s="325"/>
      <c r="CL122" s="325"/>
      <c r="CM122" s="325"/>
      <c r="CN122" s="325"/>
      <c r="CO122" s="325"/>
      <c r="CP122" s="325"/>
      <c r="CQ122" s="325"/>
      <c r="CR122" s="325"/>
      <c r="CS122" s="325"/>
      <c r="CT122" s="325"/>
      <c r="CU122" s="325"/>
      <c r="CV122" s="325"/>
      <c r="CW122" s="325"/>
      <c r="CX122" s="325"/>
      <c r="CY122" s="325"/>
      <c r="CZ122" s="325"/>
      <c r="DA122" s="325"/>
      <c r="DB122" s="325"/>
      <c r="DC122" s="325"/>
      <c r="DD122" s="325"/>
      <c r="DE122" s="325"/>
      <c r="DF122" s="325"/>
      <c r="DG122" s="325"/>
      <c r="DH122" s="325"/>
      <c r="DI122" s="325"/>
      <c r="DJ122" s="325"/>
      <c r="DK122" s="325"/>
      <c r="DL122" s="325"/>
      <c r="DM122" s="325"/>
      <c r="DN122" s="325"/>
      <c r="DO122" s="325"/>
      <c r="DP122" s="325"/>
      <c r="DQ122" s="325"/>
      <c r="DR122" s="325"/>
      <c r="DS122" s="325"/>
      <c r="DT122" s="325"/>
      <c r="DU122" s="325"/>
      <c r="DV122" s="325"/>
      <c r="DW122" s="325"/>
      <c r="DX122" s="325"/>
      <c r="DY122" s="325"/>
      <c r="DZ122" s="325"/>
      <c r="EA122" s="325"/>
      <c r="EB122" s="325"/>
      <c r="EC122" s="325"/>
      <c r="ED122" s="325"/>
      <c r="EE122" s="325"/>
      <c r="EF122" s="325"/>
      <c r="EG122" s="325"/>
      <c r="EH122" s="325"/>
      <c r="EI122" s="325"/>
      <c r="EJ122" s="325"/>
      <c r="EK122" s="325"/>
      <c r="EL122" s="325"/>
      <c r="EM122" s="325"/>
      <c r="EN122" s="325"/>
      <c r="EO122" s="325"/>
      <c r="EP122" s="325"/>
      <c r="EQ122" s="325"/>
      <c r="ER122" s="325"/>
      <c r="ES122" s="325"/>
      <c r="ET122" s="325"/>
      <c r="EU122" s="325"/>
      <c r="EV122" s="325"/>
      <c r="EW122" s="325"/>
      <c r="EX122" s="325"/>
      <c r="EY122" s="325"/>
      <c r="EZ122" s="325"/>
      <c r="FA122" s="325"/>
      <c r="FB122" s="325"/>
      <c r="FC122" s="325"/>
      <c r="FD122" s="325"/>
      <c r="FE122" s="325"/>
      <c r="FF122" s="325"/>
      <c r="FG122" s="325"/>
      <c r="FH122" s="325"/>
      <c r="FI122" s="325"/>
      <c r="FJ122" s="325"/>
      <c r="FK122" s="325"/>
      <c r="FL122" s="325"/>
      <c r="FM122" s="325"/>
      <c r="FN122" s="325"/>
      <c r="FO122" s="325"/>
      <c r="FP122" s="325"/>
      <c r="FQ122" s="325"/>
      <c r="FR122" s="325"/>
      <c r="FS122" s="325"/>
      <c r="FT122" s="325"/>
      <c r="FU122" s="325"/>
      <c r="FV122" s="325"/>
      <c r="FW122" s="325"/>
      <c r="FX122" s="325"/>
      <c r="FY122" s="325"/>
      <c r="FZ122" s="325"/>
      <c r="GA122" s="325"/>
      <c r="GB122" s="325"/>
      <c r="GC122" s="325"/>
      <c r="GD122" s="325"/>
      <c r="GE122" s="325"/>
      <c r="GF122" s="325"/>
      <c r="GG122" s="325"/>
      <c r="GH122" s="325"/>
      <c r="GI122" s="325"/>
      <c r="GJ122" s="325"/>
      <c r="GK122" s="325"/>
      <c r="GL122" s="325"/>
    </row>
    <row r="123" customFormat="false" ht="24.75" hidden="false" customHeight="true" outlineLevel="0" collapsed="false">
      <c r="A123" s="390" t="s">
        <v>1565</v>
      </c>
      <c r="B123" s="411"/>
      <c r="C123" s="411"/>
      <c r="D123" s="412" t="n">
        <v>24.162</v>
      </c>
      <c r="E123" s="411" t="n">
        <f aca="false">$D123*E59</f>
        <v>2696.65178571429</v>
      </c>
      <c r="F123" s="411" t="n">
        <f aca="false">$D123*F59</f>
        <v>5393.30357142858</v>
      </c>
      <c r="G123" s="411" t="n">
        <f aca="false">$D123*G59</f>
        <v>10786.6071428572</v>
      </c>
      <c r="H123" s="411" t="n">
        <f aca="false">$D123*H59</f>
        <v>16179.9107142857</v>
      </c>
      <c r="I123" s="411" t="n">
        <f aca="false">$D123*I59</f>
        <v>21573.2142857143</v>
      </c>
      <c r="J123" s="411" t="n">
        <f aca="false">$D123*J59</f>
        <v>26966.5178571429</v>
      </c>
      <c r="K123" s="411" t="n">
        <f aca="false">$D123*K59</f>
        <v>32359.8214285713</v>
      </c>
      <c r="L123" s="411" t="n">
        <f aca="false">$D123*L59</f>
        <v>37753.125</v>
      </c>
      <c r="M123" s="411" t="n">
        <f aca="false">$D123*M59</f>
        <v>43146.4285714287</v>
      </c>
      <c r="N123" s="393" t="n">
        <f aca="false">$D123*N59*1.05</f>
        <v>50966.71875</v>
      </c>
      <c r="O123" s="393" t="n">
        <f aca="false">$D123*O59*1.05</f>
        <v>56629.6875000001</v>
      </c>
      <c r="P123" s="393" t="n">
        <f aca="false">$D123*P59*1.05</f>
        <v>62292.6562499999</v>
      </c>
      <c r="Q123" s="393" t="n">
        <f aca="false">$D123*Q59*1.05</f>
        <v>67955.625</v>
      </c>
      <c r="R123" s="393" t="n">
        <f aca="false">$D123*R59*1.05</f>
        <v>73618.5937500002</v>
      </c>
      <c r="S123" s="393" t="n">
        <f aca="false">$D123*S59*1.05</f>
        <v>79281.5625</v>
      </c>
      <c r="T123" s="393" t="n">
        <f aca="false">$D123*T59*1.05</f>
        <v>84944.5312500001</v>
      </c>
      <c r="U123" s="393" t="n">
        <f aca="false">$D123*U59*1.05</f>
        <v>90607.5</v>
      </c>
      <c r="V123" s="393" t="n">
        <f aca="false">$D123*V59*1.05</f>
        <v>96270.4687500001</v>
      </c>
      <c r="W123" s="393" t="n">
        <f aca="false">$D123*W59*1.05</f>
        <v>101933.4375</v>
      </c>
      <c r="X123" s="393" t="n">
        <f aca="false">$D123*X59*1.05</f>
        <v>107596.40625</v>
      </c>
      <c r="Y123" s="393" t="n">
        <f aca="false">$D123*Y59*1.05</f>
        <v>113259.375</v>
      </c>
      <c r="Z123" s="394" t="n">
        <f aca="false">$D123*Z59*1.1</f>
        <v>207642.1875</v>
      </c>
      <c r="AA123" s="394" t="n">
        <f aca="false">$D123*AA59*1.1</f>
        <v>207642.1875</v>
      </c>
      <c r="AB123" s="394" t="n">
        <f aca="false">$D123*AB59*1.1</f>
        <v>207642.1875</v>
      </c>
      <c r="AC123" s="394" t="n">
        <f aca="false">$D123*AC59*1.1</f>
        <v>207642.1875</v>
      </c>
      <c r="AD123" s="394" t="n">
        <f aca="false">$D123*AD59*1.1</f>
        <v>207642.1875</v>
      </c>
      <c r="AE123" s="394" t="n">
        <f aca="false">$D123*AE59*1.1</f>
        <v>207642.1875</v>
      </c>
      <c r="AF123" s="394" t="n">
        <f aca="false">$D123*AF59*1.1</f>
        <v>207642.1875</v>
      </c>
      <c r="AG123" s="394" t="n">
        <f aca="false">$D123*AG59*1.1</f>
        <v>207642.1875</v>
      </c>
      <c r="AH123" s="394" t="n">
        <f aca="false">$D123*AH59*1.1</f>
        <v>207642.1875</v>
      </c>
      <c r="AI123" s="394" t="n">
        <f aca="false">$D123*AI59*1.1</f>
        <v>207642.1875</v>
      </c>
      <c r="AJ123" s="394" t="n">
        <f aca="false">$D123*AJ59*1.1</f>
        <v>207642.1875</v>
      </c>
      <c r="AK123" s="394" t="n">
        <f aca="false">$D123*AK59*1.1</f>
        <v>207642.1875</v>
      </c>
      <c r="AL123" s="395" t="n">
        <f aca="false">$D123*AL59*1.15</f>
        <v>217080.46875</v>
      </c>
      <c r="AM123" s="395" t="n">
        <f aca="false">$D123*AM59*1.15</f>
        <v>217080.46875</v>
      </c>
      <c r="AN123" s="395" t="n">
        <f aca="false">$D123*AN59*1.15</f>
        <v>217080.46875</v>
      </c>
      <c r="AO123" s="395" t="n">
        <f aca="false">$D123*AO59*1.15</f>
        <v>217080.46875</v>
      </c>
      <c r="AP123" s="395" t="n">
        <f aca="false">$D123*AP59*1.15</f>
        <v>217080.46875</v>
      </c>
      <c r="AQ123" s="395" t="n">
        <f aca="false">$D123*AQ59*1.15</f>
        <v>217080.46875</v>
      </c>
      <c r="AR123" s="395" t="n">
        <f aca="false">$D123*AR59*1.15</f>
        <v>217080.46875</v>
      </c>
      <c r="AS123" s="395" t="n">
        <f aca="false">$D123*AS59*1.15</f>
        <v>217080.46875</v>
      </c>
      <c r="AT123" s="395" t="n">
        <f aca="false">$D123*AT59*1.15</f>
        <v>217080.46875</v>
      </c>
      <c r="AU123" s="395" t="n">
        <f aca="false">$D123*AU59*1.15</f>
        <v>217080.46875</v>
      </c>
      <c r="AV123" s="395" t="n">
        <f aca="false">$D123*AV59*1.15</f>
        <v>217080.46875</v>
      </c>
      <c r="AW123" s="395" t="n">
        <f aca="false">$D123*AW59*1.15</f>
        <v>217080.46875</v>
      </c>
      <c r="AX123" s="396" t="n">
        <f aca="false">$D123*AX59*1.2</f>
        <v>226518.75</v>
      </c>
      <c r="AY123" s="396" t="n">
        <f aca="false">$D123*AY59*1.2</f>
        <v>226518.75</v>
      </c>
      <c r="AZ123" s="396" t="n">
        <f aca="false">$D123*AZ59*1.2</f>
        <v>226518.75</v>
      </c>
      <c r="BA123" s="396" t="n">
        <f aca="false">$D123*BA59*1.2</f>
        <v>226518.75</v>
      </c>
      <c r="BB123" s="396" t="n">
        <f aca="false">$D123*BB59*1.2</f>
        <v>226518.75</v>
      </c>
      <c r="BC123" s="396" t="n">
        <f aca="false">$D123*BC59*1.2</f>
        <v>226518.75</v>
      </c>
      <c r="BD123" s="396" t="n">
        <f aca="false">$D123*BD59*1.2</f>
        <v>226518.75</v>
      </c>
      <c r="BE123" s="396" t="n">
        <f aca="false">$D123*BE59*1.2</f>
        <v>226518.75</v>
      </c>
      <c r="BF123" s="396" t="n">
        <f aca="false">$D123*BF59*1.2</f>
        <v>226518.75</v>
      </c>
      <c r="BG123" s="396" t="n">
        <f aca="false">$D123*BG59*1.2</f>
        <v>226518.75</v>
      </c>
      <c r="BH123" s="396" t="n">
        <f aca="false">$D123*BH59*1.2</f>
        <v>226518.75</v>
      </c>
      <c r="BI123" s="396" t="n">
        <f aca="false">$D123*BI59*1.2</f>
        <v>226518.75</v>
      </c>
      <c r="BJ123" s="413" t="n">
        <f aca="false">SUM(E123:M123)</f>
        <v>196855.580357143</v>
      </c>
      <c r="BK123" s="413" t="n">
        <f aca="false">SUM(N123:Y123)</f>
        <v>985356.5625</v>
      </c>
      <c r="BL123" s="413" t="n">
        <f aca="false">SUM(Z123:AK123)</f>
        <v>2491706.25</v>
      </c>
      <c r="BM123" s="413" t="n">
        <f aca="false">SUM(AL123:AW123)</f>
        <v>2604965.625</v>
      </c>
      <c r="BN123" s="413" t="n">
        <f aca="false">SUM(AX123:BI123)</f>
        <v>2718225</v>
      </c>
      <c r="BO123" s="325"/>
      <c r="BP123" s="325"/>
      <c r="BQ123" s="325"/>
      <c r="BR123" s="325"/>
      <c r="BS123" s="325"/>
      <c r="BT123" s="325"/>
      <c r="BU123" s="325"/>
      <c r="BV123" s="325"/>
      <c r="BW123" s="325"/>
      <c r="BX123" s="325"/>
      <c r="BY123" s="325"/>
      <c r="BZ123" s="325"/>
      <c r="CA123" s="325"/>
      <c r="CB123" s="325"/>
      <c r="CC123" s="325"/>
      <c r="CD123" s="325"/>
      <c r="CE123" s="325"/>
      <c r="CF123" s="325"/>
      <c r="CG123" s="325"/>
      <c r="CH123" s="325"/>
      <c r="CI123" s="325"/>
      <c r="CJ123" s="325"/>
      <c r="CK123" s="325"/>
      <c r="CL123" s="325"/>
      <c r="CM123" s="325"/>
      <c r="CN123" s="325"/>
      <c r="CO123" s="325"/>
      <c r="CP123" s="325"/>
      <c r="CQ123" s="325"/>
      <c r="CR123" s="325"/>
      <c r="CS123" s="325"/>
      <c r="CT123" s="325"/>
      <c r="CU123" s="325"/>
      <c r="CV123" s="325"/>
      <c r="CW123" s="325"/>
      <c r="CX123" s="325"/>
      <c r="CY123" s="325"/>
      <c r="CZ123" s="325"/>
      <c r="DA123" s="325"/>
      <c r="DB123" s="325"/>
      <c r="DC123" s="325"/>
      <c r="DD123" s="325"/>
      <c r="DE123" s="325"/>
      <c r="DF123" s="325"/>
      <c r="DG123" s="325"/>
      <c r="DH123" s="325"/>
      <c r="DI123" s="325"/>
      <c r="DJ123" s="325"/>
      <c r="DK123" s="325"/>
      <c r="DL123" s="325"/>
      <c r="DM123" s="325"/>
      <c r="DN123" s="325"/>
      <c r="DO123" s="325"/>
      <c r="DP123" s="325"/>
      <c r="DQ123" s="325"/>
      <c r="DR123" s="325"/>
      <c r="DS123" s="325"/>
      <c r="DT123" s="325"/>
      <c r="DU123" s="325"/>
      <c r="DV123" s="325"/>
      <c r="DW123" s="325"/>
      <c r="DX123" s="325"/>
      <c r="DY123" s="325"/>
      <c r="DZ123" s="325"/>
      <c r="EA123" s="325"/>
      <c r="EB123" s="325"/>
      <c r="EC123" s="325"/>
      <c r="ED123" s="325"/>
      <c r="EE123" s="325"/>
      <c r="EF123" s="325"/>
      <c r="EG123" s="325"/>
      <c r="EH123" s="325"/>
      <c r="EI123" s="325"/>
      <c r="EJ123" s="325"/>
      <c r="EK123" s="325"/>
      <c r="EL123" s="325"/>
      <c r="EM123" s="325"/>
      <c r="EN123" s="325"/>
      <c r="EO123" s="325"/>
      <c r="EP123" s="325"/>
      <c r="EQ123" s="325"/>
      <c r="ER123" s="325"/>
      <c r="ES123" s="325"/>
      <c r="ET123" s="325"/>
      <c r="EU123" s="325"/>
      <c r="EV123" s="325"/>
      <c r="EW123" s="325"/>
      <c r="EX123" s="325"/>
      <c r="EY123" s="325"/>
      <c r="EZ123" s="325"/>
      <c r="FA123" s="325"/>
      <c r="FB123" s="325"/>
      <c r="FC123" s="325"/>
      <c r="FD123" s="325"/>
      <c r="FE123" s="325"/>
      <c r="FF123" s="325"/>
      <c r="FG123" s="325"/>
      <c r="FH123" s="325"/>
      <c r="FI123" s="325"/>
      <c r="FJ123" s="325"/>
      <c r="FK123" s="325"/>
      <c r="FL123" s="325"/>
      <c r="FM123" s="325"/>
      <c r="FN123" s="325"/>
      <c r="FO123" s="325"/>
      <c r="FP123" s="325"/>
      <c r="FQ123" s="325"/>
      <c r="FR123" s="325"/>
      <c r="FS123" s="325"/>
      <c r="FT123" s="325"/>
      <c r="FU123" s="325"/>
      <c r="FV123" s="325"/>
      <c r="FW123" s="325"/>
      <c r="FX123" s="325"/>
      <c r="FY123" s="325"/>
      <c r="FZ123" s="325"/>
      <c r="GA123" s="325"/>
      <c r="GB123" s="325"/>
      <c r="GC123" s="325"/>
      <c r="GD123" s="325"/>
      <c r="GE123" s="325"/>
      <c r="GF123" s="325"/>
      <c r="GG123" s="325"/>
      <c r="GH123" s="325"/>
      <c r="GI123" s="325"/>
      <c r="GJ123" s="325"/>
      <c r="GK123" s="325"/>
      <c r="GL123" s="325"/>
    </row>
    <row r="124" customFormat="false" ht="24.75" hidden="false" customHeight="true" outlineLevel="0" collapsed="false">
      <c r="A124" s="390" t="s">
        <v>1566</v>
      </c>
      <c r="B124" s="411"/>
      <c r="C124" s="411"/>
      <c r="D124" s="412" t="n">
        <v>19.016</v>
      </c>
      <c r="E124" s="411" t="n">
        <f aca="false">$D124*E60</f>
        <v>4244.64285714286</v>
      </c>
      <c r="F124" s="411" t="n">
        <f aca="false">$D124*F60</f>
        <v>8489.28571428573</v>
      </c>
      <c r="G124" s="411" t="n">
        <f aca="false">$D124*G60</f>
        <v>16978.5714285714</v>
      </c>
      <c r="H124" s="411" t="n">
        <f aca="false">$D124*H60</f>
        <v>25467.8571428571</v>
      </c>
      <c r="I124" s="411" t="n">
        <f aca="false">$D124*I60</f>
        <v>33957.1428571429</v>
      </c>
      <c r="J124" s="411" t="n">
        <f aca="false">$D124*J60</f>
        <v>42446.4285714286</v>
      </c>
      <c r="K124" s="411" t="n">
        <f aca="false">$D124*K60</f>
        <v>50935.7142857143</v>
      </c>
      <c r="L124" s="411" t="n">
        <f aca="false">$D124*L60</f>
        <v>59425</v>
      </c>
      <c r="M124" s="411" t="n">
        <f aca="false">$D124*M60</f>
        <v>67914.2857142857</v>
      </c>
      <c r="N124" s="393" t="n">
        <f aca="false">$D124*N60*1.05</f>
        <v>80223.7499999999</v>
      </c>
      <c r="O124" s="393" t="n">
        <f aca="false">$D124*O60*1.05</f>
        <v>89137.5000000001</v>
      </c>
      <c r="P124" s="393" t="n">
        <f aca="false">$D124*P60*1.05</f>
        <v>98051.2500000001</v>
      </c>
      <c r="Q124" s="393" t="n">
        <f aca="false">$D124*Q60*1.05</f>
        <v>106965</v>
      </c>
      <c r="R124" s="393" t="n">
        <f aca="false">$D124*R60*1.05</f>
        <v>115878.75</v>
      </c>
      <c r="S124" s="393" t="n">
        <f aca="false">$D124*S60*1.05</f>
        <v>124792.5</v>
      </c>
      <c r="T124" s="393" t="n">
        <f aca="false">$D124*T60*1.05</f>
        <v>133706.25</v>
      </c>
      <c r="U124" s="393" t="n">
        <f aca="false">$D124*U60*1.05</f>
        <v>142620</v>
      </c>
      <c r="V124" s="393" t="n">
        <f aca="false">$D124*V60*1.05</f>
        <v>151533.75</v>
      </c>
      <c r="W124" s="393" t="n">
        <f aca="false">$D124*W60*1.05</f>
        <v>160447.5</v>
      </c>
      <c r="X124" s="393" t="n">
        <f aca="false">$D124*X60*1.05</f>
        <v>169361.25</v>
      </c>
      <c r="Y124" s="393" t="n">
        <f aca="false">$D124*Y60*1.05</f>
        <v>178275</v>
      </c>
      <c r="Z124" s="394" t="n">
        <f aca="false">$D124*Z60*1.1</f>
        <v>326837.5</v>
      </c>
      <c r="AA124" s="394" t="n">
        <f aca="false">$D124*AA60*1.1</f>
        <v>326837.5</v>
      </c>
      <c r="AB124" s="394" t="n">
        <f aca="false">$D124*AB60*1.1</f>
        <v>326837.5</v>
      </c>
      <c r="AC124" s="394" t="n">
        <f aca="false">$D124*AC60*1.1</f>
        <v>326837.5</v>
      </c>
      <c r="AD124" s="394" t="n">
        <f aca="false">$D124*AD60*1.1</f>
        <v>326837.5</v>
      </c>
      <c r="AE124" s="394" t="n">
        <f aca="false">$D124*AE60*1.1</f>
        <v>326837.5</v>
      </c>
      <c r="AF124" s="394" t="n">
        <f aca="false">$D124*AF60*1.1</f>
        <v>326837.5</v>
      </c>
      <c r="AG124" s="394" t="n">
        <f aca="false">$D124*AG60*1.1</f>
        <v>326837.5</v>
      </c>
      <c r="AH124" s="394" t="n">
        <f aca="false">$D124*AH60*1.1</f>
        <v>326837.5</v>
      </c>
      <c r="AI124" s="394" t="n">
        <f aca="false">$D124*AI60*1.1</f>
        <v>326837.5</v>
      </c>
      <c r="AJ124" s="394" t="n">
        <f aca="false">$D124*AJ60*1.1</f>
        <v>326837.5</v>
      </c>
      <c r="AK124" s="394" t="n">
        <f aca="false">$D124*AK60*1.1</f>
        <v>326837.5</v>
      </c>
      <c r="AL124" s="395" t="n">
        <f aca="false">$D124*AL60*1.15</f>
        <v>341693.75</v>
      </c>
      <c r="AM124" s="395" t="n">
        <f aca="false">$D124*AM60*1.15</f>
        <v>341693.75</v>
      </c>
      <c r="AN124" s="395" t="n">
        <f aca="false">$D124*AN60*1.15</f>
        <v>341693.75</v>
      </c>
      <c r="AO124" s="395" t="n">
        <f aca="false">$D124*AO60*1.15</f>
        <v>341693.75</v>
      </c>
      <c r="AP124" s="395" t="n">
        <f aca="false">$D124*AP60*1.15</f>
        <v>341693.75</v>
      </c>
      <c r="AQ124" s="395" t="n">
        <f aca="false">$D124*AQ60*1.15</f>
        <v>341693.75</v>
      </c>
      <c r="AR124" s="395" t="n">
        <f aca="false">$D124*AR60*1.15</f>
        <v>341693.75</v>
      </c>
      <c r="AS124" s="395" t="n">
        <f aca="false">$D124*AS60*1.15</f>
        <v>341693.75</v>
      </c>
      <c r="AT124" s="395" t="n">
        <f aca="false">$D124*AT60*1.15</f>
        <v>341693.75</v>
      </c>
      <c r="AU124" s="395" t="n">
        <f aca="false">$D124*AU60*1.15</f>
        <v>341693.75</v>
      </c>
      <c r="AV124" s="395" t="n">
        <f aca="false">$D124*AV60*1.15</f>
        <v>341693.75</v>
      </c>
      <c r="AW124" s="395" t="n">
        <f aca="false">$D124*AW60*1.15</f>
        <v>341693.75</v>
      </c>
      <c r="AX124" s="396" t="n">
        <f aca="false">$D124*AX60*1.2</f>
        <v>356550</v>
      </c>
      <c r="AY124" s="396" t="n">
        <f aca="false">$D124*AY60*1.2</f>
        <v>356550</v>
      </c>
      <c r="AZ124" s="396" t="n">
        <f aca="false">$D124*AZ60*1.2</f>
        <v>356550</v>
      </c>
      <c r="BA124" s="396" t="n">
        <f aca="false">$D124*BA60*1.2</f>
        <v>356550</v>
      </c>
      <c r="BB124" s="396" t="n">
        <f aca="false">$D124*BB60*1.2</f>
        <v>356550</v>
      </c>
      <c r="BC124" s="396" t="n">
        <f aca="false">$D124*BC60*1.2</f>
        <v>356550</v>
      </c>
      <c r="BD124" s="396" t="n">
        <f aca="false">$D124*BD60*1.2</f>
        <v>356550</v>
      </c>
      <c r="BE124" s="396" t="n">
        <f aca="false">$D124*BE60*1.2</f>
        <v>356550</v>
      </c>
      <c r="BF124" s="396" t="n">
        <f aca="false">$D124*BF60*1.2</f>
        <v>356550</v>
      </c>
      <c r="BG124" s="396" t="n">
        <f aca="false">$D124*BG60*1.2</f>
        <v>356550</v>
      </c>
      <c r="BH124" s="396" t="n">
        <f aca="false">$D124*BH60*1.2</f>
        <v>356550</v>
      </c>
      <c r="BI124" s="396" t="n">
        <f aca="false">$D124*BI60*1.2</f>
        <v>356550</v>
      </c>
      <c r="BJ124" s="413" t="n">
        <f aca="false">SUM(E124:M124)</f>
        <v>309858.928571429</v>
      </c>
      <c r="BK124" s="413" t="n">
        <f aca="false">SUM(N124:Y124)</f>
        <v>1550992.5</v>
      </c>
      <c r="BL124" s="413" t="n">
        <f aca="false">SUM(Z124:AK124)</f>
        <v>3922050</v>
      </c>
      <c r="BM124" s="413" t="n">
        <f aca="false">SUM(AL124:AW124)</f>
        <v>4100325</v>
      </c>
      <c r="BN124" s="413" t="n">
        <f aca="false">SUM(AX124:BI124)</f>
        <v>4278600</v>
      </c>
      <c r="BO124" s="325"/>
      <c r="BP124" s="325"/>
      <c r="BQ124" s="325"/>
      <c r="BR124" s="325"/>
      <c r="BS124" s="325"/>
      <c r="BT124" s="325"/>
      <c r="BU124" s="325"/>
      <c r="BV124" s="325"/>
      <c r="BW124" s="325"/>
      <c r="BX124" s="325"/>
      <c r="BY124" s="325"/>
      <c r="BZ124" s="325"/>
      <c r="CA124" s="325"/>
      <c r="CB124" s="325"/>
      <c r="CC124" s="325"/>
      <c r="CD124" s="325"/>
      <c r="CE124" s="325"/>
      <c r="CF124" s="325"/>
      <c r="CG124" s="325"/>
      <c r="CH124" s="325"/>
      <c r="CI124" s="325"/>
      <c r="CJ124" s="325"/>
      <c r="CK124" s="325"/>
      <c r="CL124" s="325"/>
      <c r="CM124" s="325"/>
      <c r="CN124" s="325"/>
      <c r="CO124" s="325"/>
      <c r="CP124" s="325"/>
      <c r="CQ124" s="325"/>
      <c r="CR124" s="325"/>
      <c r="CS124" s="325"/>
      <c r="CT124" s="325"/>
      <c r="CU124" s="325"/>
      <c r="CV124" s="325"/>
      <c r="CW124" s="325"/>
      <c r="CX124" s="325"/>
      <c r="CY124" s="325"/>
      <c r="CZ124" s="325"/>
      <c r="DA124" s="325"/>
      <c r="DB124" s="325"/>
      <c r="DC124" s="325"/>
      <c r="DD124" s="325"/>
      <c r="DE124" s="325"/>
      <c r="DF124" s="325"/>
      <c r="DG124" s="325"/>
      <c r="DH124" s="325"/>
      <c r="DI124" s="325"/>
      <c r="DJ124" s="325"/>
      <c r="DK124" s="325"/>
      <c r="DL124" s="325"/>
      <c r="DM124" s="325"/>
      <c r="DN124" s="325"/>
      <c r="DO124" s="325"/>
      <c r="DP124" s="325"/>
      <c r="DQ124" s="325"/>
      <c r="DR124" s="325"/>
      <c r="DS124" s="325"/>
      <c r="DT124" s="325"/>
      <c r="DU124" s="325"/>
      <c r="DV124" s="325"/>
      <c r="DW124" s="325"/>
      <c r="DX124" s="325"/>
      <c r="DY124" s="325"/>
      <c r="DZ124" s="325"/>
      <c r="EA124" s="325"/>
      <c r="EB124" s="325"/>
      <c r="EC124" s="325"/>
      <c r="ED124" s="325"/>
      <c r="EE124" s="325"/>
      <c r="EF124" s="325"/>
      <c r="EG124" s="325"/>
      <c r="EH124" s="325"/>
      <c r="EI124" s="325"/>
      <c r="EJ124" s="325"/>
      <c r="EK124" s="325"/>
      <c r="EL124" s="325"/>
      <c r="EM124" s="325"/>
      <c r="EN124" s="325"/>
      <c r="EO124" s="325"/>
      <c r="EP124" s="325"/>
      <c r="EQ124" s="325"/>
      <c r="ER124" s="325"/>
      <c r="ES124" s="325"/>
      <c r="ET124" s="325"/>
      <c r="EU124" s="325"/>
      <c r="EV124" s="325"/>
      <c r="EW124" s="325"/>
      <c r="EX124" s="325"/>
      <c r="EY124" s="325"/>
      <c r="EZ124" s="325"/>
      <c r="FA124" s="325"/>
      <c r="FB124" s="325"/>
      <c r="FC124" s="325"/>
      <c r="FD124" s="325"/>
      <c r="FE124" s="325"/>
      <c r="FF124" s="325"/>
      <c r="FG124" s="325"/>
      <c r="FH124" s="325"/>
      <c r="FI124" s="325"/>
      <c r="FJ124" s="325"/>
      <c r="FK124" s="325"/>
      <c r="FL124" s="325"/>
      <c r="FM124" s="325"/>
      <c r="FN124" s="325"/>
      <c r="FO124" s="325"/>
      <c r="FP124" s="325"/>
      <c r="FQ124" s="325"/>
      <c r="FR124" s="325"/>
      <c r="FS124" s="325"/>
      <c r="FT124" s="325"/>
      <c r="FU124" s="325"/>
      <c r="FV124" s="325"/>
      <c r="FW124" s="325"/>
      <c r="FX124" s="325"/>
      <c r="FY124" s="325"/>
      <c r="FZ124" s="325"/>
      <c r="GA124" s="325"/>
      <c r="GB124" s="325"/>
      <c r="GC124" s="325"/>
      <c r="GD124" s="325"/>
      <c r="GE124" s="325"/>
      <c r="GF124" s="325"/>
      <c r="GG124" s="325"/>
      <c r="GH124" s="325"/>
      <c r="GI124" s="325"/>
      <c r="GJ124" s="325"/>
      <c r="GK124" s="325"/>
      <c r="GL124" s="325"/>
    </row>
    <row r="125" customFormat="false" ht="24.75" hidden="false" customHeight="true" outlineLevel="0" collapsed="false">
      <c r="A125" s="390" t="s">
        <v>1567</v>
      </c>
      <c r="B125" s="411"/>
      <c r="C125" s="411"/>
      <c r="D125" s="412" t="n">
        <v>14.7825</v>
      </c>
      <c r="E125" s="411" t="n">
        <f aca="false">$D125*E61</f>
        <v>4399.55357142858</v>
      </c>
      <c r="F125" s="411" t="n">
        <f aca="false">$D125*F61</f>
        <v>8799.10714285714</v>
      </c>
      <c r="G125" s="411" t="n">
        <f aca="false">$D125*G61</f>
        <v>17598.2142857143</v>
      </c>
      <c r="H125" s="411" t="n">
        <f aca="false">$D125*H61</f>
        <v>26397.3214285715</v>
      </c>
      <c r="I125" s="411" t="n">
        <f aca="false">$D125*I61</f>
        <v>35196.4285714286</v>
      </c>
      <c r="J125" s="411" t="n">
        <f aca="false">$D125*J61</f>
        <v>43995.5357142858</v>
      </c>
      <c r="K125" s="411" t="n">
        <f aca="false">$D125*K61</f>
        <v>52794.6428571428</v>
      </c>
      <c r="L125" s="411" t="n">
        <f aca="false">$D125*L61</f>
        <v>61593.7500000001</v>
      </c>
      <c r="M125" s="411" t="n">
        <f aca="false">$D125*M61</f>
        <v>70392.8571428571</v>
      </c>
      <c r="N125" s="393" t="n">
        <f aca="false">$D125*N61*1.05</f>
        <v>83151.5625</v>
      </c>
      <c r="O125" s="393" t="n">
        <f aca="false">$D125*O61*1.05</f>
        <v>92390.625</v>
      </c>
      <c r="P125" s="393" t="n">
        <f aca="false">$D125*P61*1.05</f>
        <v>101629.6875</v>
      </c>
      <c r="Q125" s="393" t="n">
        <f aca="false">$D125*Q61*1.05</f>
        <v>110868.75</v>
      </c>
      <c r="R125" s="393" t="n">
        <f aca="false">$D125*R61*1.05</f>
        <v>120107.8125</v>
      </c>
      <c r="S125" s="393" t="n">
        <f aca="false">$D125*S61*1.05</f>
        <v>129346.875</v>
      </c>
      <c r="T125" s="393" t="n">
        <f aca="false">$D125*T61*1.05</f>
        <v>138585.9375</v>
      </c>
      <c r="U125" s="393" t="n">
        <f aca="false">$D125*U61*1.05</f>
        <v>147825</v>
      </c>
      <c r="V125" s="393" t="n">
        <f aca="false">$D125*V61*1.05</f>
        <v>157064.0625</v>
      </c>
      <c r="W125" s="393" t="n">
        <f aca="false">$D125*W61*1.05</f>
        <v>166303.125</v>
      </c>
      <c r="X125" s="393" t="n">
        <f aca="false">$D125*X61*1.05</f>
        <v>175542.1875</v>
      </c>
      <c r="Y125" s="393" t="n">
        <f aca="false">$D125*Y61*1.05</f>
        <v>184781.25</v>
      </c>
      <c r="Z125" s="394" t="n">
        <f aca="false">$D125*Z61*1.1</f>
        <v>338765.625</v>
      </c>
      <c r="AA125" s="394" t="n">
        <f aca="false">$D125*AA61*1.1</f>
        <v>338765.625</v>
      </c>
      <c r="AB125" s="394" t="n">
        <f aca="false">$D125*AB61*1.1</f>
        <v>338765.625</v>
      </c>
      <c r="AC125" s="394" t="n">
        <f aca="false">$D125*AC61*1.1</f>
        <v>338765.625</v>
      </c>
      <c r="AD125" s="394" t="n">
        <f aca="false">$D125*AD61*1.1</f>
        <v>338765.625</v>
      </c>
      <c r="AE125" s="394" t="n">
        <f aca="false">$D125*AE61*1.1</f>
        <v>338765.625</v>
      </c>
      <c r="AF125" s="394" t="n">
        <f aca="false">$D125*AF61*1.1</f>
        <v>338765.625</v>
      </c>
      <c r="AG125" s="394" t="n">
        <f aca="false">$D125*AG61*1.1</f>
        <v>338765.625</v>
      </c>
      <c r="AH125" s="394" t="n">
        <f aca="false">$D125*AH61*1.1</f>
        <v>338765.625</v>
      </c>
      <c r="AI125" s="394" t="n">
        <f aca="false">$D125*AI61*1.1</f>
        <v>338765.625</v>
      </c>
      <c r="AJ125" s="394" t="n">
        <f aca="false">$D125*AJ61*1.1</f>
        <v>338765.625</v>
      </c>
      <c r="AK125" s="394" t="n">
        <f aca="false">$D125*AK61*1.1</f>
        <v>338765.625</v>
      </c>
      <c r="AL125" s="395" t="n">
        <f aca="false">$D125*AL61*1.15</f>
        <v>354164.062499999</v>
      </c>
      <c r="AM125" s="395" t="n">
        <f aca="false">$D125*AM61*1.15</f>
        <v>354164.062499999</v>
      </c>
      <c r="AN125" s="395" t="n">
        <f aca="false">$D125*AN61*1.15</f>
        <v>354164.062499999</v>
      </c>
      <c r="AO125" s="395" t="n">
        <f aca="false">$D125*AO61*1.15</f>
        <v>354164.062499999</v>
      </c>
      <c r="AP125" s="395" t="n">
        <f aca="false">$D125*AP61*1.15</f>
        <v>354164.062499999</v>
      </c>
      <c r="AQ125" s="395" t="n">
        <f aca="false">$D125*AQ61*1.15</f>
        <v>354164.062499999</v>
      </c>
      <c r="AR125" s="395" t="n">
        <f aca="false">$D125*AR61*1.15</f>
        <v>354164.062499999</v>
      </c>
      <c r="AS125" s="395" t="n">
        <f aca="false">$D125*AS61*1.15</f>
        <v>354164.062499999</v>
      </c>
      <c r="AT125" s="395" t="n">
        <f aca="false">$D125*AT61*1.15</f>
        <v>354164.062499999</v>
      </c>
      <c r="AU125" s="395" t="n">
        <f aca="false">$D125*AU61*1.15</f>
        <v>354164.062499999</v>
      </c>
      <c r="AV125" s="395" t="n">
        <f aca="false">$D125*AV61*1.15</f>
        <v>354164.062499999</v>
      </c>
      <c r="AW125" s="395" t="n">
        <f aca="false">$D125*AW61*1.15</f>
        <v>354164.062499999</v>
      </c>
      <c r="AX125" s="396" t="n">
        <f aca="false">$D125*AX61*1.2</f>
        <v>369562.499999999</v>
      </c>
      <c r="AY125" s="396" t="n">
        <f aca="false">$D125*AY61*1.2</f>
        <v>369562.499999999</v>
      </c>
      <c r="AZ125" s="396" t="n">
        <f aca="false">$D125*AZ61*1.2</f>
        <v>369562.499999999</v>
      </c>
      <c r="BA125" s="396" t="n">
        <f aca="false">$D125*BA61*1.2</f>
        <v>369562.499999999</v>
      </c>
      <c r="BB125" s="396" t="n">
        <f aca="false">$D125*BB61*1.2</f>
        <v>369562.499999999</v>
      </c>
      <c r="BC125" s="396" t="n">
        <f aca="false">$D125*BC61*1.2</f>
        <v>369562.499999999</v>
      </c>
      <c r="BD125" s="396" t="n">
        <f aca="false">$D125*BD61*1.2</f>
        <v>369562.499999999</v>
      </c>
      <c r="BE125" s="396" t="n">
        <f aca="false">$D125*BE61*1.2</f>
        <v>369562.499999999</v>
      </c>
      <c r="BF125" s="396" t="n">
        <f aca="false">$D125*BF61*1.2</f>
        <v>369562.499999999</v>
      </c>
      <c r="BG125" s="396" t="n">
        <f aca="false">$D125*BG61*1.2</f>
        <v>369562.499999999</v>
      </c>
      <c r="BH125" s="396" t="n">
        <f aca="false">$D125*BH61*1.2</f>
        <v>369562.499999999</v>
      </c>
      <c r="BI125" s="396" t="n">
        <f aca="false">$D125*BI61*1.2</f>
        <v>369562.499999999</v>
      </c>
      <c r="BJ125" s="413" t="n">
        <f aca="false">SUM(E125:M125)</f>
        <v>321167.410714286</v>
      </c>
      <c r="BK125" s="413" t="n">
        <f aca="false">SUM(N125:Y125)</f>
        <v>1607596.875</v>
      </c>
      <c r="BL125" s="413" t="n">
        <f aca="false">SUM(Z125:AK125)</f>
        <v>4065187.49999999</v>
      </c>
      <c r="BM125" s="413" t="n">
        <f aca="false">SUM(AL125:AW125)</f>
        <v>4249968.74999999</v>
      </c>
      <c r="BN125" s="413" t="n">
        <f aca="false">SUM(AX125:BI125)</f>
        <v>4434749.99999999</v>
      </c>
      <c r="BO125" s="325"/>
      <c r="BP125" s="325"/>
      <c r="BQ125" s="325"/>
      <c r="BR125" s="325"/>
      <c r="BS125" s="325"/>
      <c r="BT125" s="325"/>
      <c r="BU125" s="325"/>
      <c r="BV125" s="325"/>
      <c r="BW125" s="325"/>
      <c r="BX125" s="325"/>
      <c r="BY125" s="325"/>
      <c r="BZ125" s="325"/>
      <c r="CA125" s="325"/>
      <c r="CB125" s="325"/>
      <c r="CC125" s="325"/>
      <c r="CD125" s="325"/>
      <c r="CE125" s="325"/>
      <c r="CF125" s="325"/>
      <c r="CG125" s="325"/>
      <c r="CH125" s="325"/>
      <c r="CI125" s="325"/>
      <c r="CJ125" s="325"/>
      <c r="CK125" s="325"/>
      <c r="CL125" s="325"/>
      <c r="CM125" s="325"/>
      <c r="CN125" s="325"/>
      <c r="CO125" s="325"/>
      <c r="CP125" s="325"/>
      <c r="CQ125" s="325"/>
      <c r="CR125" s="325"/>
      <c r="CS125" s="325"/>
      <c r="CT125" s="325"/>
      <c r="CU125" s="325"/>
      <c r="CV125" s="325"/>
      <c r="CW125" s="325"/>
      <c r="CX125" s="325"/>
      <c r="CY125" s="325"/>
      <c r="CZ125" s="325"/>
      <c r="DA125" s="325"/>
      <c r="DB125" s="325"/>
      <c r="DC125" s="325"/>
      <c r="DD125" s="325"/>
      <c r="DE125" s="325"/>
      <c r="DF125" s="325"/>
      <c r="DG125" s="325"/>
      <c r="DH125" s="325"/>
      <c r="DI125" s="325"/>
      <c r="DJ125" s="325"/>
      <c r="DK125" s="325"/>
      <c r="DL125" s="325"/>
      <c r="DM125" s="325"/>
      <c r="DN125" s="325"/>
      <c r="DO125" s="325"/>
      <c r="DP125" s="325"/>
      <c r="DQ125" s="325"/>
      <c r="DR125" s="325"/>
      <c r="DS125" s="325"/>
      <c r="DT125" s="325"/>
      <c r="DU125" s="325"/>
      <c r="DV125" s="325"/>
      <c r="DW125" s="325"/>
      <c r="DX125" s="325"/>
      <c r="DY125" s="325"/>
      <c r="DZ125" s="325"/>
      <c r="EA125" s="325"/>
      <c r="EB125" s="325"/>
      <c r="EC125" s="325"/>
      <c r="ED125" s="325"/>
      <c r="EE125" s="325"/>
      <c r="EF125" s="325"/>
      <c r="EG125" s="325"/>
      <c r="EH125" s="325"/>
      <c r="EI125" s="325"/>
      <c r="EJ125" s="325"/>
      <c r="EK125" s="325"/>
      <c r="EL125" s="325"/>
      <c r="EM125" s="325"/>
      <c r="EN125" s="325"/>
      <c r="EO125" s="325"/>
      <c r="EP125" s="325"/>
      <c r="EQ125" s="325"/>
      <c r="ER125" s="325"/>
      <c r="ES125" s="325"/>
      <c r="ET125" s="325"/>
      <c r="EU125" s="325"/>
      <c r="EV125" s="325"/>
      <c r="EW125" s="325"/>
      <c r="EX125" s="325"/>
      <c r="EY125" s="325"/>
      <c r="EZ125" s="325"/>
      <c r="FA125" s="325"/>
      <c r="FB125" s="325"/>
      <c r="FC125" s="325"/>
      <c r="FD125" s="325"/>
      <c r="FE125" s="325"/>
      <c r="FF125" s="325"/>
      <c r="FG125" s="325"/>
      <c r="FH125" s="325"/>
      <c r="FI125" s="325"/>
      <c r="FJ125" s="325"/>
      <c r="FK125" s="325"/>
      <c r="FL125" s="325"/>
      <c r="FM125" s="325"/>
      <c r="FN125" s="325"/>
      <c r="FO125" s="325"/>
      <c r="FP125" s="325"/>
      <c r="FQ125" s="325"/>
      <c r="FR125" s="325"/>
      <c r="FS125" s="325"/>
      <c r="FT125" s="325"/>
      <c r="FU125" s="325"/>
      <c r="FV125" s="325"/>
      <c r="FW125" s="325"/>
      <c r="FX125" s="325"/>
      <c r="FY125" s="325"/>
      <c r="FZ125" s="325"/>
      <c r="GA125" s="325"/>
      <c r="GB125" s="325"/>
      <c r="GC125" s="325"/>
      <c r="GD125" s="325"/>
      <c r="GE125" s="325"/>
      <c r="GF125" s="325"/>
      <c r="GG125" s="325"/>
      <c r="GH125" s="325"/>
      <c r="GI125" s="325"/>
      <c r="GJ125" s="325"/>
      <c r="GK125" s="325"/>
      <c r="GL125" s="325"/>
    </row>
    <row r="126" customFormat="false" ht="24.75" hidden="false" customHeight="true" outlineLevel="0" collapsed="false">
      <c r="A126" s="390" t="s">
        <v>1568</v>
      </c>
      <c r="B126" s="411"/>
      <c r="C126" s="411"/>
      <c r="D126" s="412" t="n">
        <v>13.0458</v>
      </c>
      <c r="E126" s="411" t="n">
        <f aca="false">$D126*E62</f>
        <v>3882.67857142858</v>
      </c>
      <c r="F126" s="411" t="n">
        <f aca="false">$D126*F62</f>
        <v>7765.35714285714</v>
      </c>
      <c r="G126" s="411" t="n">
        <f aca="false">$D126*G62</f>
        <v>15530.7142857143</v>
      </c>
      <c r="H126" s="411" t="n">
        <f aca="false">$D126*H62</f>
        <v>23296.0714285715</v>
      </c>
      <c r="I126" s="411" t="n">
        <f aca="false">$D126*I62</f>
        <v>31061.4285714286</v>
      </c>
      <c r="J126" s="411" t="n">
        <f aca="false">$D126*J62</f>
        <v>38826.7857142858</v>
      </c>
      <c r="K126" s="411" t="n">
        <f aca="false">$D126*K62</f>
        <v>46592.1428571428</v>
      </c>
      <c r="L126" s="411" t="n">
        <f aca="false">$D126*L62</f>
        <v>54357.5</v>
      </c>
      <c r="M126" s="411" t="n">
        <f aca="false">$D126*M62</f>
        <v>62122.8571428571</v>
      </c>
      <c r="N126" s="393" t="n">
        <f aca="false">$D126*N62*1.05</f>
        <v>73382.625</v>
      </c>
      <c r="O126" s="393" t="n">
        <f aca="false">$D126*O62*1.05</f>
        <v>81536.25</v>
      </c>
      <c r="P126" s="393" t="n">
        <f aca="false">$D126*P62*1.05</f>
        <v>89689.875</v>
      </c>
      <c r="Q126" s="393" t="n">
        <f aca="false">$D126*Q62*1.05</f>
        <v>97843.5</v>
      </c>
      <c r="R126" s="393" t="n">
        <f aca="false">$D126*R62*1.05</f>
        <v>105997.125</v>
      </c>
      <c r="S126" s="393" t="n">
        <f aca="false">$D126*S62*1.05</f>
        <v>114150.75</v>
      </c>
      <c r="T126" s="393" t="n">
        <f aca="false">$D126*T62*1.05</f>
        <v>122304.375</v>
      </c>
      <c r="U126" s="393" t="n">
        <f aca="false">$D126*U62*1.05</f>
        <v>130458</v>
      </c>
      <c r="V126" s="393" t="n">
        <f aca="false">$D126*V62*1.05</f>
        <v>138611.625</v>
      </c>
      <c r="W126" s="393" t="n">
        <f aca="false">$D126*W62*1.05</f>
        <v>146765.25</v>
      </c>
      <c r="X126" s="393" t="n">
        <f aca="false">$D126*X62*1.05</f>
        <v>154918.875</v>
      </c>
      <c r="Y126" s="393" t="n">
        <f aca="false">$D126*Y62*1.05</f>
        <v>163072.5</v>
      </c>
      <c r="Z126" s="394" t="n">
        <f aca="false">$D126*Z62*1.1</f>
        <v>298966.25</v>
      </c>
      <c r="AA126" s="394" t="n">
        <f aca="false">$D126*AA62*1.1</f>
        <v>298966.25</v>
      </c>
      <c r="AB126" s="394" t="n">
        <f aca="false">$D126*AB62*1.1</f>
        <v>298966.25</v>
      </c>
      <c r="AC126" s="394" t="n">
        <f aca="false">$D126*AC62*1.1</f>
        <v>298966.25</v>
      </c>
      <c r="AD126" s="394" t="n">
        <f aca="false">$D126*AD62*1.1</f>
        <v>298966.25</v>
      </c>
      <c r="AE126" s="394" t="n">
        <f aca="false">$D126*AE62*1.1</f>
        <v>298966.25</v>
      </c>
      <c r="AF126" s="394" t="n">
        <f aca="false">$D126*AF62*1.1</f>
        <v>298966.25</v>
      </c>
      <c r="AG126" s="394" t="n">
        <f aca="false">$D126*AG62*1.1</f>
        <v>298966.25</v>
      </c>
      <c r="AH126" s="394" t="n">
        <f aca="false">$D126*AH62*1.1</f>
        <v>298966.25</v>
      </c>
      <c r="AI126" s="394" t="n">
        <f aca="false">$D126*AI62*1.1</f>
        <v>298966.25</v>
      </c>
      <c r="AJ126" s="394" t="n">
        <f aca="false">$D126*AJ62*1.1</f>
        <v>298966.25</v>
      </c>
      <c r="AK126" s="394" t="n">
        <f aca="false">$D126*AK62*1.1</f>
        <v>298966.25</v>
      </c>
      <c r="AL126" s="395" t="n">
        <f aca="false">$D126*AL62*1.15</f>
        <v>312555.624999999</v>
      </c>
      <c r="AM126" s="395" t="n">
        <f aca="false">$D126*AM62*1.15</f>
        <v>312555.624999999</v>
      </c>
      <c r="AN126" s="395" t="n">
        <f aca="false">$D126*AN62*1.15</f>
        <v>312555.624999999</v>
      </c>
      <c r="AO126" s="395" t="n">
        <f aca="false">$D126*AO62*1.15</f>
        <v>312555.624999999</v>
      </c>
      <c r="AP126" s="395" t="n">
        <f aca="false">$D126*AP62*1.15</f>
        <v>312555.624999999</v>
      </c>
      <c r="AQ126" s="395" t="n">
        <f aca="false">$D126*AQ62*1.15</f>
        <v>312555.624999999</v>
      </c>
      <c r="AR126" s="395" t="n">
        <f aca="false">$D126*AR62*1.15</f>
        <v>312555.624999999</v>
      </c>
      <c r="AS126" s="395" t="n">
        <f aca="false">$D126*AS62*1.15</f>
        <v>312555.624999999</v>
      </c>
      <c r="AT126" s="395" t="n">
        <f aca="false">$D126*AT62*1.15</f>
        <v>312555.624999999</v>
      </c>
      <c r="AU126" s="395" t="n">
        <f aca="false">$D126*AU62*1.15</f>
        <v>312555.624999999</v>
      </c>
      <c r="AV126" s="395" t="n">
        <f aca="false">$D126*AV62*1.15</f>
        <v>312555.624999999</v>
      </c>
      <c r="AW126" s="395" t="n">
        <f aca="false">$D126*AW62*1.15</f>
        <v>312555.624999999</v>
      </c>
      <c r="AX126" s="396" t="n">
        <f aca="false">$D126*AX62*1.2</f>
        <v>326144.999999999</v>
      </c>
      <c r="AY126" s="396" t="n">
        <f aca="false">$D126*AY62*1.2</f>
        <v>326144.999999999</v>
      </c>
      <c r="AZ126" s="396" t="n">
        <f aca="false">$D126*AZ62*1.2</f>
        <v>326144.999999999</v>
      </c>
      <c r="BA126" s="396" t="n">
        <f aca="false">$D126*BA62*1.2</f>
        <v>326144.999999999</v>
      </c>
      <c r="BB126" s="396" t="n">
        <f aca="false">$D126*BB62*1.2</f>
        <v>326144.999999999</v>
      </c>
      <c r="BC126" s="396" t="n">
        <f aca="false">$D126*BC62*1.2</f>
        <v>326144.999999999</v>
      </c>
      <c r="BD126" s="396" t="n">
        <f aca="false">$D126*BD62*1.2</f>
        <v>326144.999999999</v>
      </c>
      <c r="BE126" s="396" t="n">
        <f aca="false">$D126*BE62*1.2</f>
        <v>326144.999999999</v>
      </c>
      <c r="BF126" s="396" t="n">
        <f aca="false">$D126*BF62*1.2</f>
        <v>326144.999999999</v>
      </c>
      <c r="BG126" s="396" t="n">
        <f aca="false">$D126*BG62*1.2</f>
        <v>326144.999999999</v>
      </c>
      <c r="BH126" s="396" t="n">
        <f aca="false">$D126*BH62*1.2</f>
        <v>326144.999999999</v>
      </c>
      <c r="BI126" s="396" t="n">
        <f aca="false">$D126*BI62*1.2</f>
        <v>326144.999999999</v>
      </c>
      <c r="BJ126" s="413" t="n">
        <f aca="false">SUM(E126:M126)</f>
        <v>283435.535714286</v>
      </c>
      <c r="BK126" s="413" t="n">
        <f aca="false">SUM(N126:Y126)</f>
        <v>1418730.75</v>
      </c>
      <c r="BL126" s="413" t="n">
        <f aca="false">SUM(Z126:AK126)</f>
        <v>3587594.99999999</v>
      </c>
      <c r="BM126" s="413" t="n">
        <f aca="false">SUM(AL126:AW126)</f>
        <v>3750667.49999999</v>
      </c>
      <c r="BN126" s="413" t="n">
        <f aca="false">SUM(AX126:BI126)</f>
        <v>3913739.99999999</v>
      </c>
      <c r="BO126" s="325"/>
      <c r="BP126" s="325"/>
      <c r="BQ126" s="325"/>
      <c r="BR126" s="325"/>
      <c r="BS126" s="325"/>
      <c r="BT126" s="325"/>
      <c r="BU126" s="325"/>
      <c r="BV126" s="325"/>
      <c r="BW126" s="325"/>
      <c r="BX126" s="325"/>
      <c r="BY126" s="325"/>
      <c r="BZ126" s="325"/>
      <c r="CA126" s="325"/>
      <c r="CB126" s="325"/>
      <c r="CC126" s="325"/>
      <c r="CD126" s="325"/>
      <c r="CE126" s="325"/>
      <c r="CF126" s="325"/>
      <c r="CG126" s="325"/>
      <c r="CH126" s="325"/>
      <c r="CI126" s="325"/>
      <c r="CJ126" s="325"/>
      <c r="CK126" s="325"/>
      <c r="CL126" s="325"/>
      <c r="CM126" s="325"/>
      <c r="CN126" s="325"/>
      <c r="CO126" s="325"/>
      <c r="CP126" s="325"/>
      <c r="CQ126" s="325"/>
      <c r="CR126" s="325"/>
      <c r="CS126" s="325"/>
      <c r="CT126" s="325"/>
      <c r="CU126" s="325"/>
      <c r="CV126" s="325"/>
      <c r="CW126" s="325"/>
      <c r="CX126" s="325"/>
      <c r="CY126" s="325"/>
      <c r="CZ126" s="325"/>
      <c r="DA126" s="325"/>
      <c r="DB126" s="325"/>
      <c r="DC126" s="325"/>
      <c r="DD126" s="325"/>
      <c r="DE126" s="325"/>
      <c r="DF126" s="325"/>
      <c r="DG126" s="325"/>
      <c r="DH126" s="325"/>
      <c r="DI126" s="325"/>
      <c r="DJ126" s="325"/>
      <c r="DK126" s="325"/>
      <c r="DL126" s="325"/>
      <c r="DM126" s="325"/>
      <c r="DN126" s="325"/>
      <c r="DO126" s="325"/>
      <c r="DP126" s="325"/>
      <c r="DQ126" s="325"/>
      <c r="DR126" s="325"/>
      <c r="DS126" s="325"/>
      <c r="DT126" s="325"/>
      <c r="DU126" s="325"/>
      <c r="DV126" s="325"/>
      <c r="DW126" s="325"/>
      <c r="DX126" s="325"/>
      <c r="DY126" s="325"/>
      <c r="DZ126" s="325"/>
      <c r="EA126" s="325"/>
      <c r="EB126" s="325"/>
      <c r="EC126" s="325"/>
      <c r="ED126" s="325"/>
      <c r="EE126" s="325"/>
      <c r="EF126" s="325"/>
      <c r="EG126" s="325"/>
      <c r="EH126" s="325"/>
      <c r="EI126" s="325"/>
      <c r="EJ126" s="325"/>
      <c r="EK126" s="325"/>
      <c r="EL126" s="325"/>
      <c r="EM126" s="325"/>
      <c r="EN126" s="325"/>
      <c r="EO126" s="325"/>
      <c r="EP126" s="325"/>
      <c r="EQ126" s="325"/>
      <c r="ER126" s="325"/>
      <c r="ES126" s="325"/>
      <c r="ET126" s="325"/>
      <c r="EU126" s="325"/>
      <c r="EV126" s="325"/>
      <c r="EW126" s="325"/>
      <c r="EX126" s="325"/>
      <c r="EY126" s="325"/>
      <c r="EZ126" s="325"/>
      <c r="FA126" s="325"/>
      <c r="FB126" s="325"/>
      <c r="FC126" s="325"/>
      <c r="FD126" s="325"/>
      <c r="FE126" s="325"/>
      <c r="FF126" s="325"/>
      <c r="FG126" s="325"/>
      <c r="FH126" s="325"/>
      <c r="FI126" s="325"/>
      <c r="FJ126" s="325"/>
      <c r="FK126" s="325"/>
      <c r="FL126" s="325"/>
      <c r="FM126" s="325"/>
      <c r="FN126" s="325"/>
      <c r="FO126" s="325"/>
      <c r="FP126" s="325"/>
      <c r="FQ126" s="325"/>
      <c r="FR126" s="325"/>
      <c r="FS126" s="325"/>
      <c r="FT126" s="325"/>
      <c r="FU126" s="325"/>
      <c r="FV126" s="325"/>
      <c r="FW126" s="325"/>
      <c r="FX126" s="325"/>
      <c r="FY126" s="325"/>
      <c r="FZ126" s="325"/>
      <c r="GA126" s="325"/>
      <c r="GB126" s="325"/>
      <c r="GC126" s="325"/>
      <c r="GD126" s="325"/>
      <c r="GE126" s="325"/>
      <c r="GF126" s="325"/>
      <c r="GG126" s="325"/>
      <c r="GH126" s="325"/>
      <c r="GI126" s="325"/>
      <c r="GJ126" s="325"/>
      <c r="GK126" s="325"/>
      <c r="GL126" s="325"/>
    </row>
    <row r="127" customFormat="false" ht="24.75" hidden="false" customHeight="true" outlineLevel="0" collapsed="false">
      <c r="A127" s="390" t="s">
        <v>1569</v>
      </c>
      <c r="B127" s="411"/>
      <c r="C127" s="411"/>
      <c r="D127" s="412" t="n">
        <v>12.5432</v>
      </c>
      <c r="E127" s="411" t="n">
        <f aca="false">$D127*E63</f>
        <v>4666.36904761905</v>
      </c>
      <c r="F127" s="411" t="n">
        <f aca="false">$D127*F63</f>
        <v>9332.7380952381</v>
      </c>
      <c r="G127" s="411" t="n">
        <f aca="false">$D127*G63</f>
        <v>18665.4761904762</v>
      </c>
      <c r="H127" s="411" t="n">
        <f aca="false">$D127*H63</f>
        <v>27998.2142857143</v>
      </c>
      <c r="I127" s="411" t="n">
        <f aca="false">$D127*I63</f>
        <v>37330.9523809524</v>
      </c>
      <c r="J127" s="411" t="n">
        <f aca="false">$D127*J63</f>
        <v>46663.6904761905</v>
      </c>
      <c r="K127" s="411" t="n">
        <f aca="false">$D127*K63</f>
        <v>55996.4285714286</v>
      </c>
      <c r="L127" s="411" t="n">
        <f aca="false">$D127*L63</f>
        <v>65329.1666666666</v>
      </c>
      <c r="M127" s="411" t="n">
        <f aca="false">$D127*M63</f>
        <v>74661.9047619047</v>
      </c>
      <c r="N127" s="393" t="n">
        <f aca="false">$D127*N63*1.05</f>
        <v>88194.375</v>
      </c>
      <c r="O127" s="393" t="n">
        <f aca="false">$D127*O63*1.05</f>
        <v>97993.75</v>
      </c>
      <c r="P127" s="393" t="n">
        <f aca="false">$D127*P63*1.05</f>
        <v>107793.125</v>
      </c>
      <c r="Q127" s="393" t="n">
        <f aca="false">$D127*Q63*1.05</f>
        <v>117592.5</v>
      </c>
      <c r="R127" s="393" t="n">
        <f aca="false">$D127*R63*1.05</f>
        <v>127391.875</v>
      </c>
      <c r="S127" s="393" t="n">
        <f aca="false">$D127*S63*1.05</f>
        <v>137191.25</v>
      </c>
      <c r="T127" s="393" t="n">
        <f aca="false">$D127*T63*1.05</f>
        <v>146990.625</v>
      </c>
      <c r="U127" s="393" t="n">
        <f aca="false">$D127*U63*1.05</f>
        <v>156790</v>
      </c>
      <c r="V127" s="393" t="n">
        <f aca="false">$D127*V63*1.05</f>
        <v>166589.375</v>
      </c>
      <c r="W127" s="393" t="n">
        <f aca="false">$D127*W63*1.05</f>
        <v>176388.749999999</v>
      </c>
      <c r="X127" s="393" t="n">
        <f aca="false">$D127*X63*1.05</f>
        <v>186188.125000001</v>
      </c>
      <c r="Y127" s="393" t="n">
        <f aca="false">$D127*Y63*1.05</f>
        <v>195987.5</v>
      </c>
      <c r="Z127" s="394" t="n">
        <f aca="false">$D127*Z63*1.1</f>
        <v>359310.416666667</v>
      </c>
      <c r="AA127" s="394" t="n">
        <f aca="false">$D127*AA63*1.1</f>
        <v>359310.416666667</v>
      </c>
      <c r="AB127" s="394" t="n">
        <f aca="false">$D127*AB63*1.1</f>
        <v>359310.416666667</v>
      </c>
      <c r="AC127" s="394" t="n">
        <f aca="false">$D127*AC63*1.1</f>
        <v>359310.416666667</v>
      </c>
      <c r="AD127" s="394" t="n">
        <f aca="false">$D127*AD63*1.1</f>
        <v>359310.416666667</v>
      </c>
      <c r="AE127" s="394" t="n">
        <f aca="false">$D127*AE63*1.1</f>
        <v>359310.416666667</v>
      </c>
      <c r="AF127" s="394" t="n">
        <f aca="false">$D127*AF63*1.1</f>
        <v>359310.416666667</v>
      </c>
      <c r="AG127" s="394" t="n">
        <f aca="false">$D127*AG63*1.1</f>
        <v>359310.416666667</v>
      </c>
      <c r="AH127" s="394" t="n">
        <f aca="false">$D127*AH63*1.1</f>
        <v>359310.416666667</v>
      </c>
      <c r="AI127" s="394" t="n">
        <f aca="false">$D127*AI63*1.1</f>
        <v>359310.416666667</v>
      </c>
      <c r="AJ127" s="394" t="n">
        <f aca="false">$D127*AJ63*1.1</f>
        <v>359310.416666667</v>
      </c>
      <c r="AK127" s="394" t="n">
        <f aca="false">$D127*AK63*1.1</f>
        <v>359310.416666667</v>
      </c>
      <c r="AL127" s="395" t="n">
        <f aca="false">$D127*AL63*1.15</f>
        <v>375642.708333334</v>
      </c>
      <c r="AM127" s="395" t="n">
        <f aca="false">$D127*AM63*1.15</f>
        <v>375642.708333334</v>
      </c>
      <c r="AN127" s="395" t="n">
        <f aca="false">$D127*AN63*1.15</f>
        <v>375642.708333334</v>
      </c>
      <c r="AO127" s="395" t="n">
        <f aca="false">$D127*AO63*1.15</f>
        <v>375642.708333334</v>
      </c>
      <c r="AP127" s="395" t="n">
        <f aca="false">$D127*AP63*1.15</f>
        <v>375642.708333334</v>
      </c>
      <c r="AQ127" s="395" t="n">
        <f aca="false">$D127*AQ63*1.15</f>
        <v>375642.708333334</v>
      </c>
      <c r="AR127" s="395" t="n">
        <f aca="false">$D127*AR63*1.15</f>
        <v>375642.708333334</v>
      </c>
      <c r="AS127" s="395" t="n">
        <f aca="false">$D127*AS63*1.15</f>
        <v>375642.708333334</v>
      </c>
      <c r="AT127" s="395" t="n">
        <f aca="false">$D127*AT63*1.15</f>
        <v>375642.708333334</v>
      </c>
      <c r="AU127" s="395" t="n">
        <f aca="false">$D127*AU63*1.15</f>
        <v>375642.708333334</v>
      </c>
      <c r="AV127" s="395" t="n">
        <f aca="false">$D127*AV63*1.15</f>
        <v>375642.708333334</v>
      </c>
      <c r="AW127" s="395" t="n">
        <f aca="false">$D127*AW63*1.15</f>
        <v>375642.708333334</v>
      </c>
      <c r="AX127" s="396" t="n">
        <f aca="false">$D127*AX63*1.2</f>
        <v>391975.000000001</v>
      </c>
      <c r="AY127" s="396" t="n">
        <f aca="false">$D127*AY63*1.2</f>
        <v>391975.000000001</v>
      </c>
      <c r="AZ127" s="396" t="n">
        <f aca="false">$D127*AZ63*1.2</f>
        <v>391975.000000001</v>
      </c>
      <c r="BA127" s="396" t="n">
        <f aca="false">$D127*BA63*1.2</f>
        <v>391975.000000001</v>
      </c>
      <c r="BB127" s="396" t="n">
        <f aca="false">$D127*BB63*1.2</f>
        <v>391975.000000001</v>
      </c>
      <c r="BC127" s="396" t="n">
        <f aca="false">$D127*BC63*1.2</f>
        <v>391975.000000001</v>
      </c>
      <c r="BD127" s="396" t="n">
        <f aca="false">$D127*BD63*1.2</f>
        <v>391975.000000001</v>
      </c>
      <c r="BE127" s="396" t="n">
        <f aca="false">$D127*BE63*1.2</f>
        <v>391975.000000001</v>
      </c>
      <c r="BF127" s="396" t="n">
        <f aca="false">$D127*BF63*1.2</f>
        <v>391975.000000001</v>
      </c>
      <c r="BG127" s="396" t="n">
        <f aca="false">$D127*BG63*1.2</f>
        <v>391975.000000001</v>
      </c>
      <c r="BH127" s="396" t="n">
        <f aca="false">$D127*BH63*1.2</f>
        <v>391975.000000001</v>
      </c>
      <c r="BI127" s="396" t="n">
        <f aca="false">$D127*BI63*1.2</f>
        <v>391975.000000001</v>
      </c>
      <c r="BJ127" s="413" t="n">
        <f aca="false">SUM(E127:M127)</f>
        <v>340644.940476191</v>
      </c>
      <c r="BK127" s="413" t="n">
        <f aca="false">SUM(N127:Y127)</f>
        <v>1705091.25</v>
      </c>
      <c r="BL127" s="413" t="n">
        <f aca="false">SUM(Z127:AK127)</f>
        <v>4311725.00000001</v>
      </c>
      <c r="BM127" s="413" t="n">
        <f aca="false">SUM(AL127:AW127)</f>
        <v>4507712.50000001</v>
      </c>
      <c r="BN127" s="413" t="n">
        <f aca="false">SUM(AX127:BI127)</f>
        <v>4703700.00000001</v>
      </c>
      <c r="BO127" s="325"/>
      <c r="BP127" s="325"/>
      <c r="BQ127" s="325"/>
      <c r="BR127" s="325"/>
      <c r="BS127" s="325"/>
      <c r="BT127" s="325"/>
      <c r="BU127" s="325"/>
      <c r="BV127" s="325"/>
      <c r="BW127" s="325"/>
      <c r="BX127" s="325"/>
      <c r="BY127" s="325"/>
      <c r="BZ127" s="325"/>
      <c r="CA127" s="325"/>
      <c r="CB127" s="325"/>
      <c r="CC127" s="325"/>
      <c r="CD127" s="325"/>
      <c r="CE127" s="325"/>
      <c r="CF127" s="325"/>
      <c r="CG127" s="325"/>
      <c r="CH127" s="325"/>
      <c r="CI127" s="325"/>
      <c r="CJ127" s="325"/>
      <c r="CK127" s="325"/>
      <c r="CL127" s="325"/>
      <c r="CM127" s="325"/>
      <c r="CN127" s="325"/>
      <c r="CO127" s="325"/>
      <c r="CP127" s="325"/>
      <c r="CQ127" s="325"/>
      <c r="CR127" s="325"/>
      <c r="CS127" s="325"/>
      <c r="CT127" s="325"/>
      <c r="CU127" s="325"/>
      <c r="CV127" s="325"/>
      <c r="CW127" s="325"/>
      <c r="CX127" s="325"/>
      <c r="CY127" s="325"/>
      <c r="CZ127" s="325"/>
      <c r="DA127" s="325"/>
      <c r="DB127" s="325"/>
      <c r="DC127" s="325"/>
      <c r="DD127" s="325"/>
      <c r="DE127" s="325"/>
      <c r="DF127" s="325"/>
      <c r="DG127" s="325"/>
      <c r="DH127" s="325"/>
      <c r="DI127" s="325"/>
      <c r="DJ127" s="325"/>
      <c r="DK127" s="325"/>
      <c r="DL127" s="325"/>
      <c r="DM127" s="325"/>
      <c r="DN127" s="325"/>
      <c r="DO127" s="325"/>
      <c r="DP127" s="325"/>
      <c r="DQ127" s="325"/>
      <c r="DR127" s="325"/>
      <c r="DS127" s="325"/>
      <c r="DT127" s="325"/>
      <c r="DU127" s="325"/>
      <c r="DV127" s="325"/>
      <c r="DW127" s="325"/>
      <c r="DX127" s="325"/>
      <c r="DY127" s="325"/>
      <c r="DZ127" s="325"/>
      <c r="EA127" s="325"/>
      <c r="EB127" s="325"/>
      <c r="EC127" s="325"/>
      <c r="ED127" s="325"/>
      <c r="EE127" s="325"/>
      <c r="EF127" s="325"/>
      <c r="EG127" s="325"/>
      <c r="EH127" s="325"/>
      <c r="EI127" s="325"/>
      <c r="EJ127" s="325"/>
      <c r="EK127" s="325"/>
      <c r="EL127" s="325"/>
      <c r="EM127" s="325"/>
      <c r="EN127" s="325"/>
      <c r="EO127" s="325"/>
      <c r="EP127" s="325"/>
      <c r="EQ127" s="325"/>
      <c r="ER127" s="325"/>
      <c r="ES127" s="325"/>
      <c r="ET127" s="325"/>
      <c r="EU127" s="325"/>
      <c r="EV127" s="325"/>
      <c r="EW127" s="325"/>
      <c r="EX127" s="325"/>
      <c r="EY127" s="325"/>
      <c r="EZ127" s="325"/>
      <c r="FA127" s="325"/>
      <c r="FB127" s="325"/>
      <c r="FC127" s="325"/>
      <c r="FD127" s="325"/>
      <c r="FE127" s="325"/>
      <c r="FF127" s="325"/>
      <c r="FG127" s="325"/>
      <c r="FH127" s="325"/>
      <c r="FI127" s="325"/>
      <c r="FJ127" s="325"/>
      <c r="FK127" s="325"/>
      <c r="FL127" s="325"/>
      <c r="FM127" s="325"/>
      <c r="FN127" s="325"/>
      <c r="FO127" s="325"/>
      <c r="FP127" s="325"/>
      <c r="FQ127" s="325"/>
      <c r="FR127" s="325"/>
      <c r="FS127" s="325"/>
      <c r="FT127" s="325"/>
      <c r="FU127" s="325"/>
      <c r="FV127" s="325"/>
      <c r="FW127" s="325"/>
      <c r="FX127" s="325"/>
      <c r="FY127" s="325"/>
      <c r="FZ127" s="325"/>
      <c r="GA127" s="325"/>
      <c r="GB127" s="325"/>
      <c r="GC127" s="325"/>
      <c r="GD127" s="325"/>
      <c r="GE127" s="325"/>
      <c r="GF127" s="325"/>
      <c r="GG127" s="325"/>
      <c r="GH127" s="325"/>
      <c r="GI127" s="325"/>
      <c r="GJ127" s="325"/>
      <c r="GK127" s="325"/>
      <c r="GL127" s="325"/>
    </row>
    <row r="128" customFormat="false" ht="24.75" hidden="false" customHeight="true" outlineLevel="0" collapsed="false">
      <c r="A128" s="390" t="s">
        <v>1570</v>
      </c>
      <c r="B128" s="411"/>
      <c r="C128" s="411"/>
      <c r="D128" s="412" t="n">
        <v>12.4642285714286</v>
      </c>
      <c r="E128" s="411" t="n">
        <f aca="false">$D128*E64</f>
        <v>3709.59183673471</v>
      </c>
      <c r="F128" s="411" t="n">
        <f aca="false">$D128*F64</f>
        <v>7419.1836734694</v>
      </c>
      <c r="G128" s="411" t="n">
        <f aca="false">$D128*G64</f>
        <v>14838.3673469388</v>
      </c>
      <c r="H128" s="411" t="n">
        <f aca="false">$D128*H64</f>
        <v>22257.5510204083</v>
      </c>
      <c r="I128" s="411" t="n">
        <f aca="false">$D128*I64</f>
        <v>29676.7346938776</v>
      </c>
      <c r="J128" s="411" t="n">
        <f aca="false">$D128*J64</f>
        <v>37095.9183673471</v>
      </c>
      <c r="K128" s="411" t="n">
        <f aca="false">$D128*K64</f>
        <v>44515.1020408164</v>
      </c>
      <c r="L128" s="411" t="n">
        <f aca="false">$D128*L64</f>
        <v>51934.2857142859</v>
      </c>
      <c r="M128" s="411" t="n">
        <f aca="false">$D128*M64</f>
        <v>59353.4693877552</v>
      </c>
      <c r="N128" s="393" t="n">
        <f aca="false">$D128*N64*1.05</f>
        <v>70111.2857142859</v>
      </c>
      <c r="O128" s="393" t="n">
        <f aca="false">$D128*O64*1.05</f>
        <v>77901.4285714287</v>
      </c>
      <c r="P128" s="393" t="n">
        <f aca="false">$D128*P64*1.05</f>
        <v>85691.5714285717</v>
      </c>
      <c r="Q128" s="393" t="n">
        <f aca="false">$D128*Q64*1.05</f>
        <v>93481.7142857145</v>
      </c>
      <c r="R128" s="393" t="n">
        <f aca="false">$D128*R64*1.05</f>
        <v>101271.857142857</v>
      </c>
      <c r="S128" s="393" t="n">
        <f aca="false">$D128*S64*1.05</f>
        <v>109062</v>
      </c>
      <c r="T128" s="393" t="n">
        <f aca="false">$D128*T64*1.05</f>
        <v>116852.142857143</v>
      </c>
      <c r="U128" s="393" t="n">
        <f aca="false">$D128*U64*1.05</f>
        <v>124642.285714286</v>
      </c>
      <c r="V128" s="393" t="n">
        <f aca="false">$D128*V64*1.05</f>
        <v>132432.428571429</v>
      </c>
      <c r="W128" s="393" t="n">
        <f aca="false">$D128*W64*1.05</f>
        <v>140222.571428572</v>
      </c>
      <c r="X128" s="393" t="n">
        <f aca="false">$D128*X64*1.05</f>
        <v>148012.714285715</v>
      </c>
      <c r="Y128" s="393" t="n">
        <f aca="false">$D128*Y64*1.05</f>
        <v>155802.857142857</v>
      </c>
      <c r="Z128" s="394" t="n">
        <f aca="false">$D128*Z64*1.1</f>
        <v>285638.571428572</v>
      </c>
      <c r="AA128" s="394" t="n">
        <f aca="false">$D128*AA64*1.1</f>
        <v>285638.571428572</v>
      </c>
      <c r="AB128" s="394" t="n">
        <f aca="false">$D128*AB64*1.1</f>
        <v>285638.571428572</v>
      </c>
      <c r="AC128" s="394" t="n">
        <f aca="false">$D128*AC64*1.1</f>
        <v>285638.571428572</v>
      </c>
      <c r="AD128" s="394" t="n">
        <f aca="false">$D128*AD64*1.1</f>
        <v>285638.571428572</v>
      </c>
      <c r="AE128" s="394" t="n">
        <f aca="false">$D128*AE64*1.1</f>
        <v>285638.571428572</v>
      </c>
      <c r="AF128" s="394" t="n">
        <f aca="false">$D128*AF64*1.1</f>
        <v>285638.571428572</v>
      </c>
      <c r="AG128" s="394" t="n">
        <f aca="false">$D128*AG64*1.1</f>
        <v>285638.571428572</v>
      </c>
      <c r="AH128" s="394" t="n">
        <f aca="false">$D128*AH64*1.1</f>
        <v>285638.571428572</v>
      </c>
      <c r="AI128" s="394" t="n">
        <f aca="false">$D128*AI64*1.1</f>
        <v>285638.571428572</v>
      </c>
      <c r="AJ128" s="394" t="n">
        <f aca="false">$D128*AJ64*1.1</f>
        <v>285638.571428572</v>
      </c>
      <c r="AK128" s="394" t="n">
        <f aca="false">$D128*AK64*1.1</f>
        <v>285638.571428572</v>
      </c>
      <c r="AL128" s="395" t="n">
        <f aca="false">$D128*AL64*1.15</f>
        <v>298622.142857143</v>
      </c>
      <c r="AM128" s="395" t="n">
        <f aca="false">$D128*AM64*1.15</f>
        <v>298622.142857143</v>
      </c>
      <c r="AN128" s="395" t="n">
        <f aca="false">$D128*AN64*1.15</f>
        <v>298622.142857143</v>
      </c>
      <c r="AO128" s="395" t="n">
        <f aca="false">$D128*AO64*1.15</f>
        <v>298622.142857143</v>
      </c>
      <c r="AP128" s="395" t="n">
        <f aca="false">$D128*AP64*1.15</f>
        <v>298622.142857143</v>
      </c>
      <c r="AQ128" s="395" t="n">
        <f aca="false">$D128*AQ64*1.15</f>
        <v>298622.142857143</v>
      </c>
      <c r="AR128" s="395" t="n">
        <f aca="false">$D128*AR64*1.15</f>
        <v>298622.142857143</v>
      </c>
      <c r="AS128" s="395" t="n">
        <f aca="false">$D128*AS64*1.15</f>
        <v>298622.142857143</v>
      </c>
      <c r="AT128" s="395" t="n">
        <f aca="false">$D128*AT64*1.15</f>
        <v>298622.142857143</v>
      </c>
      <c r="AU128" s="395" t="n">
        <f aca="false">$D128*AU64*1.15</f>
        <v>298622.142857143</v>
      </c>
      <c r="AV128" s="395" t="n">
        <f aca="false">$D128*AV64*1.15</f>
        <v>298622.142857143</v>
      </c>
      <c r="AW128" s="395" t="n">
        <f aca="false">$D128*AW64*1.15</f>
        <v>298622.142857143</v>
      </c>
      <c r="AX128" s="396" t="n">
        <f aca="false">$D128*AX64*1.2</f>
        <v>311605.714285715</v>
      </c>
      <c r="AY128" s="396" t="n">
        <f aca="false">$D128*AY64*1.2</f>
        <v>311605.714285715</v>
      </c>
      <c r="AZ128" s="396" t="n">
        <f aca="false">$D128*AZ64*1.2</f>
        <v>311605.714285715</v>
      </c>
      <c r="BA128" s="396" t="n">
        <f aca="false">$D128*BA64*1.2</f>
        <v>311605.714285715</v>
      </c>
      <c r="BB128" s="396" t="n">
        <f aca="false">$D128*BB64*1.2</f>
        <v>311605.714285715</v>
      </c>
      <c r="BC128" s="396" t="n">
        <f aca="false">$D128*BC64*1.2</f>
        <v>311605.714285715</v>
      </c>
      <c r="BD128" s="396" t="n">
        <f aca="false">$D128*BD64*1.2</f>
        <v>311605.714285715</v>
      </c>
      <c r="BE128" s="396" t="n">
        <f aca="false">$D128*BE64*1.2</f>
        <v>311605.714285715</v>
      </c>
      <c r="BF128" s="396" t="n">
        <f aca="false">$D128*BF64*1.2</f>
        <v>311605.714285715</v>
      </c>
      <c r="BG128" s="396" t="n">
        <f aca="false">$D128*BG64*1.2</f>
        <v>311605.714285715</v>
      </c>
      <c r="BH128" s="396" t="n">
        <f aca="false">$D128*BH64*1.2</f>
        <v>311605.714285715</v>
      </c>
      <c r="BI128" s="396" t="n">
        <f aca="false">$D128*BI64*1.2</f>
        <v>311605.714285715</v>
      </c>
      <c r="BJ128" s="413" t="n">
        <f aca="false">SUM(E128:M128)</f>
        <v>270800.204081633</v>
      </c>
      <c r="BK128" s="413" t="n">
        <f aca="false">SUM(N128:Y128)</f>
        <v>1355484.85714286</v>
      </c>
      <c r="BL128" s="413" t="n">
        <f aca="false">SUM(Z128:AK128)</f>
        <v>3427662.85714286</v>
      </c>
      <c r="BM128" s="413" t="n">
        <f aca="false">SUM(AL128:AW128)</f>
        <v>3583465.71428572</v>
      </c>
      <c r="BN128" s="413" t="n">
        <f aca="false">SUM(AX128:BI128)</f>
        <v>3739268.57142857</v>
      </c>
      <c r="BO128" s="325"/>
      <c r="BP128" s="325"/>
      <c r="BQ128" s="325"/>
      <c r="BR128" s="325"/>
      <c r="BS128" s="325"/>
      <c r="BT128" s="325"/>
      <c r="BU128" s="325"/>
      <c r="BV128" s="325"/>
      <c r="BW128" s="325"/>
      <c r="BX128" s="325"/>
      <c r="BY128" s="325"/>
      <c r="BZ128" s="325"/>
      <c r="CA128" s="325"/>
      <c r="CB128" s="325"/>
      <c r="CC128" s="325"/>
      <c r="CD128" s="325"/>
      <c r="CE128" s="325"/>
      <c r="CF128" s="325"/>
      <c r="CG128" s="325"/>
      <c r="CH128" s="325"/>
      <c r="CI128" s="325"/>
      <c r="CJ128" s="325"/>
      <c r="CK128" s="325"/>
      <c r="CL128" s="325"/>
      <c r="CM128" s="325"/>
      <c r="CN128" s="325"/>
      <c r="CO128" s="325"/>
      <c r="CP128" s="325"/>
      <c r="CQ128" s="325"/>
      <c r="CR128" s="325"/>
      <c r="CS128" s="325"/>
      <c r="CT128" s="325"/>
      <c r="CU128" s="325"/>
      <c r="CV128" s="325"/>
      <c r="CW128" s="325"/>
      <c r="CX128" s="325"/>
      <c r="CY128" s="325"/>
      <c r="CZ128" s="325"/>
      <c r="DA128" s="325"/>
      <c r="DB128" s="325"/>
      <c r="DC128" s="325"/>
      <c r="DD128" s="325"/>
      <c r="DE128" s="325"/>
      <c r="DF128" s="325"/>
      <c r="DG128" s="325"/>
      <c r="DH128" s="325"/>
      <c r="DI128" s="325"/>
      <c r="DJ128" s="325"/>
      <c r="DK128" s="325"/>
      <c r="DL128" s="325"/>
      <c r="DM128" s="325"/>
      <c r="DN128" s="325"/>
      <c r="DO128" s="325"/>
      <c r="DP128" s="325"/>
      <c r="DQ128" s="325"/>
      <c r="DR128" s="325"/>
      <c r="DS128" s="325"/>
      <c r="DT128" s="325"/>
      <c r="DU128" s="325"/>
      <c r="DV128" s="325"/>
      <c r="DW128" s="325"/>
      <c r="DX128" s="325"/>
      <c r="DY128" s="325"/>
      <c r="DZ128" s="325"/>
      <c r="EA128" s="325"/>
      <c r="EB128" s="325"/>
      <c r="EC128" s="325"/>
      <c r="ED128" s="325"/>
      <c r="EE128" s="325"/>
      <c r="EF128" s="325"/>
      <c r="EG128" s="325"/>
      <c r="EH128" s="325"/>
      <c r="EI128" s="325"/>
      <c r="EJ128" s="325"/>
      <c r="EK128" s="325"/>
      <c r="EL128" s="325"/>
      <c r="EM128" s="325"/>
      <c r="EN128" s="325"/>
      <c r="EO128" s="325"/>
      <c r="EP128" s="325"/>
      <c r="EQ128" s="325"/>
      <c r="ER128" s="325"/>
      <c r="ES128" s="325"/>
      <c r="ET128" s="325"/>
      <c r="EU128" s="325"/>
      <c r="EV128" s="325"/>
      <c r="EW128" s="325"/>
      <c r="EX128" s="325"/>
      <c r="EY128" s="325"/>
      <c r="EZ128" s="325"/>
      <c r="FA128" s="325"/>
      <c r="FB128" s="325"/>
      <c r="FC128" s="325"/>
      <c r="FD128" s="325"/>
      <c r="FE128" s="325"/>
      <c r="FF128" s="325"/>
      <c r="FG128" s="325"/>
      <c r="FH128" s="325"/>
      <c r="FI128" s="325"/>
      <c r="FJ128" s="325"/>
      <c r="FK128" s="325"/>
      <c r="FL128" s="325"/>
      <c r="FM128" s="325"/>
      <c r="FN128" s="325"/>
      <c r="FO128" s="325"/>
      <c r="FP128" s="325"/>
      <c r="FQ128" s="325"/>
      <c r="FR128" s="325"/>
      <c r="FS128" s="325"/>
      <c r="FT128" s="325"/>
      <c r="FU128" s="325"/>
      <c r="FV128" s="325"/>
      <c r="FW128" s="325"/>
      <c r="FX128" s="325"/>
      <c r="FY128" s="325"/>
      <c r="FZ128" s="325"/>
      <c r="GA128" s="325"/>
      <c r="GB128" s="325"/>
      <c r="GC128" s="325"/>
      <c r="GD128" s="325"/>
      <c r="GE128" s="325"/>
      <c r="GF128" s="325"/>
      <c r="GG128" s="325"/>
      <c r="GH128" s="325"/>
      <c r="GI128" s="325"/>
      <c r="GJ128" s="325"/>
      <c r="GK128" s="325"/>
      <c r="GL128" s="325"/>
    </row>
    <row r="129" customFormat="false" ht="24.75" hidden="false" customHeight="true" outlineLevel="0" collapsed="false">
      <c r="A129" s="390" t="s">
        <v>1571</v>
      </c>
      <c r="B129" s="411"/>
      <c r="C129" s="411"/>
      <c r="D129" s="412" t="n">
        <v>12.3669</v>
      </c>
      <c r="E129" s="411" t="n">
        <f aca="false">$D129*E65</f>
        <v>4140.70312500001</v>
      </c>
      <c r="F129" s="411" t="n">
        <f aca="false">$D129*F65</f>
        <v>8281.40625</v>
      </c>
      <c r="G129" s="411" t="n">
        <f aca="false">$D129*G65</f>
        <v>16562.8124999999</v>
      </c>
      <c r="H129" s="411" t="n">
        <f aca="false">$D129*H65</f>
        <v>24844.21875</v>
      </c>
      <c r="I129" s="411" t="n">
        <f aca="false">$D129*I65</f>
        <v>33125.625</v>
      </c>
      <c r="J129" s="411" t="n">
        <f aca="false">$D129*J65</f>
        <v>41407.0312500001</v>
      </c>
      <c r="K129" s="411" t="n">
        <f aca="false">$D129*K65</f>
        <v>49688.4375</v>
      </c>
      <c r="L129" s="411" t="n">
        <f aca="false">$D129*L65</f>
        <v>57969.84375</v>
      </c>
      <c r="M129" s="411" t="n">
        <f aca="false">$D129*M65</f>
        <v>66251.25</v>
      </c>
      <c r="N129" s="393" t="n">
        <f aca="false">$D129*N65*1.05</f>
        <v>78259.2890625001</v>
      </c>
      <c r="O129" s="393" t="n">
        <f aca="false">$D129*O65*1.05</f>
        <v>86954.765625</v>
      </c>
      <c r="P129" s="393" t="n">
        <f aca="false">$D129*P65*1.05</f>
        <v>95650.2421875</v>
      </c>
      <c r="Q129" s="393" t="n">
        <f aca="false">$D129*Q65*1.05</f>
        <v>104345.71875</v>
      </c>
      <c r="R129" s="393" t="n">
        <f aca="false">$D129*R65*1.05</f>
        <v>113041.1953125</v>
      </c>
      <c r="S129" s="393" t="n">
        <f aca="false">$D129*S65*1.05</f>
        <v>121736.671875</v>
      </c>
      <c r="T129" s="393" t="n">
        <f aca="false">$D129*T65*1.05</f>
        <v>130432.148437501</v>
      </c>
      <c r="U129" s="393" t="n">
        <f aca="false">$D129*U65*1.05</f>
        <v>139127.625</v>
      </c>
      <c r="V129" s="393" t="n">
        <f aca="false">$D129*V65*1.05</f>
        <v>147823.1015625</v>
      </c>
      <c r="W129" s="393" t="n">
        <f aca="false">$D129*W65*1.05</f>
        <v>156518.578125</v>
      </c>
      <c r="X129" s="393" t="n">
        <f aca="false">$D129*X65*1.05</f>
        <v>165214.0546875</v>
      </c>
      <c r="Y129" s="393" t="n">
        <f aca="false">$D129*Y65*1.05</f>
        <v>173909.531249999</v>
      </c>
      <c r="Z129" s="394" t="n">
        <f aca="false">$D129*Z65*1.1</f>
        <v>318834.140625</v>
      </c>
      <c r="AA129" s="394" t="n">
        <f aca="false">$D129*AA65*1.1</f>
        <v>318834.140625</v>
      </c>
      <c r="AB129" s="394" t="n">
        <f aca="false">$D129*AB65*1.1</f>
        <v>318834.140625</v>
      </c>
      <c r="AC129" s="394" t="n">
        <f aca="false">$D129*AC65*1.1</f>
        <v>318834.140625</v>
      </c>
      <c r="AD129" s="394" t="n">
        <f aca="false">$D129*AD65*1.1</f>
        <v>318834.140625</v>
      </c>
      <c r="AE129" s="394" t="n">
        <f aca="false">$D129*AE65*1.1</f>
        <v>318834.140625</v>
      </c>
      <c r="AF129" s="394" t="n">
        <f aca="false">$D129*AF65*1.1</f>
        <v>318834.140625</v>
      </c>
      <c r="AG129" s="394" t="n">
        <f aca="false">$D129*AG65*1.1</f>
        <v>318834.140625</v>
      </c>
      <c r="AH129" s="394" t="n">
        <f aca="false">$D129*AH65*1.1</f>
        <v>318834.140625</v>
      </c>
      <c r="AI129" s="394" t="n">
        <f aca="false">$D129*AI65*1.1</f>
        <v>318834.140625</v>
      </c>
      <c r="AJ129" s="394" t="n">
        <f aca="false">$D129*AJ65*1.1</f>
        <v>318834.140625</v>
      </c>
      <c r="AK129" s="394" t="n">
        <f aca="false">$D129*AK65*1.1</f>
        <v>318834.140625</v>
      </c>
      <c r="AL129" s="395" t="n">
        <f aca="false">$D129*AL65*1.15</f>
        <v>333326.6015625</v>
      </c>
      <c r="AM129" s="395" t="n">
        <f aca="false">$D129*AM65*1.15</f>
        <v>333326.6015625</v>
      </c>
      <c r="AN129" s="395" t="n">
        <f aca="false">$D129*AN65*1.15</f>
        <v>333326.6015625</v>
      </c>
      <c r="AO129" s="395" t="n">
        <f aca="false">$D129*AO65*1.15</f>
        <v>333326.6015625</v>
      </c>
      <c r="AP129" s="395" t="n">
        <f aca="false">$D129*AP65*1.15</f>
        <v>333326.6015625</v>
      </c>
      <c r="AQ129" s="395" t="n">
        <f aca="false">$D129*AQ65*1.15</f>
        <v>333326.6015625</v>
      </c>
      <c r="AR129" s="395" t="n">
        <f aca="false">$D129*AR65*1.15</f>
        <v>333326.6015625</v>
      </c>
      <c r="AS129" s="395" t="n">
        <f aca="false">$D129*AS65*1.15</f>
        <v>333326.6015625</v>
      </c>
      <c r="AT129" s="395" t="n">
        <f aca="false">$D129*AT65*1.15</f>
        <v>333326.6015625</v>
      </c>
      <c r="AU129" s="395" t="n">
        <f aca="false">$D129*AU65*1.15</f>
        <v>333326.6015625</v>
      </c>
      <c r="AV129" s="395" t="n">
        <f aca="false">$D129*AV65*1.15</f>
        <v>333326.6015625</v>
      </c>
      <c r="AW129" s="395" t="n">
        <f aca="false">$D129*AW65*1.15</f>
        <v>333326.6015625</v>
      </c>
      <c r="AX129" s="396" t="n">
        <f aca="false">$D129*AX65*1.2</f>
        <v>347819.0625</v>
      </c>
      <c r="AY129" s="396" t="n">
        <f aca="false">$D129*AY65*1.2</f>
        <v>347819.0625</v>
      </c>
      <c r="AZ129" s="396" t="n">
        <f aca="false">$D129*AZ65*1.2</f>
        <v>347819.0625</v>
      </c>
      <c r="BA129" s="396" t="n">
        <f aca="false">$D129*BA65*1.2</f>
        <v>347819.0625</v>
      </c>
      <c r="BB129" s="396" t="n">
        <f aca="false">$D129*BB65*1.2</f>
        <v>347819.0625</v>
      </c>
      <c r="BC129" s="396" t="n">
        <f aca="false">$D129*BC65*1.2</f>
        <v>347819.0625</v>
      </c>
      <c r="BD129" s="396" t="n">
        <f aca="false">$D129*BD65*1.2</f>
        <v>347819.0625</v>
      </c>
      <c r="BE129" s="396" t="n">
        <f aca="false">$D129*BE65*1.2</f>
        <v>347819.0625</v>
      </c>
      <c r="BF129" s="396" t="n">
        <f aca="false">$D129*BF65*1.2</f>
        <v>347819.0625</v>
      </c>
      <c r="BG129" s="396" t="n">
        <f aca="false">$D129*BG65*1.2</f>
        <v>347819.0625</v>
      </c>
      <c r="BH129" s="396" t="n">
        <f aca="false">$D129*BH65*1.2</f>
        <v>347819.0625</v>
      </c>
      <c r="BI129" s="396" t="n">
        <f aca="false">$D129*BI65*1.2</f>
        <v>347819.0625</v>
      </c>
      <c r="BJ129" s="413" t="n">
        <f aca="false">SUM(E129:M129)</f>
        <v>302271.328125</v>
      </c>
      <c r="BK129" s="413" t="n">
        <f aca="false">SUM(N129:Y129)</f>
        <v>1513012.921875</v>
      </c>
      <c r="BL129" s="413" t="n">
        <f aca="false">SUM(Z129:AK129)</f>
        <v>3826009.6875</v>
      </c>
      <c r="BM129" s="413" t="n">
        <f aca="false">SUM(AL129:AW129)</f>
        <v>3999919.21875</v>
      </c>
      <c r="BN129" s="413" t="n">
        <f aca="false">SUM(AX129:BI129)</f>
        <v>4173828.75</v>
      </c>
      <c r="BO129" s="325"/>
      <c r="BP129" s="325"/>
      <c r="BQ129" s="325"/>
      <c r="BR129" s="325"/>
      <c r="BS129" s="325"/>
      <c r="BT129" s="325"/>
      <c r="BU129" s="325"/>
      <c r="BV129" s="325"/>
      <c r="BW129" s="325"/>
      <c r="BX129" s="325"/>
      <c r="BY129" s="325"/>
      <c r="BZ129" s="325"/>
      <c r="CA129" s="325"/>
      <c r="CB129" s="325"/>
      <c r="CC129" s="325"/>
      <c r="CD129" s="325"/>
      <c r="CE129" s="325"/>
      <c r="CF129" s="325"/>
      <c r="CG129" s="325"/>
      <c r="CH129" s="325"/>
      <c r="CI129" s="325"/>
      <c r="CJ129" s="325"/>
      <c r="CK129" s="325"/>
      <c r="CL129" s="325"/>
      <c r="CM129" s="325"/>
      <c r="CN129" s="325"/>
      <c r="CO129" s="325"/>
      <c r="CP129" s="325"/>
      <c r="CQ129" s="325"/>
      <c r="CR129" s="325"/>
      <c r="CS129" s="325"/>
      <c r="CT129" s="325"/>
      <c r="CU129" s="325"/>
      <c r="CV129" s="325"/>
      <c r="CW129" s="325"/>
      <c r="CX129" s="325"/>
      <c r="CY129" s="325"/>
      <c r="CZ129" s="325"/>
      <c r="DA129" s="325"/>
      <c r="DB129" s="325"/>
      <c r="DC129" s="325"/>
      <c r="DD129" s="325"/>
      <c r="DE129" s="325"/>
      <c r="DF129" s="325"/>
      <c r="DG129" s="325"/>
      <c r="DH129" s="325"/>
      <c r="DI129" s="325"/>
      <c r="DJ129" s="325"/>
      <c r="DK129" s="325"/>
      <c r="DL129" s="325"/>
      <c r="DM129" s="325"/>
      <c r="DN129" s="325"/>
      <c r="DO129" s="325"/>
      <c r="DP129" s="325"/>
      <c r="DQ129" s="325"/>
      <c r="DR129" s="325"/>
      <c r="DS129" s="325"/>
      <c r="DT129" s="325"/>
      <c r="DU129" s="325"/>
      <c r="DV129" s="325"/>
      <c r="DW129" s="325"/>
      <c r="DX129" s="325"/>
      <c r="DY129" s="325"/>
      <c r="DZ129" s="325"/>
      <c r="EA129" s="325"/>
      <c r="EB129" s="325"/>
      <c r="EC129" s="325"/>
      <c r="ED129" s="325"/>
      <c r="EE129" s="325"/>
      <c r="EF129" s="325"/>
      <c r="EG129" s="325"/>
      <c r="EH129" s="325"/>
      <c r="EI129" s="325"/>
      <c r="EJ129" s="325"/>
      <c r="EK129" s="325"/>
      <c r="EL129" s="325"/>
      <c r="EM129" s="325"/>
      <c r="EN129" s="325"/>
      <c r="EO129" s="325"/>
      <c r="EP129" s="325"/>
      <c r="EQ129" s="325"/>
      <c r="ER129" s="325"/>
      <c r="ES129" s="325"/>
      <c r="ET129" s="325"/>
      <c r="EU129" s="325"/>
      <c r="EV129" s="325"/>
      <c r="EW129" s="325"/>
      <c r="EX129" s="325"/>
      <c r="EY129" s="325"/>
      <c r="EZ129" s="325"/>
      <c r="FA129" s="325"/>
      <c r="FB129" s="325"/>
      <c r="FC129" s="325"/>
      <c r="FD129" s="325"/>
      <c r="FE129" s="325"/>
      <c r="FF129" s="325"/>
      <c r="FG129" s="325"/>
      <c r="FH129" s="325"/>
      <c r="FI129" s="325"/>
      <c r="FJ129" s="325"/>
      <c r="FK129" s="325"/>
      <c r="FL129" s="325"/>
      <c r="FM129" s="325"/>
      <c r="FN129" s="325"/>
      <c r="FO129" s="325"/>
      <c r="FP129" s="325"/>
      <c r="FQ129" s="325"/>
      <c r="FR129" s="325"/>
      <c r="FS129" s="325"/>
      <c r="FT129" s="325"/>
      <c r="FU129" s="325"/>
      <c r="FV129" s="325"/>
      <c r="FW129" s="325"/>
      <c r="FX129" s="325"/>
      <c r="FY129" s="325"/>
      <c r="FZ129" s="325"/>
      <c r="GA129" s="325"/>
      <c r="GB129" s="325"/>
      <c r="GC129" s="325"/>
      <c r="GD129" s="325"/>
      <c r="GE129" s="325"/>
      <c r="GF129" s="325"/>
      <c r="GG129" s="325"/>
      <c r="GH129" s="325"/>
      <c r="GI129" s="325"/>
      <c r="GJ129" s="325"/>
      <c r="GK129" s="325"/>
      <c r="GL129" s="325"/>
    </row>
    <row r="130" customFormat="false" ht="24.75" hidden="false" customHeight="true" outlineLevel="0" collapsed="false">
      <c r="A130" s="390" t="s">
        <v>1572</v>
      </c>
      <c r="B130" s="411"/>
      <c r="C130" s="411"/>
      <c r="D130" s="412" t="n">
        <v>12.3656666666667</v>
      </c>
      <c r="E130" s="411" t="n">
        <f aca="false">$D130*E66</f>
        <v>3220.22569444446</v>
      </c>
      <c r="F130" s="411" t="n">
        <f aca="false">$D130*F66</f>
        <v>6440.4513888889</v>
      </c>
      <c r="G130" s="411" t="n">
        <f aca="false">$D130*G66</f>
        <v>12880.9027777779</v>
      </c>
      <c r="H130" s="411" t="n">
        <f aca="false">$D130*H66</f>
        <v>19321.3541666667</v>
      </c>
      <c r="I130" s="411" t="n">
        <f aca="false">$D130*I66</f>
        <v>25761.8055555556</v>
      </c>
      <c r="J130" s="411" t="n">
        <f aca="false">$D130*J66</f>
        <v>32202.2569444446</v>
      </c>
      <c r="K130" s="411" t="n">
        <f aca="false">$D130*K66</f>
        <v>38642.7083333334</v>
      </c>
      <c r="L130" s="411" t="n">
        <f aca="false">$D130*L66</f>
        <v>45083.1597222223</v>
      </c>
      <c r="M130" s="411" t="n">
        <f aca="false">$D130*M66</f>
        <v>51523.6111111113</v>
      </c>
      <c r="N130" s="393" t="n">
        <f aca="false">$D130*N66*1.05</f>
        <v>60862.2656250002</v>
      </c>
      <c r="O130" s="393" t="n">
        <f aca="false">$D130*O66*1.05</f>
        <v>67624.7395833335</v>
      </c>
      <c r="P130" s="393" t="n">
        <f aca="false">$D130*P66*1.05</f>
        <v>74387.2135416669</v>
      </c>
      <c r="Q130" s="393" t="n">
        <f aca="false">$D130*Q66*1.05</f>
        <v>81149.6875000002</v>
      </c>
      <c r="R130" s="393" t="n">
        <f aca="false">$D130*R66*1.05</f>
        <v>87912.1614583335</v>
      </c>
      <c r="S130" s="393" t="n">
        <f aca="false">$D130*S66*1.05</f>
        <v>94674.635416667</v>
      </c>
      <c r="T130" s="393" t="n">
        <f aca="false">$D130*T66*1.05</f>
        <v>101437.109375</v>
      </c>
      <c r="U130" s="393" t="n">
        <f aca="false">$D130*U66*1.05</f>
        <v>108199.583333334</v>
      </c>
      <c r="V130" s="393" t="n">
        <f aca="false">$D130*V66*1.05</f>
        <v>114962.057291667</v>
      </c>
      <c r="W130" s="393" t="n">
        <f aca="false">$D130*W66*1.05</f>
        <v>121724.53125</v>
      </c>
      <c r="X130" s="393" t="n">
        <f aca="false">$D130*X66*1.05</f>
        <v>128487.005208334</v>
      </c>
      <c r="Y130" s="393" t="n">
        <f aca="false">$D130*Y66*1.05</f>
        <v>135249.479166667</v>
      </c>
      <c r="Z130" s="394" t="n">
        <f aca="false">$D130*Z66*1.1</f>
        <v>247957.378472223</v>
      </c>
      <c r="AA130" s="394" t="n">
        <f aca="false">$D130*AA66*1.1</f>
        <v>247957.378472223</v>
      </c>
      <c r="AB130" s="394" t="n">
        <f aca="false">$D130*AB66*1.1</f>
        <v>247957.378472223</v>
      </c>
      <c r="AC130" s="394" t="n">
        <f aca="false">$D130*AC66*1.1</f>
        <v>247957.378472223</v>
      </c>
      <c r="AD130" s="394" t="n">
        <f aca="false">$D130*AD66*1.1</f>
        <v>247957.378472223</v>
      </c>
      <c r="AE130" s="394" t="n">
        <f aca="false">$D130*AE66*1.1</f>
        <v>247957.378472223</v>
      </c>
      <c r="AF130" s="394" t="n">
        <f aca="false">$D130*AF66*1.1</f>
        <v>247957.378472223</v>
      </c>
      <c r="AG130" s="394" t="n">
        <f aca="false">$D130*AG66*1.1</f>
        <v>247957.378472223</v>
      </c>
      <c r="AH130" s="394" t="n">
        <f aca="false">$D130*AH66*1.1</f>
        <v>247957.378472223</v>
      </c>
      <c r="AI130" s="394" t="n">
        <f aca="false">$D130*AI66*1.1</f>
        <v>247957.378472223</v>
      </c>
      <c r="AJ130" s="394" t="n">
        <f aca="false">$D130*AJ66*1.1</f>
        <v>247957.378472223</v>
      </c>
      <c r="AK130" s="394" t="n">
        <f aca="false">$D130*AK66*1.1</f>
        <v>247957.378472223</v>
      </c>
      <c r="AL130" s="395" t="n">
        <f aca="false">$D130*AL66*1.15</f>
        <v>259228.168402779</v>
      </c>
      <c r="AM130" s="395" t="n">
        <f aca="false">$D130*AM66*1.15</f>
        <v>259228.168402779</v>
      </c>
      <c r="AN130" s="395" t="n">
        <f aca="false">$D130*AN66*1.15</f>
        <v>259228.168402779</v>
      </c>
      <c r="AO130" s="395" t="n">
        <f aca="false">$D130*AO66*1.15</f>
        <v>259228.168402779</v>
      </c>
      <c r="AP130" s="395" t="n">
        <f aca="false">$D130*AP66*1.15</f>
        <v>259228.168402779</v>
      </c>
      <c r="AQ130" s="395" t="n">
        <f aca="false">$D130*AQ66*1.15</f>
        <v>259228.168402779</v>
      </c>
      <c r="AR130" s="395" t="n">
        <f aca="false">$D130*AR66*1.15</f>
        <v>259228.168402779</v>
      </c>
      <c r="AS130" s="395" t="n">
        <f aca="false">$D130*AS66*1.15</f>
        <v>259228.168402779</v>
      </c>
      <c r="AT130" s="395" t="n">
        <f aca="false">$D130*AT66*1.15</f>
        <v>259228.168402779</v>
      </c>
      <c r="AU130" s="395" t="n">
        <f aca="false">$D130*AU66*1.15</f>
        <v>259228.168402779</v>
      </c>
      <c r="AV130" s="395" t="n">
        <f aca="false">$D130*AV66*1.15</f>
        <v>259228.168402779</v>
      </c>
      <c r="AW130" s="395" t="n">
        <f aca="false">$D130*AW66*1.15</f>
        <v>259228.168402779</v>
      </c>
      <c r="AX130" s="396" t="n">
        <f aca="false">$D130*AX66*1.2</f>
        <v>270498.958333335</v>
      </c>
      <c r="AY130" s="396" t="n">
        <f aca="false">$D130*AY66*1.2</f>
        <v>270498.958333335</v>
      </c>
      <c r="AZ130" s="396" t="n">
        <f aca="false">$D130*AZ66*1.2</f>
        <v>270498.958333335</v>
      </c>
      <c r="BA130" s="396" t="n">
        <f aca="false">$D130*BA66*1.2</f>
        <v>270498.958333335</v>
      </c>
      <c r="BB130" s="396" t="n">
        <f aca="false">$D130*BB66*1.2</f>
        <v>270498.958333335</v>
      </c>
      <c r="BC130" s="396" t="n">
        <f aca="false">$D130*BC66*1.2</f>
        <v>270498.958333335</v>
      </c>
      <c r="BD130" s="396" t="n">
        <f aca="false">$D130*BD66*1.2</f>
        <v>270498.958333335</v>
      </c>
      <c r="BE130" s="396" t="n">
        <f aca="false">$D130*BE66*1.2</f>
        <v>270498.958333335</v>
      </c>
      <c r="BF130" s="396" t="n">
        <f aca="false">$D130*BF66*1.2</f>
        <v>270498.958333335</v>
      </c>
      <c r="BG130" s="396" t="n">
        <f aca="false">$D130*BG66*1.2</f>
        <v>270498.958333335</v>
      </c>
      <c r="BH130" s="396" t="n">
        <f aca="false">$D130*BH66*1.2</f>
        <v>270498.958333335</v>
      </c>
      <c r="BI130" s="396" t="n">
        <f aca="false">$D130*BI66*1.2</f>
        <v>270498.958333335</v>
      </c>
      <c r="BJ130" s="413" t="n">
        <f aca="false">SUM(E130:M130)</f>
        <v>235076.475694445</v>
      </c>
      <c r="BK130" s="413" t="n">
        <f aca="false">SUM(N130:Y130)</f>
        <v>1176670.46875</v>
      </c>
      <c r="BL130" s="413" t="n">
        <f aca="false">SUM(Z130:AK130)</f>
        <v>2975488.54166668</v>
      </c>
      <c r="BM130" s="413" t="n">
        <f aca="false">SUM(AL130:AW130)</f>
        <v>3110738.02083335</v>
      </c>
      <c r="BN130" s="413" t="n">
        <f aca="false">SUM(AX130:BI130)</f>
        <v>3245987.50000001</v>
      </c>
      <c r="BO130" s="325"/>
      <c r="BP130" s="325"/>
      <c r="BQ130" s="325"/>
      <c r="BR130" s="325"/>
      <c r="BS130" s="325"/>
      <c r="BT130" s="325"/>
      <c r="BU130" s="325"/>
      <c r="BV130" s="325"/>
      <c r="BW130" s="325"/>
      <c r="BX130" s="325"/>
      <c r="BY130" s="325"/>
      <c r="BZ130" s="325"/>
      <c r="CA130" s="325"/>
      <c r="CB130" s="325"/>
      <c r="CC130" s="325"/>
      <c r="CD130" s="325"/>
      <c r="CE130" s="325"/>
      <c r="CF130" s="325"/>
      <c r="CG130" s="325"/>
      <c r="CH130" s="325"/>
      <c r="CI130" s="325"/>
      <c r="CJ130" s="325"/>
      <c r="CK130" s="325"/>
      <c r="CL130" s="325"/>
      <c r="CM130" s="325"/>
      <c r="CN130" s="325"/>
      <c r="CO130" s="325"/>
      <c r="CP130" s="325"/>
      <c r="CQ130" s="325"/>
      <c r="CR130" s="325"/>
      <c r="CS130" s="325"/>
      <c r="CT130" s="325"/>
      <c r="CU130" s="325"/>
      <c r="CV130" s="325"/>
      <c r="CW130" s="325"/>
      <c r="CX130" s="325"/>
      <c r="CY130" s="325"/>
      <c r="CZ130" s="325"/>
      <c r="DA130" s="325"/>
      <c r="DB130" s="325"/>
      <c r="DC130" s="325"/>
      <c r="DD130" s="325"/>
      <c r="DE130" s="325"/>
      <c r="DF130" s="325"/>
      <c r="DG130" s="325"/>
      <c r="DH130" s="325"/>
      <c r="DI130" s="325"/>
      <c r="DJ130" s="325"/>
      <c r="DK130" s="325"/>
      <c r="DL130" s="325"/>
      <c r="DM130" s="325"/>
      <c r="DN130" s="325"/>
      <c r="DO130" s="325"/>
      <c r="DP130" s="325"/>
      <c r="DQ130" s="325"/>
      <c r="DR130" s="325"/>
      <c r="DS130" s="325"/>
      <c r="DT130" s="325"/>
      <c r="DU130" s="325"/>
      <c r="DV130" s="325"/>
      <c r="DW130" s="325"/>
      <c r="DX130" s="325"/>
      <c r="DY130" s="325"/>
      <c r="DZ130" s="325"/>
      <c r="EA130" s="325"/>
      <c r="EB130" s="325"/>
      <c r="EC130" s="325"/>
      <c r="ED130" s="325"/>
      <c r="EE130" s="325"/>
      <c r="EF130" s="325"/>
      <c r="EG130" s="325"/>
      <c r="EH130" s="325"/>
      <c r="EI130" s="325"/>
      <c r="EJ130" s="325"/>
      <c r="EK130" s="325"/>
      <c r="EL130" s="325"/>
      <c r="EM130" s="325"/>
      <c r="EN130" s="325"/>
      <c r="EO130" s="325"/>
      <c r="EP130" s="325"/>
      <c r="EQ130" s="325"/>
      <c r="ER130" s="325"/>
      <c r="ES130" s="325"/>
      <c r="ET130" s="325"/>
      <c r="EU130" s="325"/>
      <c r="EV130" s="325"/>
      <c r="EW130" s="325"/>
      <c r="EX130" s="325"/>
      <c r="EY130" s="325"/>
      <c r="EZ130" s="325"/>
      <c r="FA130" s="325"/>
      <c r="FB130" s="325"/>
      <c r="FC130" s="325"/>
      <c r="FD130" s="325"/>
      <c r="FE130" s="325"/>
      <c r="FF130" s="325"/>
      <c r="FG130" s="325"/>
      <c r="FH130" s="325"/>
      <c r="FI130" s="325"/>
      <c r="FJ130" s="325"/>
      <c r="FK130" s="325"/>
      <c r="FL130" s="325"/>
      <c r="FM130" s="325"/>
      <c r="FN130" s="325"/>
      <c r="FO130" s="325"/>
      <c r="FP130" s="325"/>
      <c r="FQ130" s="325"/>
      <c r="FR130" s="325"/>
      <c r="FS130" s="325"/>
      <c r="FT130" s="325"/>
      <c r="FU130" s="325"/>
      <c r="FV130" s="325"/>
      <c r="FW130" s="325"/>
      <c r="FX130" s="325"/>
      <c r="FY130" s="325"/>
      <c r="FZ130" s="325"/>
      <c r="GA130" s="325"/>
      <c r="GB130" s="325"/>
      <c r="GC130" s="325"/>
      <c r="GD130" s="325"/>
      <c r="GE130" s="325"/>
      <c r="GF130" s="325"/>
      <c r="GG130" s="325"/>
      <c r="GH130" s="325"/>
      <c r="GI130" s="325"/>
      <c r="GJ130" s="325"/>
      <c r="GK130" s="325"/>
      <c r="GL130" s="325"/>
    </row>
    <row r="131" customFormat="false" ht="24.75" hidden="false" customHeight="true" outlineLevel="0" collapsed="false">
      <c r="A131" s="390" t="s">
        <v>1573</v>
      </c>
      <c r="B131" s="411"/>
      <c r="C131" s="411"/>
      <c r="D131" s="412" t="n">
        <v>12.75588</v>
      </c>
      <c r="E131" s="411" t="n">
        <f aca="false">$D131*E67</f>
        <v>3796.39285714286</v>
      </c>
      <c r="F131" s="411" t="n">
        <f aca="false">$D131*F67</f>
        <v>7592.78571428571</v>
      </c>
      <c r="G131" s="411" t="n">
        <f aca="false">$D131*G67</f>
        <v>15185.5714285714</v>
      </c>
      <c r="H131" s="411" t="n">
        <f aca="false">$D131*H67</f>
        <v>22778.3571428572</v>
      </c>
      <c r="I131" s="411" t="n">
        <f aca="false">$D131*I67</f>
        <v>30371.1428571428</v>
      </c>
      <c r="J131" s="411" t="n">
        <f aca="false">$D131*J67</f>
        <v>37963.9285714286</v>
      </c>
      <c r="K131" s="411" t="n">
        <f aca="false">$D131*K67</f>
        <v>45556.7142857143</v>
      </c>
      <c r="L131" s="411" t="n">
        <f aca="false">$D131*L67</f>
        <v>53149.5</v>
      </c>
      <c r="M131" s="411" t="n">
        <f aca="false">$D131*M67</f>
        <v>60742.2857142857</v>
      </c>
      <c r="N131" s="393" t="n">
        <f aca="false">$D131*N67*1.05</f>
        <v>71751.825</v>
      </c>
      <c r="O131" s="393" t="n">
        <f aca="false">$D131*O67*1.05</f>
        <v>79724.25</v>
      </c>
      <c r="P131" s="393" t="n">
        <f aca="false">$D131*P67*1.05</f>
        <v>87696.675</v>
      </c>
      <c r="Q131" s="393" t="n">
        <f aca="false">$D131*Q67*1.05</f>
        <v>95669.1</v>
      </c>
      <c r="R131" s="393" t="n">
        <f aca="false">$D131*R67*1.05</f>
        <v>103641.525</v>
      </c>
      <c r="S131" s="393" t="n">
        <f aca="false">$D131*S67*1.05</f>
        <v>111613.95</v>
      </c>
      <c r="T131" s="393" t="n">
        <f aca="false">$D131*T67*1.05</f>
        <v>119586.375</v>
      </c>
      <c r="U131" s="393" t="n">
        <f aca="false">$D131*U67*1.05</f>
        <v>127558.8</v>
      </c>
      <c r="V131" s="393" t="n">
        <f aca="false">$D131*V67*1.05</f>
        <v>135531.225</v>
      </c>
      <c r="W131" s="393" t="n">
        <f aca="false">$D131*W67*1.05</f>
        <v>143503.65</v>
      </c>
      <c r="X131" s="393" t="n">
        <f aca="false">$D131*X67*1.05</f>
        <v>151476.075</v>
      </c>
      <c r="Y131" s="393" t="n">
        <f aca="false">$D131*Y67*1.05</f>
        <v>159448.5</v>
      </c>
      <c r="Z131" s="394" t="n">
        <f aca="false">$D131*Z67*1.1</f>
        <v>292322.25</v>
      </c>
      <c r="AA131" s="394" t="n">
        <f aca="false">$D131*AA67*1.1</f>
        <v>292322.25</v>
      </c>
      <c r="AB131" s="394" t="n">
        <f aca="false">$D131*AB67*1.1</f>
        <v>292322.25</v>
      </c>
      <c r="AC131" s="394" t="n">
        <f aca="false">$D131*AC67*1.1</f>
        <v>292322.25</v>
      </c>
      <c r="AD131" s="394" t="n">
        <f aca="false">$D131*AD67*1.1</f>
        <v>292322.25</v>
      </c>
      <c r="AE131" s="394" t="n">
        <f aca="false">$D131*AE67*1.1</f>
        <v>292322.25</v>
      </c>
      <c r="AF131" s="394" t="n">
        <f aca="false">$D131*AF67*1.1</f>
        <v>292322.25</v>
      </c>
      <c r="AG131" s="394" t="n">
        <f aca="false">$D131*AG67*1.1</f>
        <v>292322.25</v>
      </c>
      <c r="AH131" s="394" t="n">
        <f aca="false">$D131*AH67*1.1</f>
        <v>292322.25</v>
      </c>
      <c r="AI131" s="394" t="n">
        <f aca="false">$D131*AI67*1.1</f>
        <v>292322.25</v>
      </c>
      <c r="AJ131" s="394" t="n">
        <f aca="false">$D131*AJ67*1.1</f>
        <v>292322.25</v>
      </c>
      <c r="AK131" s="394" t="n">
        <f aca="false">$D131*AK67*1.1</f>
        <v>292322.25</v>
      </c>
      <c r="AL131" s="395" t="n">
        <f aca="false">$D131*AL67*1.15</f>
        <v>305609.624999999</v>
      </c>
      <c r="AM131" s="395" t="n">
        <f aca="false">$D131*AM67*1.15</f>
        <v>305609.624999999</v>
      </c>
      <c r="AN131" s="395" t="n">
        <f aca="false">$D131*AN67*1.15</f>
        <v>305609.624999999</v>
      </c>
      <c r="AO131" s="395" t="n">
        <f aca="false">$D131*AO67*1.15</f>
        <v>305609.624999999</v>
      </c>
      <c r="AP131" s="395" t="n">
        <f aca="false">$D131*AP67*1.15</f>
        <v>305609.624999999</v>
      </c>
      <c r="AQ131" s="395" t="n">
        <f aca="false">$D131*AQ67*1.15</f>
        <v>305609.624999999</v>
      </c>
      <c r="AR131" s="395" t="n">
        <f aca="false">$D131*AR67*1.15</f>
        <v>305609.624999999</v>
      </c>
      <c r="AS131" s="395" t="n">
        <f aca="false">$D131*AS67*1.15</f>
        <v>305609.624999999</v>
      </c>
      <c r="AT131" s="395" t="n">
        <f aca="false">$D131*AT67*1.15</f>
        <v>305609.624999999</v>
      </c>
      <c r="AU131" s="395" t="n">
        <f aca="false">$D131*AU67*1.15</f>
        <v>305609.624999999</v>
      </c>
      <c r="AV131" s="395" t="n">
        <f aca="false">$D131*AV67*1.15</f>
        <v>305609.624999999</v>
      </c>
      <c r="AW131" s="395" t="n">
        <f aca="false">$D131*AW67*1.15</f>
        <v>305609.624999999</v>
      </c>
      <c r="AX131" s="396" t="n">
        <f aca="false">$D131*AX67*1.2</f>
        <v>318896.999999999</v>
      </c>
      <c r="AY131" s="396" t="n">
        <f aca="false">$D131*AY67*1.2</f>
        <v>318896.999999999</v>
      </c>
      <c r="AZ131" s="396" t="n">
        <f aca="false">$D131*AZ67*1.2</f>
        <v>318896.999999999</v>
      </c>
      <c r="BA131" s="396" t="n">
        <f aca="false">$D131*BA67*1.2</f>
        <v>318896.999999999</v>
      </c>
      <c r="BB131" s="396" t="n">
        <f aca="false">$D131*BB67*1.2</f>
        <v>318896.999999999</v>
      </c>
      <c r="BC131" s="396" t="n">
        <f aca="false">$D131*BC67*1.2</f>
        <v>318896.999999999</v>
      </c>
      <c r="BD131" s="396" t="n">
        <f aca="false">$D131*BD67*1.2</f>
        <v>318896.999999999</v>
      </c>
      <c r="BE131" s="396" t="n">
        <f aca="false">$D131*BE67*1.2</f>
        <v>318896.999999999</v>
      </c>
      <c r="BF131" s="396" t="n">
        <f aca="false">$D131*BF67*1.2</f>
        <v>318896.999999999</v>
      </c>
      <c r="BG131" s="396" t="n">
        <f aca="false">$D131*BG67*1.2</f>
        <v>318896.999999999</v>
      </c>
      <c r="BH131" s="396" t="n">
        <f aca="false">$D131*BH67*1.2</f>
        <v>318896.999999999</v>
      </c>
      <c r="BI131" s="396" t="n">
        <f aca="false">$D131*BI67*1.2</f>
        <v>318896.999999999</v>
      </c>
      <c r="BJ131" s="413" t="n">
        <f aca="false">SUM(E131:M131)</f>
        <v>277136.678571429</v>
      </c>
      <c r="BK131" s="413" t="n">
        <f aca="false">SUM(N131:Y131)</f>
        <v>1387201.95</v>
      </c>
      <c r="BL131" s="413" t="n">
        <f aca="false">SUM(Z131:AK131)</f>
        <v>3507866.99999999</v>
      </c>
      <c r="BM131" s="413" t="n">
        <f aca="false">SUM(AL131:AW131)</f>
        <v>3667315.49999999</v>
      </c>
      <c r="BN131" s="413" t="n">
        <f aca="false">SUM(AX131:BI131)</f>
        <v>3826763.99999999</v>
      </c>
      <c r="BO131" s="325"/>
      <c r="BP131" s="325"/>
      <c r="BQ131" s="325"/>
      <c r="BR131" s="325"/>
      <c r="BS131" s="325"/>
      <c r="BT131" s="325"/>
      <c r="BU131" s="325"/>
      <c r="BV131" s="325"/>
      <c r="BW131" s="325"/>
      <c r="BX131" s="325"/>
      <c r="BY131" s="325"/>
      <c r="BZ131" s="325"/>
      <c r="CA131" s="325"/>
      <c r="CB131" s="325"/>
      <c r="CC131" s="325"/>
      <c r="CD131" s="325"/>
      <c r="CE131" s="325"/>
      <c r="CF131" s="325"/>
      <c r="CG131" s="325"/>
      <c r="CH131" s="325"/>
      <c r="CI131" s="325"/>
      <c r="CJ131" s="325"/>
      <c r="CK131" s="325"/>
      <c r="CL131" s="325"/>
      <c r="CM131" s="325"/>
      <c r="CN131" s="325"/>
      <c r="CO131" s="325"/>
      <c r="CP131" s="325"/>
      <c r="CQ131" s="325"/>
      <c r="CR131" s="325"/>
      <c r="CS131" s="325"/>
      <c r="CT131" s="325"/>
      <c r="CU131" s="325"/>
      <c r="CV131" s="325"/>
      <c r="CW131" s="325"/>
      <c r="CX131" s="325"/>
      <c r="CY131" s="325"/>
      <c r="CZ131" s="325"/>
      <c r="DA131" s="325"/>
      <c r="DB131" s="325"/>
      <c r="DC131" s="325"/>
      <c r="DD131" s="325"/>
      <c r="DE131" s="325"/>
      <c r="DF131" s="325"/>
      <c r="DG131" s="325"/>
      <c r="DH131" s="325"/>
      <c r="DI131" s="325"/>
      <c r="DJ131" s="325"/>
      <c r="DK131" s="325"/>
      <c r="DL131" s="325"/>
      <c r="DM131" s="325"/>
      <c r="DN131" s="325"/>
      <c r="DO131" s="325"/>
      <c r="DP131" s="325"/>
      <c r="DQ131" s="325"/>
      <c r="DR131" s="325"/>
      <c r="DS131" s="325"/>
      <c r="DT131" s="325"/>
      <c r="DU131" s="325"/>
      <c r="DV131" s="325"/>
      <c r="DW131" s="325"/>
      <c r="DX131" s="325"/>
      <c r="DY131" s="325"/>
      <c r="DZ131" s="325"/>
      <c r="EA131" s="325"/>
      <c r="EB131" s="325"/>
      <c r="EC131" s="325"/>
      <c r="ED131" s="325"/>
      <c r="EE131" s="325"/>
      <c r="EF131" s="325"/>
      <c r="EG131" s="325"/>
      <c r="EH131" s="325"/>
      <c r="EI131" s="325"/>
      <c r="EJ131" s="325"/>
      <c r="EK131" s="325"/>
      <c r="EL131" s="325"/>
      <c r="EM131" s="325"/>
      <c r="EN131" s="325"/>
      <c r="EO131" s="325"/>
      <c r="EP131" s="325"/>
      <c r="EQ131" s="325"/>
      <c r="ER131" s="325"/>
      <c r="ES131" s="325"/>
      <c r="ET131" s="325"/>
      <c r="EU131" s="325"/>
      <c r="EV131" s="325"/>
      <c r="EW131" s="325"/>
      <c r="EX131" s="325"/>
      <c r="EY131" s="325"/>
      <c r="EZ131" s="325"/>
      <c r="FA131" s="325"/>
      <c r="FB131" s="325"/>
      <c r="FC131" s="325"/>
      <c r="FD131" s="325"/>
      <c r="FE131" s="325"/>
      <c r="FF131" s="325"/>
      <c r="FG131" s="325"/>
      <c r="FH131" s="325"/>
      <c r="FI131" s="325"/>
      <c r="FJ131" s="325"/>
      <c r="FK131" s="325"/>
      <c r="FL131" s="325"/>
      <c r="FM131" s="325"/>
      <c r="FN131" s="325"/>
      <c r="FO131" s="325"/>
      <c r="FP131" s="325"/>
      <c r="FQ131" s="325"/>
      <c r="FR131" s="325"/>
      <c r="FS131" s="325"/>
      <c r="FT131" s="325"/>
      <c r="FU131" s="325"/>
      <c r="FV131" s="325"/>
      <c r="FW131" s="325"/>
      <c r="FX131" s="325"/>
      <c r="FY131" s="325"/>
      <c r="FZ131" s="325"/>
      <c r="GA131" s="325"/>
      <c r="GB131" s="325"/>
      <c r="GC131" s="325"/>
      <c r="GD131" s="325"/>
      <c r="GE131" s="325"/>
      <c r="GF131" s="325"/>
      <c r="GG131" s="325"/>
      <c r="GH131" s="325"/>
      <c r="GI131" s="325"/>
      <c r="GJ131" s="325"/>
      <c r="GK131" s="325"/>
      <c r="GL131" s="325"/>
    </row>
    <row r="132" customFormat="false" ht="24.75" hidden="false" customHeight="true" outlineLevel="0" collapsed="false">
      <c r="A132" s="390" t="s">
        <v>1574</v>
      </c>
      <c r="B132" s="411"/>
      <c r="C132" s="411"/>
      <c r="D132" s="412" t="n">
        <v>13.0606</v>
      </c>
      <c r="E132" s="411" t="n">
        <f aca="false">$D132*E68</f>
        <v>6316.51041666666</v>
      </c>
      <c r="F132" s="411" t="n">
        <f aca="false">$D132*F68</f>
        <v>12633.0208333333</v>
      </c>
      <c r="G132" s="411" t="n">
        <f aca="false">$D132*G68</f>
        <v>25266.0416666667</v>
      </c>
      <c r="H132" s="411" t="n">
        <f aca="false">$D132*H68</f>
        <v>37899.0625</v>
      </c>
      <c r="I132" s="411" t="n">
        <f aca="false">$D132*I68</f>
        <v>50532.0833333334</v>
      </c>
      <c r="J132" s="411" t="n">
        <f aca="false">$D132*J68</f>
        <v>63165.1041666666</v>
      </c>
      <c r="K132" s="411" t="n">
        <f aca="false">$D132*K68</f>
        <v>75798.125</v>
      </c>
      <c r="L132" s="411" t="n">
        <f aca="false">$D132*L68</f>
        <v>88431.1458333333</v>
      </c>
      <c r="M132" s="411" t="n">
        <f aca="false">$D132*M68</f>
        <v>101064.166666667</v>
      </c>
      <c r="N132" s="393" t="n">
        <f aca="false">$D132*N68*1.05</f>
        <v>119382.046875</v>
      </c>
      <c r="O132" s="393" t="n">
        <f aca="false">$D132*O68*1.05</f>
        <v>132646.71875</v>
      </c>
      <c r="P132" s="393" t="n">
        <f aca="false">$D132*P68*1.05</f>
        <v>145911.390625001</v>
      </c>
      <c r="Q132" s="393" t="n">
        <f aca="false">$D132*Q68*1.05</f>
        <v>159176.062500001</v>
      </c>
      <c r="R132" s="393" t="n">
        <f aca="false">$D132*R68*1.05</f>
        <v>172440.734375001</v>
      </c>
      <c r="S132" s="393" t="n">
        <f aca="false">$D132*S68*1.05</f>
        <v>185705.406250001</v>
      </c>
      <c r="T132" s="393" t="n">
        <f aca="false">$D132*T68*1.05</f>
        <v>198970.078125</v>
      </c>
      <c r="U132" s="393" t="n">
        <f aca="false">$D132*U68*1.05</f>
        <v>212234.75</v>
      </c>
      <c r="V132" s="393" t="n">
        <f aca="false">$D132*V68*1.05</f>
        <v>225499.421875</v>
      </c>
      <c r="W132" s="393" t="n">
        <f aca="false">$D132*W68*1.05</f>
        <v>238764.09375</v>
      </c>
      <c r="X132" s="393" t="n">
        <f aca="false">$D132*X68*1.05</f>
        <v>252028.765625</v>
      </c>
      <c r="Y132" s="393" t="n">
        <f aca="false">$D132*Y68*1.05</f>
        <v>265293.4375</v>
      </c>
      <c r="Z132" s="394" t="n">
        <f aca="false">$D132*Z68*1.1</f>
        <v>486371.302083334</v>
      </c>
      <c r="AA132" s="394" t="n">
        <f aca="false">$D132*AA68*1.1</f>
        <v>486371.302083334</v>
      </c>
      <c r="AB132" s="394" t="n">
        <f aca="false">$D132*AB68*1.1</f>
        <v>486371.302083334</v>
      </c>
      <c r="AC132" s="394" t="n">
        <f aca="false">$D132*AC68*1.1</f>
        <v>486371.302083334</v>
      </c>
      <c r="AD132" s="394" t="n">
        <f aca="false">$D132*AD68*1.1</f>
        <v>486371.302083334</v>
      </c>
      <c r="AE132" s="394" t="n">
        <f aca="false">$D132*AE68*1.1</f>
        <v>486371.302083334</v>
      </c>
      <c r="AF132" s="394" t="n">
        <f aca="false">$D132*AF68*1.1</f>
        <v>486371.302083334</v>
      </c>
      <c r="AG132" s="394" t="n">
        <f aca="false">$D132*AG68*1.1</f>
        <v>486371.302083334</v>
      </c>
      <c r="AH132" s="394" t="n">
        <f aca="false">$D132*AH68*1.1</f>
        <v>486371.302083334</v>
      </c>
      <c r="AI132" s="394" t="n">
        <f aca="false">$D132*AI68*1.1</f>
        <v>486371.302083334</v>
      </c>
      <c r="AJ132" s="394" t="n">
        <f aca="false">$D132*AJ68*1.1</f>
        <v>486371.302083334</v>
      </c>
      <c r="AK132" s="394" t="n">
        <f aca="false">$D132*AK68*1.1</f>
        <v>486371.302083334</v>
      </c>
      <c r="AL132" s="395" t="n">
        <f aca="false">$D132*AL68*1.15</f>
        <v>508479.088541667</v>
      </c>
      <c r="AM132" s="395" t="n">
        <f aca="false">$D132*AM68*1.15</f>
        <v>508479.088541667</v>
      </c>
      <c r="AN132" s="395" t="n">
        <f aca="false">$D132*AN68*1.15</f>
        <v>508479.088541667</v>
      </c>
      <c r="AO132" s="395" t="n">
        <f aca="false">$D132*AO68*1.15</f>
        <v>508479.088541667</v>
      </c>
      <c r="AP132" s="395" t="n">
        <f aca="false">$D132*AP68*1.15</f>
        <v>508479.088541667</v>
      </c>
      <c r="AQ132" s="395" t="n">
        <f aca="false">$D132*AQ68*1.15</f>
        <v>508479.088541667</v>
      </c>
      <c r="AR132" s="395" t="n">
        <f aca="false">$D132*AR68*1.15</f>
        <v>508479.088541667</v>
      </c>
      <c r="AS132" s="395" t="n">
        <f aca="false">$D132*AS68*1.15</f>
        <v>508479.088541667</v>
      </c>
      <c r="AT132" s="395" t="n">
        <f aca="false">$D132*AT68*1.15</f>
        <v>508479.088541667</v>
      </c>
      <c r="AU132" s="395" t="n">
        <f aca="false">$D132*AU68*1.15</f>
        <v>508479.088541667</v>
      </c>
      <c r="AV132" s="395" t="n">
        <f aca="false">$D132*AV68*1.15</f>
        <v>508479.088541667</v>
      </c>
      <c r="AW132" s="395" t="n">
        <f aca="false">$D132*AW68*1.15</f>
        <v>508479.088541667</v>
      </c>
      <c r="AX132" s="396" t="n">
        <f aca="false">$D132*AX68*1.2</f>
        <v>530586.875000001</v>
      </c>
      <c r="AY132" s="396" t="n">
        <f aca="false">$D132*AY68*1.2</f>
        <v>530586.875000001</v>
      </c>
      <c r="AZ132" s="396" t="n">
        <f aca="false">$D132*AZ68*1.2</f>
        <v>530586.875000001</v>
      </c>
      <c r="BA132" s="396" t="n">
        <f aca="false">$D132*BA68*1.2</f>
        <v>530586.875000001</v>
      </c>
      <c r="BB132" s="396" t="n">
        <f aca="false">$D132*BB68*1.2</f>
        <v>530586.875000001</v>
      </c>
      <c r="BC132" s="396" t="n">
        <f aca="false">$D132*BC68*1.2</f>
        <v>530586.875000001</v>
      </c>
      <c r="BD132" s="396" t="n">
        <f aca="false">$D132*BD68*1.2</f>
        <v>530586.875000001</v>
      </c>
      <c r="BE132" s="396" t="n">
        <f aca="false">$D132*BE68*1.2</f>
        <v>530586.875000001</v>
      </c>
      <c r="BF132" s="396" t="n">
        <f aca="false">$D132*BF68*1.2</f>
        <v>530586.875000001</v>
      </c>
      <c r="BG132" s="396" t="n">
        <f aca="false">$D132*BG68*1.2</f>
        <v>530586.875000001</v>
      </c>
      <c r="BH132" s="396" t="n">
        <f aca="false">$D132*BH68*1.2</f>
        <v>530586.875000001</v>
      </c>
      <c r="BI132" s="396" t="n">
        <f aca="false">$D132*BI68*1.2</f>
        <v>530586.875000001</v>
      </c>
      <c r="BJ132" s="413" t="n">
        <f aca="false">SUM(E132:M132)</f>
        <v>461105.260416667</v>
      </c>
      <c r="BK132" s="413" t="n">
        <f aca="false">SUM(N132:Y132)</f>
        <v>2308052.90625</v>
      </c>
      <c r="BL132" s="413" t="n">
        <f aca="false">SUM(Z132:AK132)</f>
        <v>5836455.62500001</v>
      </c>
      <c r="BM132" s="413" t="n">
        <f aca="false">SUM(AL132:AW132)</f>
        <v>6101749.06250001</v>
      </c>
      <c r="BN132" s="413" t="n">
        <f aca="false">SUM(AX132:BI132)</f>
        <v>6367042.50000001</v>
      </c>
      <c r="BO132" s="325"/>
      <c r="BP132" s="325"/>
      <c r="BQ132" s="325"/>
      <c r="BR132" s="325"/>
      <c r="BS132" s="325"/>
      <c r="BT132" s="325"/>
      <c r="BU132" s="325"/>
      <c r="BV132" s="325"/>
      <c r="BW132" s="325"/>
      <c r="BX132" s="325"/>
      <c r="BY132" s="325"/>
      <c r="BZ132" s="325"/>
      <c r="CA132" s="325"/>
      <c r="CB132" s="325"/>
      <c r="CC132" s="325"/>
      <c r="CD132" s="325"/>
      <c r="CE132" s="325"/>
      <c r="CF132" s="325"/>
      <c r="CG132" s="325"/>
      <c r="CH132" s="325"/>
      <c r="CI132" s="325"/>
      <c r="CJ132" s="325"/>
      <c r="CK132" s="325"/>
      <c r="CL132" s="325"/>
      <c r="CM132" s="325"/>
      <c r="CN132" s="325"/>
      <c r="CO132" s="325"/>
      <c r="CP132" s="325"/>
      <c r="CQ132" s="325"/>
      <c r="CR132" s="325"/>
      <c r="CS132" s="325"/>
      <c r="CT132" s="325"/>
      <c r="CU132" s="325"/>
      <c r="CV132" s="325"/>
      <c r="CW132" s="325"/>
      <c r="CX132" s="325"/>
      <c r="CY132" s="325"/>
      <c r="CZ132" s="325"/>
      <c r="DA132" s="325"/>
      <c r="DB132" s="325"/>
      <c r="DC132" s="325"/>
      <c r="DD132" s="325"/>
      <c r="DE132" s="325"/>
      <c r="DF132" s="325"/>
      <c r="DG132" s="325"/>
      <c r="DH132" s="325"/>
      <c r="DI132" s="325"/>
      <c r="DJ132" s="325"/>
      <c r="DK132" s="325"/>
      <c r="DL132" s="325"/>
      <c r="DM132" s="325"/>
      <c r="DN132" s="325"/>
      <c r="DO132" s="325"/>
      <c r="DP132" s="325"/>
      <c r="DQ132" s="325"/>
      <c r="DR132" s="325"/>
      <c r="DS132" s="325"/>
      <c r="DT132" s="325"/>
      <c r="DU132" s="325"/>
      <c r="DV132" s="325"/>
      <c r="DW132" s="325"/>
      <c r="DX132" s="325"/>
      <c r="DY132" s="325"/>
      <c r="DZ132" s="325"/>
      <c r="EA132" s="325"/>
      <c r="EB132" s="325"/>
      <c r="EC132" s="325"/>
      <c r="ED132" s="325"/>
      <c r="EE132" s="325"/>
      <c r="EF132" s="325"/>
      <c r="EG132" s="325"/>
      <c r="EH132" s="325"/>
      <c r="EI132" s="325"/>
      <c r="EJ132" s="325"/>
      <c r="EK132" s="325"/>
      <c r="EL132" s="325"/>
      <c r="EM132" s="325"/>
      <c r="EN132" s="325"/>
      <c r="EO132" s="325"/>
      <c r="EP132" s="325"/>
      <c r="EQ132" s="325"/>
      <c r="ER132" s="325"/>
      <c r="ES132" s="325"/>
      <c r="ET132" s="325"/>
      <c r="EU132" s="325"/>
      <c r="EV132" s="325"/>
      <c r="EW132" s="325"/>
      <c r="EX132" s="325"/>
      <c r="EY132" s="325"/>
      <c r="EZ132" s="325"/>
      <c r="FA132" s="325"/>
      <c r="FB132" s="325"/>
      <c r="FC132" s="325"/>
      <c r="FD132" s="325"/>
      <c r="FE132" s="325"/>
      <c r="FF132" s="325"/>
      <c r="FG132" s="325"/>
      <c r="FH132" s="325"/>
      <c r="FI132" s="325"/>
      <c r="FJ132" s="325"/>
      <c r="FK132" s="325"/>
      <c r="FL132" s="325"/>
      <c r="FM132" s="325"/>
      <c r="FN132" s="325"/>
      <c r="FO132" s="325"/>
      <c r="FP132" s="325"/>
      <c r="FQ132" s="325"/>
      <c r="FR132" s="325"/>
      <c r="FS132" s="325"/>
      <c r="FT132" s="325"/>
      <c r="FU132" s="325"/>
      <c r="FV132" s="325"/>
      <c r="FW132" s="325"/>
      <c r="FX132" s="325"/>
      <c r="FY132" s="325"/>
      <c r="FZ132" s="325"/>
      <c r="GA132" s="325"/>
      <c r="GB132" s="325"/>
      <c r="GC132" s="325"/>
      <c r="GD132" s="325"/>
      <c r="GE132" s="325"/>
      <c r="GF132" s="325"/>
      <c r="GG132" s="325"/>
      <c r="GH132" s="325"/>
      <c r="GI132" s="325"/>
      <c r="GJ132" s="325"/>
      <c r="GK132" s="325"/>
      <c r="GL132" s="325"/>
    </row>
    <row r="133" customFormat="false" ht="24.75" hidden="false" customHeight="true" outlineLevel="0" collapsed="false">
      <c r="A133" s="390" t="s">
        <v>1575</v>
      </c>
      <c r="B133" s="411"/>
      <c r="C133" s="411"/>
      <c r="D133" s="412" t="n">
        <v>12.83624</v>
      </c>
      <c r="E133" s="411" t="n">
        <f aca="false">$D133*E69</f>
        <v>3820.30952380953</v>
      </c>
      <c r="F133" s="411" t="n">
        <f aca="false">$D133*F69</f>
        <v>7640.61904761904</v>
      </c>
      <c r="G133" s="411" t="n">
        <f aca="false">$D133*G69</f>
        <v>15281.2380952381</v>
      </c>
      <c r="H133" s="411" t="n">
        <f aca="false">$D133*H69</f>
        <v>22921.8571428572</v>
      </c>
      <c r="I133" s="411" t="n">
        <f aca="false">$D133*I69</f>
        <v>30562.4761904762</v>
      </c>
      <c r="J133" s="411" t="n">
        <f aca="false">$D133*J69</f>
        <v>38203.0952380953</v>
      </c>
      <c r="K133" s="411" t="n">
        <f aca="false">$D133*K69</f>
        <v>45843.7142857143</v>
      </c>
      <c r="L133" s="411" t="n">
        <f aca="false">$D133*L69</f>
        <v>53484.3333333334</v>
      </c>
      <c r="M133" s="411" t="n">
        <f aca="false">$D133*M69</f>
        <v>61124.9523809524</v>
      </c>
      <c r="N133" s="393" t="n">
        <f aca="false">$D133*N69*1.05</f>
        <v>72203.85</v>
      </c>
      <c r="O133" s="393" t="n">
        <f aca="false">$D133*O69*1.05</f>
        <v>80226.5</v>
      </c>
      <c r="P133" s="393" t="n">
        <f aca="false">$D133*P69*1.05</f>
        <v>88249.15</v>
      </c>
      <c r="Q133" s="393" t="n">
        <f aca="false">$D133*Q69*1.05</f>
        <v>96271.8</v>
      </c>
      <c r="R133" s="393" t="n">
        <f aca="false">$D133*R69*1.05</f>
        <v>104294.45</v>
      </c>
      <c r="S133" s="393" t="n">
        <f aca="false">$D133*S69*1.05</f>
        <v>112317.1</v>
      </c>
      <c r="T133" s="393" t="n">
        <f aca="false">$D133*T69*1.05</f>
        <v>120339.75</v>
      </c>
      <c r="U133" s="393" t="n">
        <f aca="false">$D133*U69*1.05</f>
        <v>128362.4</v>
      </c>
      <c r="V133" s="393" t="n">
        <f aca="false">$D133*V69*1.05</f>
        <v>136385.05</v>
      </c>
      <c r="W133" s="393" t="n">
        <f aca="false">$D133*W69*1.05</f>
        <v>144407.7</v>
      </c>
      <c r="X133" s="393" t="n">
        <f aca="false">$D133*X69*1.05</f>
        <v>152430.35</v>
      </c>
      <c r="Y133" s="393" t="n">
        <f aca="false">$D133*Y69*1.05</f>
        <v>160453</v>
      </c>
      <c r="Z133" s="394" t="n">
        <f aca="false">$D133*Z69*1.1</f>
        <v>294163.833333333</v>
      </c>
      <c r="AA133" s="394" t="n">
        <f aca="false">$D133*AA69*1.1</f>
        <v>294163.833333333</v>
      </c>
      <c r="AB133" s="394" t="n">
        <f aca="false">$D133*AB69*1.1</f>
        <v>294163.833333333</v>
      </c>
      <c r="AC133" s="394" t="n">
        <f aca="false">$D133*AC69*1.1</f>
        <v>294163.833333333</v>
      </c>
      <c r="AD133" s="394" t="n">
        <f aca="false">$D133*AD69*1.1</f>
        <v>294163.833333333</v>
      </c>
      <c r="AE133" s="394" t="n">
        <f aca="false">$D133*AE69*1.1</f>
        <v>294163.833333333</v>
      </c>
      <c r="AF133" s="394" t="n">
        <f aca="false">$D133*AF69*1.1</f>
        <v>294163.833333333</v>
      </c>
      <c r="AG133" s="394" t="n">
        <f aca="false">$D133*AG69*1.1</f>
        <v>294163.833333333</v>
      </c>
      <c r="AH133" s="394" t="n">
        <f aca="false">$D133*AH69*1.1</f>
        <v>294163.833333333</v>
      </c>
      <c r="AI133" s="394" t="n">
        <f aca="false">$D133*AI69*1.1</f>
        <v>294163.833333333</v>
      </c>
      <c r="AJ133" s="394" t="n">
        <f aca="false">$D133*AJ69*1.1</f>
        <v>294163.833333333</v>
      </c>
      <c r="AK133" s="394" t="n">
        <f aca="false">$D133*AK69*1.1</f>
        <v>294163.833333333</v>
      </c>
      <c r="AL133" s="395" t="n">
        <f aca="false">$D133*AL69*1.15</f>
        <v>307534.916666666</v>
      </c>
      <c r="AM133" s="395" t="n">
        <f aca="false">$D133*AM69*1.15</f>
        <v>307534.916666666</v>
      </c>
      <c r="AN133" s="395" t="n">
        <f aca="false">$D133*AN69*1.15</f>
        <v>307534.916666666</v>
      </c>
      <c r="AO133" s="395" t="n">
        <f aca="false">$D133*AO69*1.15</f>
        <v>307534.916666666</v>
      </c>
      <c r="AP133" s="395" t="n">
        <f aca="false">$D133*AP69*1.15</f>
        <v>307534.916666666</v>
      </c>
      <c r="AQ133" s="395" t="n">
        <f aca="false">$D133*AQ69*1.15</f>
        <v>307534.916666666</v>
      </c>
      <c r="AR133" s="395" t="n">
        <f aca="false">$D133*AR69*1.15</f>
        <v>307534.916666666</v>
      </c>
      <c r="AS133" s="395" t="n">
        <f aca="false">$D133*AS69*1.15</f>
        <v>307534.916666666</v>
      </c>
      <c r="AT133" s="395" t="n">
        <f aca="false">$D133*AT69*1.15</f>
        <v>307534.916666666</v>
      </c>
      <c r="AU133" s="395" t="n">
        <f aca="false">$D133*AU69*1.15</f>
        <v>307534.916666666</v>
      </c>
      <c r="AV133" s="395" t="n">
        <f aca="false">$D133*AV69*1.15</f>
        <v>307534.916666666</v>
      </c>
      <c r="AW133" s="395" t="n">
        <f aca="false">$D133*AW69*1.15</f>
        <v>307534.916666666</v>
      </c>
      <c r="AX133" s="396" t="n">
        <f aca="false">$D133*AX69*1.2</f>
        <v>320906</v>
      </c>
      <c r="AY133" s="396" t="n">
        <f aca="false">$D133*AY69*1.2</f>
        <v>320906</v>
      </c>
      <c r="AZ133" s="396" t="n">
        <f aca="false">$D133*AZ69*1.2</f>
        <v>320906</v>
      </c>
      <c r="BA133" s="396" t="n">
        <f aca="false">$D133*BA69*1.2</f>
        <v>320906</v>
      </c>
      <c r="BB133" s="396" t="n">
        <f aca="false">$D133*BB69*1.2</f>
        <v>320906</v>
      </c>
      <c r="BC133" s="396" t="n">
        <f aca="false">$D133*BC69*1.2</f>
        <v>320906</v>
      </c>
      <c r="BD133" s="396" t="n">
        <f aca="false">$D133*BD69*1.2</f>
        <v>320906</v>
      </c>
      <c r="BE133" s="396" t="n">
        <f aca="false">$D133*BE69*1.2</f>
        <v>320906</v>
      </c>
      <c r="BF133" s="396" t="n">
        <f aca="false">$D133*BF69*1.2</f>
        <v>320906</v>
      </c>
      <c r="BG133" s="396" t="n">
        <f aca="false">$D133*BG69*1.2</f>
        <v>320906</v>
      </c>
      <c r="BH133" s="396" t="n">
        <f aca="false">$D133*BH69*1.2</f>
        <v>320906</v>
      </c>
      <c r="BI133" s="396" t="n">
        <f aca="false">$D133*BI69*1.2</f>
        <v>320906</v>
      </c>
      <c r="BJ133" s="413" t="n">
        <f aca="false">SUM(E133:M133)</f>
        <v>278882.595238095</v>
      </c>
      <c r="BK133" s="413" t="n">
        <f aca="false">SUM(N133:Y133)</f>
        <v>1395941.1</v>
      </c>
      <c r="BL133" s="413" t="n">
        <f aca="false">SUM(Z133:AK133)</f>
        <v>3529965.99999999</v>
      </c>
      <c r="BM133" s="413" t="n">
        <f aca="false">SUM(AL133:AW133)</f>
        <v>3690418.99999999</v>
      </c>
      <c r="BN133" s="413" t="n">
        <f aca="false">SUM(AX133:BI133)</f>
        <v>3850871.99999999</v>
      </c>
      <c r="BO133" s="325"/>
      <c r="BP133" s="325"/>
      <c r="BQ133" s="325"/>
      <c r="BR133" s="325"/>
      <c r="BS133" s="325"/>
      <c r="BT133" s="325"/>
      <c r="BU133" s="325"/>
      <c r="BV133" s="325"/>
      <c r="BW133" s="325"/>
      <c r="BX133" s="325"/>
      <c r="BY133" s="325"/>
      <c r="BZ133" s="325"/>
      <c r="CA133" s="325"/>
      <c r="CB133" s="325"/>
      <c r="CC133" s="325"/>
      <c r="CD133" s="325"/>
      <c r="CE133" s="325"/>
      <c r="CF133" s="325"/>
      <c r="CG133" s="325"/>
      <c r="CH133" s="325"/>
      <c r="CI133" s="325"/>
      <c r="CJ133" s="325"/>
      <c r="CK133" s="325"/>
      <c r="CL133" s="325"/>
      <c r="CM133" s="325"/>
      <c r="CN133" s="325"/>
      <c r="CO133" s="325"/>
      <c r="CP133" s="325"/>
      <c r="CQ133" s="325"/>
      <c r="CR133" s="325"/>
      <c r="CS133" s="325"/>
      <c r="CT133" s="325"/>
      <c r="CU133" s="325"/>
      <c r="CV133" s="325"/>
      <c r="CW133" s="325"/>
      <c r="CX133" s="325"/>
      <c r="CY133" s="325"/>
      <c r="CZ133" s="325"/>
      <c r="DA133" s="325"/>
      <c r="DB133" s="325"/>
      <c r="DC133" s="325"/>
      <c r="DD133" s="325"/>
      <c r="DE133" s="325"/>
      <c r="DF133" s="325"/>
      <c r="DG133" s="325"/>
      <c r="DH133" s="325"/>
      <c r="DI133" s="325"/>
      <c r="DJ133" s="325"/>
      <c r="DK133" s="325"/>
      <c r="DL133" s="325"/>
      <c r="DM133" s="325"/>
      <c r="DN133" s="325"/>
      <c r="DO133" s="325"/>
      <c r="DP133" s="325"/>
      <c r="DQ133" s="325"/>
      <c r="DR133" s="325"/>
      <c r="DS133" s="325"/>
      <c r="DT133" s="325"/>
      <c r="DU133" s="325"/>
      <c r="DV133" s="325"/>
      <c r="DW133" s="325"/>
      <c r="DX133" s="325"/>
      <c r="DY133" s="325"/>
      <c r="DZ133" s="325"/>
      <c r="EA133" s="325"/>
      <c r="EB133" s="325"/>
      <c r="EC133" s="325"/>
      <c r="ED133" s="325"/>
      <c r="EE133" s="325"/>
      <c r="EF133" s="325"/>
      <c r="EG133" s="325"/>
      <c r="EH133" s="325"/>
      <c r="EI133" s="325"/>
      <c r="EJ133" s="325"/>
      <c r="EK133" s="325"/>
      <c r="EL133" s="325"/>
      <c r="EM133" s="325"/>
      <c r="EN133" s="325"/>
      <c r="EO133" s="325"/>
      <c r="EP133" s="325"/>
      <c r="EQ133" s="325"/>
      <c r="ER133" s="325"/>
      <c r="ES133" s="325"/>
      <c r="ET133" s="325"/>
      <c r="EU133" s="325"/>
      <c r="EV133" s="325"/>
      <c r="EW133" s="325"/>
      <c r="EX133" s="325"/>
      <c r="EY133" s="325"/>
      <c r="EZ133" s="325"/>
      <c r="FA133" s="325"/>
      <c r="FB133" s="325"/>
      <c r="FC133" s="325"/>
      <c r="FD133" s="325"/>
      <c r="FE133" s="325"/>
      <c r="FF133" s="325"/>
      <c r="FG133" s="325"/>
      <c r="FH133" s="325"/>
      <c r="FI133" s="325"/>
      <c r="FJ133" s="325"/>
      <c r="FK133" s="325"/>
      <c r="FL133" s="325"/>
      <c r="FM133" s="325"/>
      <c r="FN133" s="325"/>
      <c r="FO133" s="325"/>
      <c r="FP133" s="325"/>
      <c r="FQ133" s="325"/>
      <c r="FR133" s="325"/>
      <c r="FS133" s="325"/>
      <c r="FT133" s="325"/>
      <c r="FU133" s="325"/>
      <c r="FV133" s="325"/>
      <c r="FW133" s="325"/>
      <c r="FX133" s="325"/>
      <c r="FY133" s="325"/>
      <c r="FZ133" s="325"/>
      <c r="GA133" s="325"/>
      <c r="GB133" s="325"/>
      <c r="GC133" s="325"/>
      <c r="GD133" s="325"/>
      <c r="GE133" s="325"/>
      <c r="GF133" s="325"/>
      <c r="GG133" s="325"/>
      <c r="GH133" s="325"/>
      <c r="GI133" s="325"/>
      <c r="GJ133" s="325"/>
      <c r="GK133" s="325"/>
      <c r="GL133" s="325"/>
    </row>
    <row r="134" customFormat="false" ht="24.75" hidden="false" customHeight="true" outlineLevel="0" collapsed="false">
      <c r="A134" s="398" t="s">
        <v>1576</v>
      </c>
      <c r="B134" s="411"/>
      <c r="C134" s="411"/>
      <c r="D134" s="412" t="n">
        <v>13.1765</v>
      </c>
      <c r="E134" s="411" t="n">
        <f aca="false">$D134*E70</f>
        <v>2941.18303571429</v>
      </c>
      <c r="F134" s="411" t="n">
        <f aca="false">$D134*F70</f>
        <v>5882.36607142858</v>
      </c>
      <c r="G134" s="411" t="n">
        <f aca="false">$D134*G70</f>
        <v>11764.7321428571</v>
      </c>
      <c r="H134" s="411" t="n">
        <f aca="false">$D134*H70</f>
        <v>17647.0982142857</v>
      </c>
      <c r="I134" s="411" t="n">
        <f aca="false">$D134*I70</f>
        <v>23529.4642857143</v>
      </c>
      <c r="J134" s="411" t="n">
        <f aca="false">$D134*J70</f>
        <v>29411.8303571429</v>
      </c>
      <c r="K134" s="411" t="n">
        <f aca="false">$D134*K70</f>
        <v>35294.1964285715</v>
      </c>
      <c r="L134" s="411" t="n">
        <f aca="false">$D134*L70</f>
        <v>41176.5625</v>
      </c>
      <c r="M134" s="411" t="n">
        <f aca="false">$D134*M70</f>
        <v>47058.9285714286</v>
      </c>
      <c r="N134" s="393" t="n">
        <f aca="false">$D134*N70*1.05</f>
        <v>55588.359375</v>
      </c>
      <c r="O134" s="393" t="n">
        <f aca="false">$D134*O70*1.05</f>
        <v>61764.8437500001</v>
      </c>
      <c r="P134" s="393" t="n">
        <f aca="false">$D134*P70*1.05</f>
        <v>67941.3281250001</v>
      </c>
      <c r="Q134" s="393" t="n">
        <f aca="false">$D134*Q70*1.05</f>
        <v>74117.8125</v>
      </c>
      <c r="R134" s="393" t="n">
        <f aca="false">$D134*R70*1.05</f>
        <v>80294.296875</v>
      </c>
      <c r="S134" s="393" t="n">
        <f aca="false">$D134*S70*1.05</f>
        <v>86470.78125</v>
      </c>
      <c r="T134" s="393" t="n">
        <f aca="false">$D134*T70*1.05</f>
        <v>92647.265625</v>
      </c>
      <c r="U134" s="393" t="n">
        <f aca="false">$D134*U70*1.05</f>
        <v>98823.75</v>
      </c>
      <c r="V134" s="393" t="n">
        <f aca="false">$D134*V70*1.05</f>
        <v>105000.234375</v>
      </c>
      <c r="W134" s="393" t="n">
        <f aca="false">$D134*W70*1.05</f>
        <v>111176.71875</v>
      </c>
      <c r="X134" s="393" t="n">
        <f aca="false">$D134*X70*1.05</f>
        <v>117353.203125</v>
      </c>
      <c r="Y134" s="393" t="n">
        <f aca="false">$D134*Y70*1.05</f>
        <v>123529.6875</v>
      </c>
      <c r="Z134" s="394" t="n">
        <f aca="false">$D134*Z70*1.1</f>
        <v>226471.09375</v>
      </c>
      <c r="AA134" s="394" t="n">
        <f aca="false">$D134*AA70*1.1</f>
        <v>226471.09375</v>
      </c>
      <c r="AB134" s="394" t="n">
        <f aca="false">$D134*AB70*1.1</f>
        <v>226471.09375</v>
      </c>
      <c r="AC134" s="394" t="n">
        <f aca="false">$D134*AC70*1.1</f>
        <v>226471.09375</v>
      </c>
      <c r="AD134" s="394" t="n">
        <f aca="false">$D134*AD70*1.1</f>
        <v>226471.09375</v>
      </c>
      <c r="AE134" s="394" t="n">
        <f aca="false">$D134*AE70*1.1</f>
        <v>226471.09375</v>
      </c>
      <c r="AF134" s="394" t="n">
        <f aca="false">$D134*AF70*1.1</f>
        <v>226471.09375</v>
      </c>
      <c r="AG134" s="394" t="n">
        <f aca="false">$D134*AG70*1.1</f>
        <v>226471.09375</v>
      </c>
      <c r="AH134" s="394" t="n">
        <f aca="false">$D134*AH70*1.1</f>
        <v>226471.09375</v>
      </c>
      <c r="AI134" s="394" t="n">
        <f aca="false">$D134*AI70*1.1</f>
        <v>226471.09375</v>
      </c>
      <c r="AJ134" s="394" t="n">
        <f aca="false">$D134*AJ70*1.1</f>
        <v>226471.09375</v>
      </c>
      <c r="AK134" s="394" t="n">
        <f aca="false">$D134*AK70*1.1</f>
        <v>226471.09375</v>
      </c>
      <c r="AL134" s="395" t="n">
        <f aca="false">$D134*AL70*1.15</f>
        <v>236765.234375</v>
      </c>
      <c r="AM134" s="395" t="n">
        <f aca="false">$D134*AM70*1.15</f>
        <v>236765.234375</v>
      </c>
      <c r="AN134" s="395" t="n">
        <f aca="false">$D134*AN70*1.15</f>
        <v>236765.234375</v>
      </c>
      <c r="AO134" s="395" t="n">
        <f aca="false">$D134*AO70*1.15</f>
        <v>236765.234375</v>
      </c>
      <c r="AP134" s="395" t="n">
        <f aca="false">$D134*AP70*1.15</f>
        <v>236765.234375</v>
      </c>
      <c r="AQ134" s="395" t="n">
        <f aca="false">$D134*AQ70*1.15</f>
        <v>236765.234375</v>
      </c>
      <c r="AR134" s="395" t="n">
        <f aca="false">$D134*AR70*1.15</f>
        <v>236765.234375</v>
      </c>
      <c r="AS134" s="395" t="n">
        <f aca="false">$D134*AS70*1.15</f>
        <v>236765.234375</v>
      </c>
      <c r="AT134" s="395" t="n">
        <f aca="false">$D134*AT70*1.15</f>
        <v>236765.234375</v>
      </c>
      <c r="AU134" s="395" t="n">
        <f aca="false">$D134*AU70*1.15</f>
        <v>236765.234375</v>
      </c>
      <c r="AV134" s="395" t="n">
        <f aca="false">$D134*AV70*1.15</f>
        <v>236765.234375</v>
      </c>
      <c r="AW134" s="395" t="n">
        <f aca="false">$D134*AW70*1.15</f>
        <v>236765.234375</v>
      </c>
      <c r="AX134" s="396" t="n">
        <f aca="false">$D134*AX70*1.2</f>
        <v>247059.375</v>
      </c>
      <c r="AY134" s="396" t="n">
        <f aca="false">$D134*AY70*1.2</f>
        <v>247059.375</v>
      </c>
      <c r="AZ134" s="396" t="n">
        <f aca="false">$D134*AZ70*1.2</f>
        <v>247059.375</v>
      </c>
      <c r="BA134" s="396" t="n">
        <f aca="false">$D134*BA70*1.2</f>
        <v>247059.375</v>
      </c>
      <c r="BB134" s="396" t="n">
        <f aca="false">$D134*BB70*1.2</f>
        <v>247059.375</v>
      </c>
      <c r="BC134" s="396" t="n">
        <f aca="false">$D134*BC70*1.2</f>
        <v>247059.375</v>
      </c>
      <c r="BD134" s="396" t="n">
        <f aca="false">$D134*BD70*1.2</f>
        <v>247059.375</v>
      </c>
      <c r="BE134" s="396" t="n">
        <f aca="false">$D134*BE70*1.2</f>
        <v>247059.375</v>
      </c>
      <c r="BF134" s="396" t="n">
        <f aca="false">$D134*BF70*1.2</f>
        <v>247059.375</v>
      </c>
      <c r="BG134" s="396" t="n">
        <f aca="false">$D134*BG70*1.2</f>
        <v>247059.375</v>
      </c>
      <c r="BH134" s="396" t="n">
        <f aca="false">$D134*BH70*1.2</f>
        <v>247059.375</v>
      </c>
      <c r="BI134" s="396" t="n">
        <f aca="false">$D134*BI70*1.2</f>
        <v>247059.375</v>
      </c>
      <c r="BJ134" s="413" t="n">
        <f aca="false">SUM(E134:M134)</f>
        <v>214706.361607143</v>
      </c>
      <c r="BK134" s="413" t="n">
        <f aca="false">SUM(N134:Y134)</f>
        <v>1074708.28125</v>
      </c>
      <c r="BL134" s="413" t="n">
        <f aca="false">SUM(Z134:AK134)</f>
        <v>2717653.125</v>
      </c>
      <c r="BM134" s="413" t="n">
        <f aca="false">SUM(AL134:AW134)</f>
        <v>2841182.8125</v>
      </c>
      <c r="BN134" s="413" t="n">
        <f aca="false">SUM(AX134:BI134)</f>
        <v>2964712.5</v>
      </c>
      <c r="BO134" s="325"/>
      <c r="BP134" s="325"/>
      <c r="BQ134" s="325"/>
      <c r="BR134" s="325"/>
      <c r="BS134" s="325"/>
      <c r="BT134" s="325"/>
      <c r="BU134" s="325"/>
      <c r="BV134" s="325"/>
      <c r="BW134" s="325"/>
      <c r="BX134" s="325"/>
      <c r="BY134" s="325"/>
      <c r="BZ134" s="325"/>
      <c r="CA134" s="325"/>
      <c r="CB134" s="325"/>
      <c r="CC134" s="325"/>
      <c r="CD134" s="325"/>
      <c r="CE134" s="325"/>
      <c r="CF134" s="325"/>
      <c r="CG134" s="325"/>
      <c r="CH134" s="325"/>
      <c r="CI134" s="325"/>
      <c r="CJ134" s="325"/>
      <c r="CK134" s="325"/>
      <c r="CL134" s="325"/>
      <c r="CM134" s="325"/>
      <c r="CN134" s="325"/>
      <c r="CO134" s="325"/>
      <c r="CP134" s="325"/>
      <c r="CQ134" s="325"/>
      <c r="CR134" s="325"/>
      <c r="CS134" s="325"/>
      <c r="CT134" s="325"/>
      <c r="CU134" s="325"/>
      <c r="CV134" s="325"/>
      <c r="CW134" s="325"/>
      <c r="CX134" s="325"/>
      <c r="CY134" s="325"/>
      <c r="CZ134" s="325"/>
      <c r="DA134" s="325"/>
      <c r="DB134" s="325"/>
      <c r="DC134" s="325"/>
      <c r="DD134" s="325"/>
      <c r="DE134" s="325"/>
      <c r="DF134" s="325"/>
      <c r="DG134" s="325"/>
      <c r="DH134" s="325"/>
      <c r="DI134" s="325"/>
      <c r="DJ134" s="325"/>
      <c r="DK134" s="325"/>
      <c r="DL134" s="325"/>
      <c r="DM134" s="325"/>
      <c r="DN134" s="325"/>
      <c r="DO134" s="325"/>
      <c r="DP134" s="325"/>
      <c r="DQ134" s="325"/>
      <c r="DR134" s="325"/>
      <c r="DS134" s="325"/>
      <c r="DT134" s="325"/>
      <c r="DU134" s="325"/>
      <c r="DV134" s="325"/>
      <c r="DW134" s="325"/>
      <c r="DX134" s="325"/>
      <c r="DY134" s="325"/>
      <c r="DZ134" s="325"/>
      <c r="EA134" s="325"/>
      <c r="EB134" s="325"/>
      <c r="EC134" s="325"/>
      <c r="ED134" s="325"/>
      <c r="EE134" s="325"/>
      <c r="EF134" s="325"/>
      <c r="EG134" s="325"/>
      <c r="EH134" s="325"/>
      <c r="EI134" s="325"/>
      <c r="EJ134" s="325"/>
      <c r="EK134" s="325"/>
      <c r="EL134" s="325"/>
      <c r="EM134" s="325"/>
      <c r="EN134" s="325"/>
      <c r="EO134" s="325"/>
      <c r="EP134" s="325"/>
      <c r="EQ134" s="325"/>
      <c r="ER134" s="325"/>
      <c r="ES134" s="325"/>
      <c r="ET134" s="325"/>
      <c r="EU134" s="325"/>
      <c r="EV134" s="325"/>
      <c r="EW134" s="325"/>
      <c r="EX134" s="325"/>
      <c r="EY134" s="325"/>
      <c r="EZ134" s="325"/>
      <c r="FA134" s="325"/>
      <c r="FB134" s="325"/>
      <c r="FC134" s="325"/>
      <c r="FD134" s="325"/>
      <c r="FE134" s="325"/>
      <c r="FF134" s="325"/>
      <c r="FG134" s="325"/>
      <c r="FH134" s="325"/>
      <c r="FI134" s="325"/>
      <c r="FJ134" s="325"/>
      <c r="FK134" s="325"/>
      <c r="FL134" s="325"/>
      <c r="FM134" s="325"/>
      <c r="FN134" s="325"/>
      <c r="FO134" s="325"/>
      <c r="FP134" s="325"/>
      <c r="FQ134" s="325"/>
      <c r="FR134" s="325"/>
      <c r="FS134" s="325"/>
      <c r="FT134" s="325"/>
      <c r="FU134" s="325"/>
      <c r="FV134" s="325"/>
      <c r="FW134" s="325"/>
      <c r="FX134" s="325"/>
      <c r="FY134" s="325"/>
      <c r="FZ134" s="325"/>
      <c r="GA134" s="325"/>
      <c r="GB134" s="325"/>
      <c r="GC134" s="325"/>
      <c r="GD134" s="325"/>
      <c r="GE134" s="325"/>
      <c r="GF134" s="325"/>
      <c r="GG134" s="325"/>
      <c r="GH134" s="325"/>
      <c r="GI134" s="325"/>
      <c r="GJ134" s="325"/>
      <c r="GK134" s="325"/>
      <c r="GL134" s="325"/>
    </row>
    <row r="135" customFormat="false" ht="24.75" hidden="false" customHeight="true" outlineLevel="0" collapsed="false">
      <c r="A135" s="398" t="s">
        <v>1577</v>
      </c>
      <c r="B135" s="411"/>
      <c r="C135" s="411"/>
      <c r="D135" s="412" t="n">
        <v>11.791</v>
      </c>
      <c r="E135" s="411" t="n">
        <f aca="false">$D135*E71</f>
        <v>877.306547619048</v>
      </c>
      <c r="F135" s="411" t="n">
        <f aca="false">$D135*F71</f>
        <v>1754.6130952381</v>
      </c>
      <c r="G135" s="411" t="n">
        <f aca="false">$D135*G71</f>
        <v>3509.2261904762</v>
      </c>
      <c r="H135" s="411" t="n">
        <f aca="false">$D135*H71</f>
        <v>5263.83928571428</v>
      </c>
      <c r="I135" s="411" t="n">
        <f aca="false">$D135*I71</f>
        <v>7018.45238095238</v>
      </c>
      <c r="J135" s="411" t="n">
        <f aca="false">$D135*J71</f>
        <v>8773.06547619048</v>
      </c>
      <c r="K135" s="411" t="n">
        <f aca="false">$D135*K71</f>
        <v>10527.6785714286</v>
      </c>
      <c r="L135" s="411" t="n">
        <f aca="false">$D135*L71</f>
        <v>12282.2916666667</v>
      </c>
      <c r="M135" s="411" t="n">
        <f aca="false">$D135*M71</f>
        <v>14036.9047619048</v>
      </c>
      <c r="N135" s="393" t="n">
        <f aca="false">$D135*N71*1.05</f>
        <v>16581.0937499999</v>
      </c>
      <c r="O135" s="393" t="n">
        <f aca="false">$D135*O71*1.05</f>
        <v>18423.4375</v>
      </c>
      <c r="P135" s="393" t="n">
        <f aca="false">$D135*P71*1.05</f>
        <v>20265.78125</v>
      </c>
      <c r="Q135" s="393" t="n">
        <f aca="false">$D135*Q71*1.05</f>
        <v>22108.1250000001</v>
      </c>
      <c r="R135" s="393" t="n">
        <f aca="false">$D135*R71*1.05</f>
        <v>23950.46875</v>
      </c>
      <c r="S135" s="393" t="n">
        <f aca="false">$D135*S71*1.05</f>
        <v>25792.8125</v>
      </c>
      <c r="T135" s="393" t="n">
        <f aca="false">$D135*T71*1.05</f>
        <v>27635.15625</v>
      </c>
      <c r="U135" s="393" t="n">
        <f aca="false">$D135*U71*1.05</f>
        <v>29477.5</v>
      </c>
      <c r="V135" s="393" t="n">
        <f aca="false">$D135*V71*1.05</f>
        <v>31319.8437500001</v>
      </c>
      <c r="W135" s="393" t="n">
        <f aca="false">$D135*W71*1.05</f>
        <v>33162.1875</v>
      </c>
      <c r="X135" s="393" t="n">
        <f aca="false">$D135*X71*1.05</f>
        <v>35004.53125</v>
      </c>
      <c r="Y135" s="393" t="n">
        <f aca="false">$D135*Y71*1.05</f>
        <v>36846.8750000001</v>
      </c>
      <c r="Z135" s="394" t="n">
        <f aca="false">$D135*Z71*1.1</f>
        <v>67552.6041666666</v>
      </c>
      <c r="AA135" s="394" t="n">
        <f aca="false">$D135*AA71*1.1</f>
        <v>67552.6041666666</v>
      </c>
      <c r="AB135" s="394" t="n">
        <f aca="false">$D135*AB71*1.1</f>
        <v>67552.6041666666</v>
      </c>
      <c r="AC135" s="394" t="n">
        <f aca="false">$D135*AC71*1.1</f>
        <v>67552.6041666666</v>
      </c>
      <c r="AD135" s="394" t="n">
        <f aca="false">$D135*AD71*1.1</f>
        <v>67552.6041666666</v>
      </c>
      <c r="AE135" s="394" t="n">
        <f aca="false">$D135*AE71*1.1</f>
        <v>67552.6041666666</v>
      </c>
      <c r="AF135" s="394" t="n">
        <f aca="false">$D135*AF71*1.1</f>
        <v>67552.6041666666</v>
      </c>
      <c r="AG135" s="394" t="n">
        <f aca="false">$D135*AG71*1.1</f>
        <v>67552.6041666666</v>
      </c>
      <c r="AH135" s="394" t="n">
        <f aca="false">$D135*AH71*1.1</f>
        <v>67552.6041666666</v>
      </c>
      <c r="AI135" s="394" t="n">
        <f aca="false">$D135*AI71*1.1</f>
        <v>67552.6041666666</v>
      </c>
      <c r="AJ135" s="394" t="n">
        <f aca="false">$D135*AJ71*1.1</f>
        <v>67552.6041666666</v>
      </c>
      <c r="AK135" s="394" t="n">
        <f aca="false">$D135*AK71*1.1</f>
        <v>67552.6041666666</v>
      </c>
      <c r="AL135" s="395" t="n">
        <f aca="false">$D135*AL71*1.15</f>
        <v>70623.1770833333</v>
      </c>
      <c r="AM135" s="395" t="n">
        <f aca="false">$D135*AM71*1.15</f>
        <v>70623.1770833333</v>
      </c>
      <c r="AN135" s="395" t="n">
        <f aca="false">$D135*AN71*1.15</f>
        <v>70623.1770833333</v>
      </c>
      <c r="AO135" s="395" t="n">
        <f aca="false">$D135*AO71*1.15</f>
        <v>70623.1770833333</v>
      </c>
      <c r="AP135" s="395" t="n">
        <f aca="false">$D135*AP71*1.15</f>
        <v>70623.1770833333</v>
      </c>
      <c r="AQ135" s="395" t="n">
        <f aca="false">$D135*AQ71*1.15</f>
        <v>70623.1770833333</v>
      </c>
      <c r="AR135" s="395" t="n">
        <f aca="false">$D135*AR71*1.15</f>
        <v>70623.1770833333</v>
      </c>
      <c r="AS135" s="395" t="n">
        <f aca="false">$D135*AS71*1.15</f>
        <v>70623.1770833333</v>
      </c>
      <c r="AT135" s="395" t="n">
        <f aca="false">$D135*AT71*1.15</f>
        <v>70623.1770833333</v>
      </c>
      <c r="AU135" s="395" t="n">
        <f aca="false">$D135*AU71*1.15</f>
        <v>70623.1770833333</v>
      </c>
      <c r="AV135" s="395" t="n">
        <f aca="false">$D135*AV71*1.15</f>
        <v>70623.1770833333</v>
      </c>
      <c r="AW135" s="395" t="n">
        <f aca="false">$D135*AW71*1.15</f>
        <v>70623.1770833333</v>
      </c>
      <c r="AX135" s="396" t="n">
        <f aca="false">$D135*AX71*1.2</f>
        <v>73693.75</v>
      </c>
      <c r="AY135" s="396" t="n">
        <f aca="false">$D135*AY71*1.2</f>
        <v>73693.75</v>
      </c>
      <c r="AZ135" s="396" t="n">
        <f aca="false">$D135*AZ71*1.2</f>
        <v>73693.75</v>
      </c>
      <c r="BA135" s="396" t="n">
        <f aca="false">$D135*BA71*1.2</f>
        <v>73693.75</v>
      </c>
      <c r="BB135" s="396" t="n">
        <f aca="false">$D135*BB71*1.2</f>
        <v>73693.75</v>
      </c>
      <c r="BC135" s="396" t="n">
        <f aca="false">$D135*BC71*1.2</f>
        <v>73693.75</v>
      </c>
      <c r="BD135" s="396" t="n">
        <f aca="false">$D135*BD71*1.2</f>
        <v>73693.75</v>
      </c>
      <c r="BE135" s="396" t="n">
        <f aca="false">$D135*BE71*1.2</f>
        <v>73693.75</v>
      </c>
      <c r="BF135" s="396" t="n">
        <f aca="false">$D135*BF71*1.2</f>
        <v>73693.75</v>
      </c>
      <c r="BG135" s="396" t="n">
        <f aca="false">$D135*BG71*1.2</f>
        <v>73693.75</v>
      </c>
      <c r="BH135" s="396" t="n">
        <f aca="false">$D135*BH71*1.2</f>
        <v>73693.75</v>
      </c>
      <c r="BI135" s="396" t="n">
        <f aca="false">$D135*BI71*1.2</f>
        <v>73693.75</v>
      </c>
      <c r="BJ135" s="413" t="n">
        <f aca="false">SUM(E135:M135)</f>
        <v>64043.3779761905</v>
      </c>
      <c r="BK135" s="413" t="n">
        <f aca="false">SUM(N135:Y135)</f>
        <v>320567.8125</v>
      </c>
      <c r="BL135" s="413" t="n">
        <f aca="false">SUM(Z135:AK135)</f>
        <v>810631.25</v>
      </c>
      <c r="BM135" s="413" t="n">
        <f aca="false">SUM(AL135:AW135)</f>
        <v>847478.124999999</v>
      </c>
      <c r="BN135" s="413" t="n">
        <f aca="false">SUM(AX135:BI135)</f>
        <v>884325</v>
      </c>
      <c r="BO135" s="325"/>
      <c r="BP135" s="325"/>
      <c r="BQ135" s="325"/>
      <c r="BR135" s="325"/>
      <c r="BS135" s="325"/>
      <c r="BT135" s="325"/>
      <c r="BU135" s="325"/>
      <c r="BV135" s="325"/>
      <c r="BW135" s="325"/>
      <c r="BX135" s="325"/>
      <c r="BY135" s="325"/>
      <c r="BZ135" s="325"/>
      <c r="CA135" s="325"/>
      <c r="CB135" s="325"/>
      <c r="CC135" s="325"/>
      <c r="CD135" s="325"/>
      <c r="CE135" s="325"/>
      <c r="CF135" s="325"/>
      <c r="CG135" s="325"/>
      <c r="CH135" s="325"/>
      <c r="CI135" s="325"/>
      <c r="CJ135" s="325"/>
      <c r="CK135" s="325"/>
      <c r="CL135" s="325"/>
      <c r="CM135" s="325"/>
      <c r="CN135" s="325"/>
      <c r="CO135" s="325"/>
      <c r="CP135" s="325"/>
      <c r="CQ135" s="325"/>
      <c r="CR135" s="325"/>
      <c r="CS135" s="325"/>
      <c r="CT135" s="325"/>
      <c r="CU135" s="325"/>
      <c r="CV135" s="325"/>
      <c r="CW135" s="325"/>
      <c r="CX135" s="325"/>
      <c r="CY135" s="325"/>
      <c r="CZ135" s="325"/>
      <c r="DA135" s="325"/>
      <c r="DB135" s="325"/>
      <c r="DC135" s="325"/>
      <c r="DD135" s="325"/>
      <c r="DE135" s="325"/>
      <c r="DF135" s="325"/>
      <c r="DG135" s="325"/>
      <c r="DH135" s="325"/>
      <c r="DI135" s="325"/>
      <c r="DJ135" s="325"/>
      <c r="DK135" s="325"/>
      <c r="DL135" s="325"/>
      <c r="DM135" s="325"/>
      <c r="DN135" s="325"/>
      <c r="DO135" s="325"/>
      <c r="DP135" s="325"/>
      <c r="DQ135" s="325"/>
      <c r="DR135" s="325"/>
      <c r="DS135" s="325"/>
      <c r="DT135" s="325"/>
      <c r="DU135" s="325"/>
      <c r="DV135" s="325"/>
      <c r="DW135" s="325"/>
      <c r="DX135" s="325"/>
      <c r="DY135" s="325"/>
      <c r="DZ135" s="325"/>
      <c r="EA135" s="325"/>
      <c r="EB135" s="325"/>
      <c r="EC135" s="325"/>
      <c r="ED135" s="325"/>
      <c r="EE135" s="325"/>
      <c r="EF135" s="325"/>
      <c r="EG135" s="325"/>
      <c r="EH135" s="325"/>
      <c r="EI135" s="325"/>
      <c r="EJ135" s="325"/>
      <c r="EK135" s="325"/>
      <c r="EL135" s="325"/>
      <c r="EM135" s="325"/>
      <c r="EN135" s="325"/>
      <c r="EO135" s="325"/>
      <c r="EP135" s="325"/>
      <c r="EQ135" s="325"/>
      <c r="ER135" s="325"/>
      <c r="ES135" s="325"/>
      <c r="ET135" s="325"/>
      <c r="EU135" s="325"/>
      <c r="EV135" s="325"/>
      <c r="EW135" s="325"/>
      <c r="EX135" s="325"/>
      <c r="EY135" s="325"/>
      <c r="EZ135" s="325"/>
      <c r="FA135" s="325"/>
      <c r="FB135" s="325"/>
      <c r="FC135" s="325"/>
      <c r="FD135" s="325"/>
      <c r="FE135" s="325"/>
      <c r="FF135" s="325"/>
      <c r="FG135" s="325"/>
      <c r="FH135" s="325"/>
      <c r="FI135" s="325"/>
      <c r="FJ135" s="325"/>
      <c r="FK135" s="325"/>
      <c r="FL135" s="325"/>
      <c r="FM135" s="325"/>
      <c r="FN135" s="325"/>
      <c r="FO135" s="325"/>
      <c r="FP135" s="325"/>
      <c r="FQ135" s="325"/>
      <c r="FR135" s="325"/>
      <c r="FS135" s="325"/>
      <c r="FT135" s="325"/>
      <c r="FU135" s="325"/>
      <c r="FV135" s="325"/>
      <c r="FW135" s="325"/>
      <c r="FX135" s="325"/>
      <c r="FY135" s="325"/>
      <c r="FZ135" s="325"/>
      <c r="GA135" s="325"/>
      <c r="GB135" s="325"/>
      <c r="GC135" s="325"/>
      <c r="GD135" s="325"/>
      <c r="GE135" s="325"/>
      <c r="GF135" s="325"/>
      <c r="GG135" s="325"/>
      <c r="GH135" s="325"/>
      <c r="GI135" s="325"/>
      <c r="GJ135" s="325"/>
      <c r="GK135" s="325"/>
      <c r="GL135" s="325"/>
    </row>
    <row r="136" customFormat="false" ht="24.75" hidden="false" customHeight="true" outlineLevel="0" collapsed="false">
      <c r="A136" s="398" t="s">
        <v>1578</v>
      </c>
      <c r="B136" s="411"/>
      <c r="C136" s="411"/>
      <c r="D136" s="412" t="n">
        <v>12.1337</v>
      </c>
      <c r="E136" s="411" t="n">
        <f aca="false">$D136*E72</f>
        <v>902.805059523809</v>
      </c>
      <c r="F136" s="411" t="n">
        <f aca="false">$D136*F72</f>
        <v>1805.61011904762</v>
      </c>
      <c r="G136" s="411" t="n">
        <f aca="false">$D136*G72</f>
        <v>3611.22023809524</v>
      </c>
      <c r="H136" s="411" t="n">
        <f aca="false">$D136*H72</f>
        <v>5416.83035714285</v>
      </c>
      <c r="I136" s="411" t="n">
        <f aca="false">$D136*I72</f>
        <v>7222.44047619047</v>
      </c>
      <c r="J136" s="411" t="n">
        <f aca="false">$D136*J72</f>
        <v>9028.0505952381</v>
      </c>
      <c r="K136" s="411" t="n">
        <f aca="false">$D136*K72</f>
        <v>10833.6607142857</v>
      </c>
      <c r="L136" s="411" t="n">
        <f aca="false">$D136*L72</f>
        <v>12639.2708333334</v>
      </c>
      <c r="M136" s="411" t="n">
        <f aca="false">$D136*M72</f>
        <v>14444.8809523809</v>
      </c>
      <c r="N136" s="393" t="n">
        <f aca="false">$D136*N72*1.05</f>
        <v>17063.0156249999</v>
      </c>
      <c r="O136" s="393" t="n">
        <f aca="false">$D136*O72*1.05</f>
        <v>18958.90625</v>
      </c>
      <c r="P136" s="393" t="n">
        <f aca="false">$D136*P72*1.05</f>
        <v>20854.796875</v>
      </c>
      <c r="Q136" s="393" t="n">
        <f aca="false">$D136*Q72*1.05</f>
        <v>22750.6875000001</v>
      </c>
      <c r="R136" s="393" t="n">
        <f aca="false">$D136*R72*1.05</f>
        <v>24646.578125</v>
      </c>
      <c r="S136" s="393" t="n">
        <f aca="false">$D136*S72*1.05</f>
        <v>26542.46875</v>
      </c>
      <c r="T136" s="393" t="n">
        <f aca="false">$D136*T72*1.05</f>
        <v>28438.359375</v>
      </c>
      <c r="U136" s="393" t="n">
        <f aca="false">$D136*U72*1.05</f>
        <v>30334.25</v>
      </c>
      <c r="V136" s="393" t="n">
        <f aca="false">$D136*V72*1.05</f>
        <v>32230.1406250001</v>
      </c>
      <c r="W136" s="393" t="n">
        <f aca="false">$D136*W72*1.05</f>
        <v>34126.03125</v>
      </c>
      <c r="X136" s="393" t="n">
        <f aca="false">$D136*X72*1.05</f>
        <v>36021.921875</v>
      </c>
      <c r="Y136" s="393" t="n">
        <f aca="false">$D136*Y72*1.05</f>
        <v>37917.8125000001</v>
      </c>
      <c r="Z136" s="394" t="n">
        <f aca="false">$D136*Z72*1.1</f>
        <v>69515.9895833333</v>
      </c>
      <c r="AA136" s="394" t="n">
        <f aca="false">$D136*AA72*1.1</f>
        <v>69515.9895833333</v>
      </c>
      <c r="AB136" s="394" t="n">
        <f aca="false">$D136*AB72*1.1</f>
        <v>69515.9895833333</v>
      </c>
      <c r="AC136" s="394" t="n">
        <f aca="false">$D136*AC72*1.1</f>
        <v>69515.9895833333</v>
      </c>
      <c r="AD136" s="394" t="n">
        <f aca="false">$D136*AD72*1.1</f>
        <v>69515.9895833333</v>
      </c>
      <c r="AE136" s="394" t="n">
        <f aca="false">$D136*AE72*1.1</f>
        <v>69515.9895833333</v>
      </c>
      <c r="AF136" s="394" t="n">
        <f aca="false">$D136*AF72*1.1</f>
        <v>69515.9895833333</v>
      </c>
      <c r="AG136" s="394" t="n">
        <f aca="false">$D136*AG72*1.1</f>
        <v>69515.9895833333</v>
      </c>
      <c r="AH136" s="394" t="n">
        <f aca="false">$D136*AH72*1.1</f>
        <v>69515.9895833333</v>
      </c>
      <c r="AI136" s="394" t="n">
        <f aca="false">$D136*AI72*1.1</f>
        <v>69515.9895833333</v>
      </c>
      <c r="AJ136" s="394" t="n">
        <f aca="false">$D136*AJ72*1.1</f>
        <v>69515.9895833333</v>
      </c>
      <c r="AK136" s="394" t="n">
        <f aca="false">$D136*AK72*1.1</f>
        <v>69515.9895833333</v>
      </c>
      <c r="AL136" s="395" t="n">
        <f aca="false">$D136*AL72*1.15</f>
        <v>72675.8072916666</v>
      </c>
      <c r="AM136" s="395" t="n">
        <f aca="false">$D136*AM72*1.15</f>
        <v>72675.8072916666</v>
      </c>
      <c r="AN136" s="395" t="n">
        <f aca="false">$D136*AN72*1.15</f>
        <v>72675.8072916666</v>
      </c>
      <c r="AO136" s="395" t="n">
        <f aca="false">$D136*AO72*1.15</f>
        <v>72675.8072916666</v>
      </c>
      <c r="AP136" s="395" t="n">
        <f aca="false">$D136*AP72*1.15</f>
        <v>72675.8072916666</v>
      </c>
      <c r="AQ136" s="395" t="n">
        <f aca="false">$D136*AQ72*1.15</f>
        <v>72675.8072916666</v>
      </c>
      <c r="AR136" s="395" t="n">
        <f aca="false">$D136*AR72*1.15</f>
        <v>72675.8072916666</v>
      </c>
      <c r="AS136" s="395" t="n">
        <f aca="false">$D136*AS72*1.15</f>
        <v>72675.8072916666</v>
      </c>
      <c r="AT136" s="395" t="n">
        <f aca="false">$D136*AT72*1.15</f>
        <v>72675.8072916666</v>
      </c>
      <c r="AU136" s="395" t="n">
        <f aca="false">$D136*AU72*1.15</f>
        <v>72675.8072916666</v>
      </c>
      <c r="AV136" s="395" t="n">
        <f aca="false">$D136*AV72*1.15</f>
        <v>72675.8072916666</v>
      </c>
      <c r="AW136" s="395" t="n">
        <f aca="false">$D136*AW72*1.15</f>
        <v>72675.8072916666</v>
      </c>
      <c r="AX136" s="396" t="n">
        <f aca="false">$D136*AX72*1.2</f>
        <v>75835.625</v>
      </c>
      <c r="AY136" s="396" t="n">
        <f aca="false">$D136*AY72*1.2</f>
        <v>75835.625</v>
      </c>
      <c r="AZ136" s="396" t="n">
        <f aca="false">$D136*AZ72*1.2</f>
        <v>75835.625</v>
      </c>
      <c r="BA136" s="396" t="n">
        <f aca="false">$D136*BA72*1.2</f>
        <v>75835.625</v>
      </c>
      <c r="BB136" s="396" t="n">
        <f aca="false">$D136*BB72*1.2</f>
        <v>75835.625</v>
      </c>
      <c r="BC136" s="396" t="n">
        <f aca="false">$D136*BC72*1.2</f>
        <v>75835.625</v>
      </c>
      <c r="BD136" s="396" t="n">
        <f aca="false">$D136*BD72*1.2</f>
        <v>75835.625</v>
      </c>
      <c r="BE136" s="396" t="n">
        <f aca="false">$D136*BE72*1.2</f>
        <v>75835.625</v>
      </c>
      <c r="BF136" s="396" t="n">
        <f aca="false">$D136*BF72*1.2</f>
        <v>75835.625</v>
      </c>
      <c r="BG136" s="396" t="n">
        <f aca="false">$D136*BG72*1.2</f>
        <v>75835.625</v>
      </c>
      <c r="BH136" s="396" t="n">
        <f aca="false">$D136*BH72*1.2</f>
        <v>75835.625</v>
      </c>
      <c r="BI136" s="396" t="n">
        <f aca="false">$D136*BI72*1.2</f>
        <v>75835.625</v>
      </c>
      <c r="BJ136" s="413" t="n">
        <f aca="false">SUM(E136:M136)</f>
        <v>65904.7693452381</v>
      </c>
      <c r="BK136" s="413" t="n">
        <f aca="false">SUM(N136:Y136)</f>
        <v>329884.96875</v>
      </c>
      <c r="BL136" s="413" t="n">
        <f aca="false">SUM(Z136:AK136)</f>
        <v>834191.875</v>
      </c>
      <c r="BM136" s="413" t="n">
        <f aca="false">SUM(AL136:AW136)</f>
        <v>872109.687499999</v>
      </c>
      <c r="BN136" s="413" t="n">
        <f aca="false">SUM(AX136:BI136)</f>
        <v>910027.5</v>
      </c>
      <c r="BO136" s="325"/>
      <c r="BP136" s="325"/>
      <c r="BQ136" s="325"/>
      <c r="BR136" s="325"/>
      <c r="BS136" s="325"/>
      <c r="BT136" s="325"/>
      <c r="BU136" s="325"/>
      <c r="BV136" s="325"/>
      <c r="BW136" s="325"/>
      <c r="BX136" s="325"/>
      <c r="BY136" s="325"/>
      <c r="BZ136" s="325"/>
      <c r="CA136" s="325"/>
      <c r="CB136" s="325"/>
      <c r="CC136" s="325"/>
      <c r="CD136" s="325"/>
      <c r="CE136" s="325"/>
      <c r="CF136" s="325"/>
      <c r="CG136" s="325"/>
      <c r="CH136" s="325"/>
      <c r="CI136" s="325"/>
      <c r="CJ136" s="325"/>
      <c r="CK136" s="325"/>
      <c r="CL136" s="325"/>
      <c r="CM136" s="325"/>
      <c r="CN136" s="325"/>
      <c r="CO136" s="325"/>
      <c r="CP136" s="325"/>
      <c r="CQ136" s="325"/>
      <c r="CR136" s="325"/>
      <c r="CS136" s="325"/>
      <c r="CT136" s="325"/>
      <c r="CU136" s="325"/>
      <c r="CV136" s="325"/>
      <c r="CW136" s="325"/>
      <c r="CX136" s="325"/>
      <c r="CY136" s="325"/>
      <c r="CZ136" s="325"/>
      <c r="DA136" s="325"/>
      <c r="DB136" s="325"/>
      <c r="DC136" s="325"/>
      <c r="DD136" s="325"/>
      <c r="DE136" s="325"/>
      <c r="DF136" s="325"/>
      <c r="DG136" s="325"/>
      <c r="DH136" s="325"/>
      <c r="DI136" s="325"/>
      <c r="DJ136" s="325"/>
      <c r="DK136" s="325"/>
      <c r="DL136" s="325"/>
      <c r="DM136" s="325"/>
      <c r="DN136" s="325"/>
      <c r="DO136" s="325"/>
      <c r="DP136" s="325"/>
      <c r="DQ136" s="325"/>
      <c r="DR136" s="325"/>
      <c r="DS136" s="325"/>
      <c r="DT136" s="325"/>
      <c r="DU136" s="325"/>
      <c r="DV136" s="325"/>
      <c r="DW136" s="325"/>
      <c r="DX136" s="325"/>
      <c r="DY136" s="325"/>
      <c r="DZ136" s="325"/>
      <c r="EA136" s="325"/>
      <c r="EB136" s="325"/>
      <c r="EC136" s="325"/>
      <c r="ED136" s="325"/>
      <c r="EE136" s="325"/>
      <c r="EF136" s="325"/>
      <c r="EG136" s="325"/>
      <c r="EH136" s="325"/>
      <c r="EI136" s="325"/>
      <c r="EJ136" s="325"/>
      <c r="EK136" s="325"/>
      <c r="EL136" s="325"/>
      <c r="EM136" s="325"/>
      <c r="EN136" s="325"/>
      <c r="EO136" s="325"/>
      <c r="EP136" s="325"/>
      <c r="EQ136" s="325"/>
      <c r="ER136" s="325"/>
      <c r="ES136" s="325"/>
      <c r="ET136" s="325"/>
      <c r="EU136" s="325"/>
      <c r="EV136" s="325"/>
      <c r="EW136" s="325"/>
      <c r="EX136" s="325"/>
      <c r="EY136" s="325"/>
      <c r="EZ136" s="325"/>
      <c r="FA136" s="325"/>
      <c r="FB136" s="325"/>
      <c r="FC136" s="325"/>
      <c r="FD136" s="325"/>
      <c r="FE136" s="325"/>
      <c r="FF136" s="325"/>
      <c r="FG136" s="325"/>
      <c r="FH136" s="325"/>
      <c r="FI136" s="325"/>
      <c r="FJ136" s="325"/>
      <c r="FK136" s="325"/>
      <c r="FL136" s="325"/>
      <c r="FM136" s="325"/>
      <c r="FN136" s="325"/>
      <c r="FO136" s="325"/>
      <c r="FP136" s="325"/>
      <c r="FQ136" s="325"/>
      <c r="FR136" s="325"/>
      <c r="FS136" s="325"/>
      <c r="FT136" s="325"/>
      <c r="FU136" s="325"/>
      <c r="FV136" s="325"/>
      <c r="FW136" s="325"/>
      <c r="FX136" s="325"/>
      <c r="FY136" s="325"/>
      <c r="FZ136" s="325"/>
      <c r="GA136" s="325"/>
      <c r="GB136" s="325"/>
      <c r="GC136" s="325"/>
      <c r="GD136" s="325"/>
      <c r="GE136" s="325"/>
      <c r="GF136" s="325"/>
      <c r="GG136" s="325"/>
      <c r="GH136" s="325"/>
      <c r="GI136" s="325"/>
      <c r="GJ136" s="325"/>
      <c r="GK136" s="325"/>
      <c r="GL136" s="325"/>
    </row>
    <row r="137" customFormat="false" ht="24.75" hidden="false" customHeight="true" outlineLevel="0" collapsed="false">
      <c r="A137" s="399"/>
      <c r="B137" s="391"/>
      <c r="C137" s="391"/>
      <c r="D137" s="414"/>
      <c r="E137" s="391"/>
      <c r="F137" s="391"/>
      <c r="G137" s="391"/>
      <c r="H137" s="391"/>
      <c r="I137" s="391"/>
      <c r="J137" s="391"/>
      <c r="K137" s="391"/>
      <c r="L137" s="391"/>
      <c r="M137" s="391"/>
      <c r="N137" s="391"/>
      <c r="O137" s="391"/>
      <c r="P137" s="391"/>
      <c r="Q137" s="391"/>
      <c r="R137" s="391"/>
      <c r="S137" s="391"/>
      <c r="T137" s="391"/>
      <c r="U137" s="391"/>
      <c r="V137" s="391"/>
      <c r="W137" s="391"/>
      <c r="X137" s="391"/>
      <c r="Y137" s="391"/>
      <c r="Z137" s="391"/>
      <c r="AA137" s="391"/>
      <c r="AB137" s="391"/>
      <c r="AC137" s="391"/>
      <c r="AD137" s="391"/>
      <c r="AE137" s="391"/>
      <c r="AF137" s="391"/>
      <c r="AG137" s="391"/>
      <c r="AH137" s="391"/>
      <c r="AI137" s="391"/>
      <c r="AJ137" s="391"/>
      <c r="AK137" s="391"/>
      <c r="AL137" s="391"/>
      <c r="AM137" s="391"/>
      <c r="AN137" s="391"/>
      <c r="AO137" s="391"/>
      <c r="AP137" s="391"/>
      <c r="AQ137" s="391"/>
      <c r="AR137" s="391"/>
      <c r="AS137" s="391"/>
      <c r="AT137" s="391"/>
      <c r="AU137" s="391"/>
      <c r="AV137" s="391"/>
      <c r="AW137" s="391"/>
      <c r="AX137" s="391"/>
      <c r="AY137" s="391"/>
      <c r="AZ137" s="391"/>
      <c r="BA137" s="391"/>
      <c r="BB137" s="391"/>
      <c r="BC137" s="391"/>
      <c r="BD137" s="391"/>
      <c r="BE137" s="391"/>
      <c r="BF137" s="391"/>
      <c r="BG137" s="391"/>
      <c r="BH137" s="391"/>
      <c r="BI137" s="391"/>
      <c r="BJ137" s="415"/>
      <c r="BK137" s="415"/>
      <c r="BL137" s="415"/>
      <c r="BM137" s="415"/>
      <c r="BN137" s="415"/>
      <c r="BO137" s="325"/>
      <c r="BP137" s="325"/>
      <c r="BQ137" s="325"/>
      <c r="BR137" s="325"/>
      <c r="BS137" s="325"/>
      <c r="BT137" s="325"/>
      <c r="BU137" s="325"/>
      <c r="BV137" s="325"/>
      <c r="BW137" s="325"/>
      <c r="BX137" s="325"/>
      <c r="BY137" s="325"/>
      <c r="BZ137" s="325"/>
      <c r="CA137" s="325"/>
      <c r="CB137" s="325"/>
      <c r="CC137" s="325"/>
      <c r="CD137" s="325"/>
      <c r="CE137" s="325"/>
      <c r="CF137" s="325"/>
      <c r="CG137" s="325"/>
      <c r="CH137" s="325"/>
      <c r="CI137" s="325"/>
      <c r="CJ137" s="325"/>
      <c r="CK137" s="325"/>
      <c r="CL137" s="325"/>
      <c r="CM137" s="325"/>
      <c r="CN137" s="325"/>
      <c r="CO137" s="325"/>
      <c r="CP137" s="325"/>
      <c r="CQ137" s="325"/>
      <c r="CR137" s="325"/>
      <c r="CS137" s="325"/>
      <c r="CT137" s="325"/>
      <c r="CU137" s="325"/>
      <c r="CV137" s="325"/>
      <c r="CW137" s="325"/>
      <c r="CX137" s="325"/>
      <c r="CY137" s="325"/>
      <c r="CZ137" s="325"/>
      <c r="DA137" s="325"/>
      <c r="DB137" s="325"/>
      <c r="DC137" s="325"/>
      <c r="DD137" s="325"/>
      <c r="DE137" s="325"/>
      <c r="DF137" s="325"/>
      <c r="DG137" s="325"/>
      <c r="DH137" s="325"/>
      <c r="DI137" s="325"/>
      <c r="DJ137" s="325"/>
      <c r="DK137" s="325"/>
      <c r="DL137" s="325"/>
      <c r="DM137" s="325"/>
      <c r="DN137" s="325"/>
      <c r="DO137" s="325"/>
      <c r="DP137" s="325"/>
      <c r="DQ137" s="325"/>
      <c r="DR137" s="325"/>
      <c r="DS137" s="325"/>
      <c r="DT137" s="325"/>
      <c r="DU137" s="325"/>
      <c r="DV137" s="325"/>
      <c r="DW137" s="325"/>
      <c r="DX137" s="325"/>
      <c r="DY137" s="325"/>
      <c r="DZ137" s="325"/>
      <c r="EA137" s="325"/>
      <c r="EB137" s="325"/>
      <c r="EC137" s="325"/>
      <c r="ED137" s="325"/>
      <c r="EE137" s="325"/>
      <c r="EF137" s="325"/>
      <c r="EG137" s="325"/>
      <c r="EH137" s="325"/>
      <c r="EI137" s="325"/>
      <c r="EJ137" s="325"/>
      <c r="EK137" s="325"/>
      <c r="EL137" s="325"/>
      <c r="EM137" s="325"/>
      <c r="EN137" s="325"/>
      <c r="EO137" s="325"/>
      <c r="EP137" s="325"/>
      <c r="EQ137" s="325"/>
      <c r="ER137" s="325"/>
      <c r="ES137" s="325"/>
      <c r="ET137" s="325"/>
      <c r="EU137" s="325"/>
      <c r="EV137" s="325"/>
      <c r="EW137" s="325"/>
      <c r="EX137" s="325"/>
      <c r="EY137" s="325"/>
      <c r="EZ137" s="325"/>
      <c r="FA137" s="325"/>
      <c r="FB137" s="325"/>
      <c r="FC137" s="325"/>
      <c r="FD137" s="325"/>
      <c r="FE137" s="325"/>
      <c r="FF137" s="325"/>
      <c r="FG137" s="325"/>
      <c r="FH137" s="325"/>
      <c r="FI137" s="325"/>
      <c r="FJ137" s="325"/>
      <c r="FK137" s="325"/>
      <c r="FL137" s="325"/>
      <c r="FM137" s="325"/>
      <c r="FN137" s="325"/>
      <c r="FO137" s="325"/>
      <c r="FP137" s="325"/>
      <c r="FQ137" s="325"/>
      <c r="FR137" s="325"/>
      <c r="FS137" s="325"/>
      <c r="FT137" s="325"/>
      <c r="FU137" s="325"/>
      <c r="FV137" s="325"/>
      <c r="FW137" s="325"/>
      <c r="FX137" s="325"/>
      <c r="FY137" s="325"/>
      <c r="FZ137" s="325"/>
      <c r="GA137" s="325"/>
      <c r="GB137" s="325"/>
      <c r="GC137" s="325"/>
      <c r="GD137" s="325"/>
      <c r="GE137" s="325"/>
      <c r="GF137" s="325"/>
      <c r="GG137" s="325"/>
      <c r="GH137" s="325"/>
      <c r="GI137" s="325"/>
      <c r="GJ137" s="325"/>
      <c r="GK137" s="325"/>
      <c r="GL137" s="325"/>
    </row>
    <row r="138" customFormat="false" ht="24.75" hidden="false" customHeight="true" outlineLevel="0" collapsed="false">
      <c r="A138" s="398" t="s">
        <v>1581</v>
      </c>
      <c r="B138" s="411"/>
      <c r="C138" s="411"/>
      <c r="D138" s="412" t="n">
        <v>38.208</v>
      </c>
      <c r="E138" s="411" t="n">
        <f aca="false">$D138*E74</f>
        <v>1296.34285714286</v>
      </c>
      <c r="F138" s="411" t="n">
        <f aca="false">$D138*F74</f>
        <v>2592.68571428572</v>
      </c>
      <c r="G138" s="411" t="n">
        <f aca="false">$D138*G74</f>
        <v>5185.37142857144</v>
      </c>
      <c r="H138" s="411" t="n">
        <f aca="false">$D138*H74</f>
        <v>7778.05714285716</v>
      </c>
      <c r="I138" s="411" t="n">
        <f aca="false">$D138*I74</f>
        <v>10370.7428571428</v>
      </c>
      <c r="J138" s="411" t="n">
        <f aca="false">$D138*J74</f>
        <v>12963.4285714286</v>
      </c>
      <c r="K138" s="411" t="n">
        <f aca="false">$D138*K74</f>
        <v>15556.1142857143</v>
      </c>
      <c r="L138" s="411" t="n">
        <f aca="false">$D138*L74</f>
        <v>18148.8</v>
      </c>
      <c r="M138" s="411" t="n">
        <f aca="false">$D138*M74</f>
        <v>20741.4857142857</v>
      </c>
      <c r="N138" s="393" t="n">
        <f aca="false">$D138*N74*1.05</f>
        <v>24500.88</v>
      </c>
      <c r="O138" s="393" t="n">
        <f aca="false">$D138*O74*1.05</f>
        <v>27223.2</v>
      </c>
      <c r="P138" s="393" t="n">
        <f aca="false">$D138*P74*1.05</f>
        <v>29945.52</v>
      </c>
      <c r="Q138" s="393" t="n">
        <f aca="false">$D138*Q74*1.05</f>
        <v>32667.84</v>
      </c>
      <c r="R138" s="393" t="n">
        <f aca="false">$D138*R74*1.05</f>
        <v>35390.16</v>
      </c>
      <c r="S138" s="393" t="n">
        <f aca="false">$D138*S74*1.05</f>
        <v>38112.48</v>
      </c>
      <c r="T138" s="393" t="n">
        <f aca="false">$D138*T74*1.05</f>
        <v>40834.7999999999</v>
      </c>
      <c r="U138" s="393" t="n">
        <f aca="false">$D138*U74*1.05</f>
        <v>43557.1200000002</v>
      </c>
      <c r="V138" s="393" t="n">
        <f aca="false">$D138*V74*1.05</f>
        <v>46279.4400000001</v>
      </c>
      <c r="W138" s="393" t="n">
        <f aca="false">$D138*W74*1.05</f>
        <v>49001.7599999999</v>
      </c>
      <c r="X138" s="393" t="n">
        <f aca="false">$D138*X74*1.05</f>
        <v>51724.0799999998</v>
      </c>
      <c r="Y138" s="393" t="n">
        <f aca="false">$D138*Y74*1.05</f>
        <v>54446.4000000001</v>
      </c>
      <c r="Z138" s="394" t="n">
        <f aca="false">$D138*Z74*1.1</f>
        <v>99818.4</v>
      </c>
      <c r="AA138" s="394" t="n">
        <f aca="false">$D138*AA74*1.1</f>
        <v>99818.4</v>
      </c>
      <c r="AB138" s="394" t="n">
        <f aca="false">$D138*AB74*1.1</f>
        <v>99818.4</v>
      </c>
      <c r="AC138" s="394" t="n">
        <f aca="false">$D138*AC74*1.1</f>
        <v>99818.4</v>
      </c>
      <c r="AD138" s="394" t="n">
        <f aca="false">$D138*AD74*1.1</f>
        <v>99818.4</v>
      </c>
      <c r="AE138" s="394" t="n">
        <f aca="false">$D138*AE74*1.1</f>
        <v>99818.4</v>
      </c>
      <c r="AF138" s="394" t="n">
        <f aca="false">$D138*AF74*1.1</f>
        <v>99818.4</v>
      </c>
      <c r="AG138" s="394" t="n">
        <f aca="false">$D138*AG74*1.1</f>
        <v>99818.4</v>
      </c>
      <c r="AH138" s="394" t="n">
        <f aca="false">$D138*AH74*1.1</f>
        <v>99818.4</v>
      </c>
      <c r="AI138" s="394" t="n">
        <f aca="false">$D138*AI74*1.1</f>
        <v>99818.4</v>
      </c>
      <c r="AJ138" s="394" t="n">
        <f aca="false">$D138*AJ74*1.1</f>
        <v>99818.4</v>
      </c>
      <c r="AK138" s="394" t="n">
        <f aca="false">$D138*AK74*1.1</f>
        <v>99818.4</v>
      </c>
      <c r="AL138" s="395" t="n">
        <f aca="false">$D138*AL74*1.15</f>
        <v>104355.6</v>
      </c>
      <c r="AM138" s="395" t="n">
        <f aca="false">$D138*AM74*1.15</f>
        <v>104355.6</v>
      </c>
      <c r="AN138" s="395" t="n">
        <f aca="false">$D138*AN74*1.15</f>
        <v>104355.6</v>
      </c>
      <c r="AO138" s="395" t="n">
        <f aca="false">$D138*AO74*1.15</f>
        <v>104355.6</v>
      </c>
      <c r="AP138" s="395" t="n">
        <f aca="false">$D138*AP74*1.15</f>
        <v>104355.6</v>
      </c>
      <c r="AQ138" s="395" t="n">
        <f aca="false">$D138*AQ74*1.15</f>
        <v>104355.6</v>
      </c>
      <c r="AR138" s="395" t="n">
        <f aca="false">$D138*AR74*1.15</f>
        <v>104355.6</v>
      </c>
      <c r="AS138" s="395" t="n">
        <f aca="false">$D138*AS74*1.15</f>
        <v>104355.6</v>
      </c>
      <c r="AT138" s="395" t="n">
        <f aca="false">$D138*AT74*1.15</f>
        <v>104355.6</v>
      </c>
      <c r="AU138" s="395" t="n">
        <f aca="false">$D138*AU74*1.15</f>
        <v>104355.6</v>
      </c>
      <c r="AV138" s="395" t="n">
        <f aca="false">$D138*AV74*1.15</f>
        <v>104355.6</v>
      </c>
      <c r="AW138" s="395" t="n">
        <f aca="false">$D138*AW74*1.15</f>
        <v>104355.6</v>
      </c>
      <c r="AX138" s="396" t="n">
        <f aca="false">$D138*AX74*1.2</f>
        <v>108892.8</v>
      </c>
      <c r="AY138" s="396" t="n">
        <f aca="false">$D138*AY74*1.2</f>
        <v>108892.8</v>
      </c>
      <c r="AZ138" s="396" t="n">
        <f aca="false">$D138*AZ74*1.2</f>
        <v>108892.8</v>
      </c>
      <c r="BA138" s="396" t="n">
        <f aca="false">$D138*BA74*1.2</f>
        <v>108892.8</v>
      </c>
      <c r="BB138" s="396" t="n">
        <f aca="false">$D138*BB74*1.2</f>
        <v>108892.8</v>
      </c>
      <c r="BC138" s="396" t="n">
        <f aca="false">$D138*BC74*1.2</f>
        <v>108892.8</v>
      </c>
      <c r="BD138" s="396" t="n">
        <f aca="false">$D138*BD74*1.2</f>
        <v>108892.8</v>
      </c>
      <c r="BE138" s="396" t="n">
        <f aca="false">$D138*BE74*1.2</f>
        <v>108892.8</v>
      </c>
      <c r="BF138" s="396" t="n">
        <f aca="false">$D138*BF74*1.2</f>
        <v>108892.8</v>
      </c>
      <c r="BG138" s="396" t="n">
        <f aca="false">$D138*BG74*1.2</f>
        <v>108892.8</v>
      </c>
      <c r="BH138" s="396" t="n">
        <f aca="false">$D138*BH74*1.2</f>
        <v>108892.8</v>
      </c>
      <c r="BI138" s="396" t="n">
        <f aca="false">$D138*BI74*1.2</f>
        <v>108892.8</v>
      </c>
      <c r="BJ138" s="413" t="n">
        <f aca="false">SUM(E138:M138)</f>
        <v>94633.0285714286</v>
      </c>
      <c r="BK138" s="413" t="n">
        <f aca="false">SUM(N138:Y138)</f>
        <v>473683.68</v>
      </c>
      <c r="BL138" s="413" t="n">
        <f aca="false">SUM(Z138:AK138)</f>
        <v>1197820.8</v>
      </c>
      <c r="BM138" s="413" t="n">
        <f aca="false">SUM(AL138:AW138)</f>
        <v>1252267.2</v>
      </c>
      <c r="BN138" s="413" t="n">
        <f aca="false">SUM(AX138:BI138)</f>
        <v>1306713.6</v>
      </c>
      <c r="BO138" s="325"/>
      <c r="BP138" s="325"/>
      <c r="BQ138" s="325"/>
      <c r="BR138" s="325"/>
      <c r="BS138" s="325"/>
      <c r="BT138" s="325"/>
      <c r="BU138" s="325"/>
      <c r="BV138" s="325"/>
      <c r="BW138" s="325"/>
      <c r="BX138" s="325"/>
      <c r="BY138" s="325"/>
      <c r="BZ138" s="325"/>
      <c r="CA138" s="325"/>
      <c r="CB138" s="325"/>
      <c r="CC138" s="325"/>
      <c r="CD138" s="325"/>
      <c r="CE138" s="325"/>
      <c r="CF138" s="325"/>
      <c r="CG138" s="325"/>
      <c r="CH138" s="325"/>
      <c r="CI138" s="325"/>
      <c r="CJ138" s="325"/>
      <c r="CK138" s="325"/>
      <c r="CL138" s="325"/>
      <c r="CM138" s="325"/>
      <c r="CN138" s="325"/>
      <c r="CO138" s="325"/>
      <c r="CP138" s="325"/>
      <c r="CQ138" s="325"/>
      <c r="CR138" s="325"/>
      <c r="CS138" s="325"/>
      <c r="CT138" s="325"/>
      <c r="CU138" s="325"/>
      <c r="CV138" s="325"/>
      <c r="CW138" s="325"/>
      <c r="CX138" s="325"/>
      <c r="CY138" s="325"/>
      <c r="CZ138" s="325"/>
      <c r="DA138" s="325"/>
      <c r="DB138" s="325"/>
      <c r="DC138" s="325"/>
      <c r="DD138" s="325"/>
      <c r="DE138" s="325"/>
      <c r="DF138" s="325"/>
      <c r="DG138" s="325"/>
      <c r="DH138" s="325"/>
      <c r="DI138" s="325"/>
      <c r="DJ138" s="325"/>
      <c r="DK138" s="325"/>
      <c r="DL138" s="325"/>
      <c r="DM138" s="325"/>
      <c r="DN138" s="325"/>
      <c r="DO138" s="325"/>
      <c r="DP138" s="325"/>
      <c r="DQ138" s="325"/>
      <c r="DR138" s="325"/>
      <c r="DS138" s="325"/>
      <c r="DT138" s="325"/>
      <c r="DU138" s="325"/>
      <c r="DV138" s="325"/>
      <c r="DW138" s="325"/>
      <c r="DX138" s="325"/>
      <c r="DY138" s="325"/>
      <c r="DZ138" s="325"/>
      <c r="EA138" s="325"/>
      <c r="EB138" s="325"/>
      <c r="EC138" s="325"/>
      <c r="ED138" s="325"/>
      <c r="EE138" s="325"/>
      <c r="EF138" s="325"/>
      <c r="EG138" s="325"/>
      <c r="EH138" s="325"/>
      <c r="EI138" s="325"/>
      <c r="EJ138" s="325"/>
      <c r="EK138" s="325"/>
      <c r="EL138" s="325"/>
      <c r="EM138" s="325"/>
      <c r="EN138" s="325"/>
      <c r="EO138" s="325"/>
      <c r="EP138" s="325"/>
      <c r="EQ138" s="325"/>
      <c r="ER138" s="325"/>
      <c r="ES138" s="325"/>
      <c r="ET138" s="325"/>
      <c r="EU138" s="325"/>
      <c r="EV138" s="325"/>
      <c r="EW138" s="325"/>
      <c r="EX138" s="325"/>
      <c r="EY138" s="325"/>
      <c r="EZ138" s="325"/>
      <c r="FA138" s="325"/>
      <c r="FB138" s="325"/>
      <c r="FC138" s="325"/>
      <c r="FD138" s="325"/>
      <c r="FE138" s="325"/>
      <c r="FF138" s="325"/>
      <c r="FG138" s="325"/>
      <c r="FH138" s="325"/>
      <c r="FI138" s="325"/>
      <c r="FJ138" s="325"/>
      <c r="FK138" s="325"/>
      <c r="FL138" s="325"/>
      <c r="FM138" s="325"/>
      <c r="FN138" s="325"/>
      <c r="FO138" s="325"/>
      <c r="FP138" s="325"/>
      <c r="FQ138" s="325"/>
      <c r="FR138" s="325"/>
      <c r="FS138" s="325"/>
      <c r="FT138" s="325"/>
      <c r="FU138" s="325"/>
      <c r="FV138" s="325"/>
      <c r="FW138" s="325"/>
      <c r="FX138" s="325"/>
      <c r="FY138" s="325"/>
      <c r="FZ138" s="325"/>
      <c r="GA138" s="325"/>
      <c r="GB138" s="325"/>
      <c r="GC138" s="325"/>
      <c r="GD138" s="325"/>
      <c r="GE138" s="325"/>
      <c r="GF138" s="325"/>
      <c r="GG138" s="325"/>
      <c r="GH138" s="325"/>
      <c r="GI138" s="325"/>
      <c r="GJ138" s="325"/>
      <c r="GK138" s="325"/>
      <c r="GL138" s="325"/>
    </row>
    <row r="139" customFormat="false" ht="24.75" hidden="false" customHeight="true" outlineLevel="0" collapsed="false">
      <c r="A139" s="398" t="s">
        <v>1582</v>
      </c>
      <c r="B139" s="411"/>
      <c r="C139" s="411"/>
      <c r="D139" s="412" t="n">
        <v>39.888</v>
      </c>
      <c r="E139" s="411" t="n">
        <f aca="false">$D139*E75</f>
        <v>1804.45714285714</v>
      </c>
      <c r="F139" s="411" t="n">
        <f aca="false">$D139*F75</f>
        <v>3608.91428571429</v>
      </c>
      <c r="G139" s="411" t="n">
        <f aca="false">$D139*G75</f>
        <v>7217.82857142857</v>
      </c>
      <c r="H139" s="411" t="n">
        <f aca="false">$D139*H75</f>
        <v>10826.7428571428</v>
      </c>
      <c r="I139" s="411" t="n">
        <f aca="false">$D139*I75</f>
        <v>14435.6571428571</v>
      </c>
      <c r="J139" s="411" t="n">
        <f aca="false">$D139*J75</f>
        <v>18044.5714285714</v>
      </c>
      <c r="K139" s="411" t="n">
        <f aca="false">$D139*K75</f>
        <v>21653.4857142857</v>
      </c>
      <c r="L139" s="411" t="n">
        <f aca="false">$D139*L75</f>
        <v>25262.4</v>
      </c>
      <c r="M139" s="411" t="n">
        <f aca="false">$D139*M75</f>
        <v>28871.3142857143</v>
      </c>
      <c r="N139" s="393" t="n">
        <f aca="false">$D139*N75*1.05</f>
        <v>34104.24</v>
      </c>
      <c r="O139" s="393" t="n">
        <f aca="false">$D139*O75*1.05</f>
        <v>37893.6</v>
      </c>
      <c r="P139" s="393" t="n">
        <f aca="false">$D139*P75*1.05</f>
        <v>41682.96</v>
      </c>
      <c r="Q139" s="393" t="n">
        <f aca="false">$D139*Q75*1.05</f>
        <v>45472.3200000002</v>
      </c>
      <c r="R139" s="393" t="n">
        <f aca="false">$D139*R75*1.05</f>
        <v>49261.6800000002</v>
      </c>
      <c r="S139" s="393" t="n">
        <f aca="false">$D139*S75*1.05</f>
        <v>53051.0400000001</v>
      </c>
      <c r="T139" s="393" t="n">
        <f aca="false">$D139*T75*1.05</f>
        <v>56840.4000000001</v>
      </c>
      <c r="U139" s="393" t="n">
        <f aca="false">$D139*U75*1.05</f>
        <v>60629.7600000001</v>
      </c>
      <c r="V139" s="393" t="n">
        <f aca="false">$D139*V75*1.05</f>
        <v>64419.1200000001</v>
      </c>
      <c r="W139" s="393" t="n">
        <f aca="false">$D139*W75*1.05</f>
        <v>68208.4800000001</v>
      </c>
      <c r="X139" s="393" t="n">
        <f aca="false">$D139*X75*1.05</f>
        <v>71997.84</v>
      </c>
      <c r="Y139" s="393" t="n">
        <f aca="false">$D139*Y75*1.05</f>
        <v>75787.2</v>
      </c>
      <c r="Z139" s="394" t="n">
        <f aca="false">$D139*Z75*1.1</f>
        <v>138943.2</v>
      </c>
      <c r="AA139" s="394" t="n">
        <f aca="false">$D139*AA75*1.1</f>
        <v>138943.2</v>
      </c>
      <c r="AB139" s="394" t="n">
        <f aca="false">$D139*AB75*1.1</f>
        <v>138943.2</v>
      </c>
      <c r="AC139" s="394" t="n">
        <f aca="false">$D139*AC75*1.1</f>
        <v>138943.2</v>
      </c>
      <c r="AD139" s="394" t="n">
        <f aca="false">$D139*AD75*1.1</f>
        <v>138943.2</v>
      </c>
      <c r="AE139" s="394" t="n">
        <f aca="false">$D139*AE75*1.1</f>
        <v>138943.2</v>
      </c>
      <c r="AF139" s="394" t="n">
        <f aca="false">$D139*AF75*1.1</f>
        <v>138943.2</v>
      </c>
      <c r="AG139" s="394" t="n">
        <f aca="false">$D139*AG75*1.1</f>
        <v>138943.2</v>
      </c>
      <c r="AH139" s="394" t="n">
        <f aca="false">$D139*AH75*1.1</f>
        <v>138943.2</v>
      </c>
      <c r="AI139" s="394" t="n">
        <f aca="false">$D139*AI75*1.1</f>
        <v>138943.2</v>
      </c>
      <c r="AJ139" s="394" t="n">
        <f aca="false">$D139*AJ75*1.1</f>
        <v>138943.2</v>
      </c>
      <c r="AK139" s="394" t="n">
        <f aca="false">$D139*AK75*1.1</f>
        <v>138943.2</v>
      </c>
      <c r="AL139" s="395" t="n">
        <f aca="false">$D139*AL75*1.15</f>
        <v>145258.8</v>
      </c>
      <c r="AM139" s="395" t="n">
        <f aca="false">$D139*AM75*1.15</f>
        <v>145258.8</v>
      </c>
      <c r="AN139" s="395" t="n">
        <f aca="false">$D139*AN75*1.15</f>
        <v>145258.8</v>
      </c>
      <c r="AO139" s="395" t="n">
        <f aca="false">$D139*AO75*1.15</f>
        <v>145258.8</v>
      </c>
      <c r="AP139" s="395" t="n">
        <f aca="false">$D139*AP75*1.15</f>
        <v>145258.8</v>
      </c>
      <c r="AQ139" s="395" t="n">
        <f aca="false">$D139*AQ75*1.15</f>
        <v>145258.8</v>
      </c>
      <c r="AR139" s="395" t="n">
        <f aca="false">$D139*AR75*1.15</f>
        <v>145258.8</v>
      </c>
      <c r="AS139" s="395" t="n">
        <f aca="false">$D139*AS75*1.15</f>
        <v>145258.8</v>
      </c>
      <c r="AT139" s="395" t="n">
        <f aca="false">$D139*AT75*1.15</f>
        <v>145258.8</v>
      </c>
      <c r="AU139" s="395" t="n">
        <f aca="false">$D139*AU75*1.15</f>
        <v>145258.8</v>
      </c>
      <c r="AV139" s="395" t="n">
        <f aca="false">$D139*AV75*1.15</f>
        <v>145258.8</v>
      </c>
      <c r="AW139" s="395" t="n">
        <f aca="false">$D139*AW75*1.15</f>
        <v>145258.8</v>
      </c>
      <c r="AX139" s="396" t="n">
        <f aca="false">$D139*AX75*1.2</f>
        <v>151574.4</v>
      </c>
      <c r="AY139" s="396" t="n">
        <f aca="false">$D139*AY75*1.2</f>
        <v>151574.4</v>
      </c>
      <c r="AZ139" s="396" t="n">
        <f aca="false">$D139*AZ75*1.2</f>
        <v>151574.4</v>
      </c>
      <c r="BA139" s="396" t="n">
        <f aca="false">$D139*BA75*1.2</f>
        <v>151574.4</v>
      </c>
      <c r="BB139" s="396" t="n">
        <f aca="false">$D139*BB75*1.2</f>
        <v>151574.4</v>
      </c>
      <c r="BC139" s="396" t="n">
        <f aca="false">$D139*BC75*1.2</f>
        <v>151574.4</v>
      </c>
      <c r="BD139" s="396" t="n">
        <f aca="false">$D139*BD75*1.2</f>
        <v>151574.4</v>
      </c>
      <c r="BE139" s="396" t="n">
        <f aca="false">$D139*BE75*1.2</f>
        <v>151574.4</v>
      </c>
      <c r="BF139" s="396" t="n">
        <f aca="false">$D139*BF75*1.2</f>
        <v>151574.4</v>
      </c>
      <c r="BG139" s="396" t="n">
        <f aca="false">$D139*BG75*1.2</f>
        <v>151574.4</v>
      </c>
      <c r="BH139" s="396" t="n">
        <f aca="false">$D139*BH75*1.2</f>
        <v>151574.4</v>
      </c>
      <c r="BI139" s="396" t="n">
        <f aca="false">$D139*BI75*1.2</f>
        <v>151574.4</v>
      </c>
      <c r="BJ139" s="413" t="n">
        <f aca="false">SUM(E139:M139)</f>
        <v>131725.371428571</v>
      </c>
      <c r="BK139" s="413" t="n">
        <f aca="false">SUM(N139:Y139)</f>
        <v>659348.640000001</v>
      </c>
      <c r="BL139" s="413" t="n">
        <f aca="false">SUM(Z139:AK139)</f>
        <v>1667318.4</v>
      </c>
      <c r="BM139" s="413" t="n">
        <f aca="false">SUM(AL139:AW139)</f>
        <v>1743105.6</v>
      </c>
      <c r="BN139" s="413" t="n">
        <f aca="false">SUM(AX139:BI139)</f>
        <v>1818892.8</v>
      </c>
      <c r="BO139" s="325"/>
      <c r="BP139" s="325"/>
      <c r="BQ139" s="325"/>
      <c r="BR139" s="325"/>
      <c r="BS139" s="325"/>
      <c r="BT139" s="325"/>
      <c r="BU139" s="325"/>
      <c r="BV139" s="325"/>
      <c r="BW139" s="325"/>
      <c r="BX139" s="325"/>
      <c r="BY139" s="325"/>
      <c r="BZ139" s="325"/>
      <c r="CA139" s="325"/>
      <c r="CB139" s="325"/>
      <c r="CC139" s="325"/>
      <c r="CD139" s="325"/>
      <c r="CE139" s="325"/>
      <c r="CF139" s="325"/>
      <c r="CG139" s="325"/>
      <c r="CH139" s="325"/>
      <c r="CI139" s="325"/>
      <c r="CJ139" s="325"/>
      <c r="CK139" s="325"/>
      <c r="CL139" s="325"/>
      <c r="CM139" s="325"/>
      <c r="CN139" s="325"/>
      <c r="CO139" s="325"/>
      <c r="CP139" s="325"/>
      <c r="CQ139" s="325"/>
      <c r="CR139" s="325"/>
      <c r="CS139" s="325"/>
      <c r="CT139" s="325"/>
      <c r="CU139" s="325"/>
      <c r="CV139" s="325"/>
      <c r="CW139" s="325"/>
      <c r="CX139" s="325"/>
      <c r="CY139" s="325"/>
      <c r="CZ139" s="325"/>
      <c r="DA139" s="325"/>
      <c r="DB139" s="325"/>
      <c r="DC139" s="325"/>
      <c r="DD139" s="325"/>
      <c r="DE139" s="325"/>
      <c r="DF139" s="325"/>
      <c r="DG139" s="325"/>
      <c r="DH139" s="325"/>
      <c r="DI139" s="325"/>
      <c r="DJ139" s="325"/>
      <c r="DK139" s="325"/>
      <c r="DL139" s="325"/>
      <c r="DM139" s="325"/>
      <c r="DN139" s="325"/>
      <c r="DO139" s="325"/>
      <c r="DP139" s="325"/>
      <c r="DQ139" s="325"/>
      <c r="DR139" s="325"/>
      <c r="DS139" s="325"/>
      <c r="DT139" s="325"/>
      <c r="DU139" s="325"/>
      <c r="DV139" s="325"/>
      <c r="DW139" s="325"/>
      <c r="DX139" s="325"/>
      <c r="DY139" s="325"/>
      <c r="DZ139" s="325"/>
      <c r="EA139" s="325"/>
      <c r="EB139" s="325"/>
      <c r="EC139" s="325"/>
      <c r="ED139" s="325"/>
      <c r="EE139" s="325"/>
      <c r="EF139" s="325"/>
      <c r="EG139" s="325"/>
      <c r="EH139" s="325"/>
      <c r="EI139" s="325"/>
      <c r="EJ139" s="325"/>
      <c r="EK139" s="325"/>
      <c r="EL139" s="325"/>
      <c r="EM139" s="325"/>
      <c r="EN139" s="325"/>
      <c r="EO139" s="325"/>
      <c r="EP139" s="325"/>
      <c r="EQ139" s="325"/>
      <c r="ER139" s="325"/>
      <c r="ES139" s="325"/>
      <c r="ET139" s="325"/>
      <c r="EU139" s="325"/>
      <c r="EV139" s="325"/>
      <c r="EW139" s="325"/>
      <c r="EX139" s="325"/>
      <c r="EY139" s="325"/>
      <c r="EZ139" s="325"/>
      <c r="FA139" s="325"/>
      <c r="FB139" s="325"/>
      <c r="FC139" s="325"/>
      <c r="FD139" s="325"/>
      <c r="FE139" s="325"/>
      <c r="FF139" s="325"/>
      <c r="FG139" s="325"/>
      <c r="FH139" s="325"/>
      <c r="FI139" s="325"/>
      <c r="FJ139" s="325"/>
      <c r="FK139" s="325"/>
      <c r="FL139" s="325"/>
      <c r="FM139" s="325"/>
      <c r="FN139" s="325"/>
      <c r="FO139" s="325"/>
      <c r="FP139" s="325"/>
      <c r="FQ139" s="325"/>
      <c r="FR139" s="325"/>
      <c r="FS139" s="325"/>
      <c r="FT139" s="325"/>
      <c r="FU139" s="325"/>
      <c r="FV139" s="325"/>
      <c r="FW139" s="325"/>
      <c r="FX139" s="325"/>
      <c r="FY139" s="325"/>
      <c r="FZ139" s="325"/>
      <c r="GA139" s="325"/>
      <c r="GB139" s="325"/>
      <c r="GC139" s="325"/>
      <c r="GD139" s="325"/>
      <c r="GE139" s="325"/>
      <c r="GF139" s="325"/>
      <c r="GG139" s="325"/>
      <c r="GH139" s="325"/>
      <c r="GI139" s="325"/>
      <c r="GJ139" s="325"/>
      <c r="GK139" s="325"/>
      <c r="GL139" s="325"/>
    </row>
    <row r="140" customFormat="false" ht="24.75" hidden="false" customHeight="true" outlineLevel="0" collapsed="false">
      <c r="A140" s="398" t="s">
        <v>1583</v>
      </c>
      <c r="B140" s="411"/>
      <c r="C140" s="411"/>
      <c r="D140" s="412" t="n">
        <v>40.728</v>
      </c>
      <c r="E140" s="411" t="n">
        <f aca="false">$D140*E76</f>
        <v>3224.3</v>
      </c>
      <c r="F140" s="411" t="n">
        <f aca="false">$D140*F76</f>
        <v>6448.59999999999</v>
      </c>
      <c r="G140" s="411" t="n">
        <f aca="false">$D140*G76</f>
        <v>12897.2</v>
      </c>
      <c r="H140" s="411" t="n">
        <f aca="false">$D140*H76</f>
        <v>19345.8</v>
      </c>
      <c r="I140" s="411" t="n">
        <f aca="false">$D140*I76</f>
        <v>25794.4</v>
      </c>
      <c r="J140" s="411" t="n">
        <f aca="false">$D140*J76</f>
        <v>32243</v>
      </c>
      <c r="K140" s="411" t="n">
        <f aca="false">$D140*K76</f>
        <v>38691.6</v>
      </c>
      <c r="L140" s="411" t="n">
        <f aca="false">$D140*L76</f>
        <v>45140.1999999999</v>
      </c>
      <c r="M140" s="411" t="n">
        <f aca="false">$D140*M76</f>
        <v>51588.8000000001</v>
      </c>
      <c r="N140" s="393" t="n">
        <f aca="false">$D140*N76*1.05</f>
        <v>60939.27</v>
      </c>
      <c r="O140" s="393" t="n">
        <f aca="false">$D140*O76*1.05</f>
        <v>67710.2999999999</v>
      </c>
      <c r="P140" s="393" t="n">
        <f aca="false">$D140*P76*1.05</f>
        <v>74481.3300000002</v>
      </c>
      <c r="Q140" s="393" t="n">
        <f aca="false">$D140*Q76*1.05</f>
        <v>81252.36</v>
      </c>
      <c r="R140" s="393" t="n">
        <f aca="false">$D140*R76*1.05</f>
        <v>88023.3899999999</v>
      </c>
      <c r="S140" s="393" t="n">
        <f aca="false">$D140*S76*1.05</f>
        <v>94794.4200000001</v>
      </c>
      <c r="T140" s="393" t="n">
        <f aca="false">$D140*T76*1.05</f>
        <v>101565.45</v>
      </c>
      <c r="U140" s="393" t="n">
        <f aca="false">$D140*U76*1.05</f>
        <v>108336.48</v>
      </c>
      <c r="V140" s="393" t="n">
        <f aca="false">$D140*V76*1.05</f>
        <v>115107.51</v>
      </c>
      <c r="W140" s="393" t="n">
        <f aca="false">$D140*W76*1.05</f>
        <v>121878.54</v>
      </c>
      <c r="X140" s="393" t="n">
        <f aca="false">$D140*X76*1.05</f>
        <v>128649.57</v>
      </c>
      <c r="Y140" s="393" t="n">
        <f aca="false">$D140*Y76*1.05</f>
        <v>135420.6</v>
      </c>
      <c r="Z140" s="394" t="n">
        <f aca="false">$D140*Z76*1.1</f>
        <v>248271.1</v>
      </c>
      <c r="AA140" s="394" t="n">
        <f aca="false">$D140*AA76*1.1</f>
        <v>248271.1</v>
      </c>
      <c r="AB140" s="394" t="n">
        <f aca="false">$D140*AB76*1.1</f>
        <v>248271.1</v>
      </c>
      <c r="AC140" s="394" t="n">
        <f aca="false">$D140*AC76*1.1</f>
        <v>248271.1</v>
      </c>
      <c r="AD140" s="394" t="n">
        <f aca="false">$D140*AD76*1.1</f>
        <v>248271.1</v>
      </c>
      <c r="AE140" s="394" t="n">
        <f aca="false">$D140*AE76*1.1</f>
        <v>248271.1</v>
      </c>
      <c r="AF140" s="394" t="n">
        <f aca="false">$D140*AF76*1.1</f>
        <v>248271.1</v>
      </c>
      <c r="AG140" s="394" t="n">
        <f aca="false">$D140*AG76*1.1</f>
        <v>248271.1</v>
      </c>
      <c r="AH140" s="394" t="n">
        <f aca="false">$D140*AH76*1.1</f>
        <v>248271.1</v>
      </c>
      <c r="AI140" s="394" t="n">
        <f aca="false">$D140*AI76*1.1</f>
        <v>248271.1</v>
      </c>
      <c r="AJ140" s="394" t="n">
        <f aca="false">$D140*AJ76*1.1</f>
        <v>248271.1</v>
      </c>
      <c r="AK140" s="394" t="n">
        <f aca="false">$D140*AK76*1.1</f>
        <v>248271.1</v>
      </c>
      <c r="AL140" s="395" t="n">
        <f aca="false">$D140*AL76*1.15</f>
        <v>259556.15</v>
      </c>
      <c r="AM140" s="395" t="n">
        <f aca="false">$D140*AM76*1.15</f>
        <v>259556.15</v>
      </c>
      <c r="AN140" s="395" t="n">
        <f aca="false">$D140*AN76*1.15</f>
        <v>259556.15</v>
      </c>
      <c r="AO140" s="395" t="n">
        <f aca="false">$D140*AO76*1.15</f>
        <v>259556.15</v>
      </c>
      <c r="AP140" s="395" t="n">
        <f aca="false">$D140*AP76*1.15</f>
        <v>259556.15</v>
      </c>
      <c r="AQ140" s="395" t="n">
        <f aca="false">$D140*AQ76*1.15</f>
        <v>259556.15</v>
      </c>
      <c r="AR140" s="395" t="n">
        <f aca="false">$D140*AR76*1.15</f>
        <v>259556.15</v>
      </c>
      <c r="AS140" s="395" t="n">
        <f aca="false">$D140*AS76*1.15</f>
        <v>259556.15</v>
      </c>
      <c r="AT140" s="395" t="n">
        <f aca="false">$D140*AT76*1.15</f>
        <v>259556.15</v>
      </c>
      <c r="AU140" s="395" t="n">
        <f aca="false">$D140*AU76*1.15</f>
        <v>259556.15</v>
      </c>
      <c r="AV140" s="395" t="n">
        <f aca="false">$D140*AV76*1.15</f>
        <v>259556.15</v>
      </c>
      <c r="AW140" s="395" t="n">
        <f aca="false">$D140*AW76*1.15</f>
        <v>259556.15</v>
      </c>
      <c r="AX140" s="396" t="n">
        <f aca="false">$D140*AX76*1.2</f>
        <v>270841.2</v>
      </c>
      <c r="AY140" s="396" t="n">
        <f aca="false">$D140*AY76*1.2</f>
        <v>270841.2</v>
      </c>
      <c r="AZ140" s="396" t="n">
        <f aca="false">$D140*AZ76*1.2</f>
        <v>270841.2</v>
      </c>
      <c r="BA140" s="396" t="n">
        <f aca="false">$D140*BA76*1.2</f>
        <v>270841.2</v>
      </c>
      <c r="BB140" s="396" t="n">
        <f aca="false">$D140*BB76*1.2</f>
        <v>270841.2</v>
      </c>
      <c r="BC140" s="396" t="n">
        <f aca="false">$D140*BC76*1.2</f>
        <v>270841.2</v>
      </c>
      <c r="BD140" s="396" t="n">
        <f aca="false">$D140*BD76*1.2</f>
        <v>270841.2</v>
      </c>
      <c r="BE140" s="396" t="n">
        <f aca="false">$D140*BE76*1.2</f>
        <v>270841.2</v>
      </c>
      <c r="BF140" s="396" t="n">
        <f aca="false">$D140*BF76*1.2</f>
        <v>270841.2</v>
      </c>
      <c r="BG140" s="396" t="n">
        <f aca="false">$D140*BG76*1.2</f>
        <v>270841.2</v>
      </c>
      <c r="BH140" s="396" t="n">
        <f aca="false">$D140*BH76*1.2</f>
        <v>270841.2</v>
      </c>
      <c r="BI140" s="396" t="n">
        <f aca="false">$D140*BI76*1.2</f>
        <v>270841.2</v>
      </c>
      <c r="BJ140" s="413" t="n">
        <f aca="false">SUM(E140:M140)</f>
        <v>235373.9</v>
      </c>
      <c r="BK140" s="413" t="n">
        <f aca="false">SUM(N140:Y140)</f>
        <v>1178159.22</v>
      </c>
      <c r="BL140" s="413" t="n">
        <f aca="false">SUM(Z140:AK140)</f>
        <v>2979253.2</v>
      </c>
      <c r="BM140" s="413" t="n">
        <f aca="false">SUM(AL140:AW140)</f>
        <v>3114673.8</v>
      </c>
      <c r="BN140" s="413" t="n">
        <f aca="false">SUM(AX140:BI140)</f>
        <v>3250094.4</v>
      </c>
      <c r="BO140" s="325"/>
      <c r="BP140" s="325"/>
      <c r="BQ140" s="325"/>
      <c r="BR140" s="325"/>
      <c r="BS140" s="325"/>
      <c r="BT140" s="325"/>
      <c r="BU140" s="325"/>
      <c r="BV140" s="325"/>
      <c r="BW140" s="325"/>
      <c r="BX140" s="325"/>
      <c r="BY140" s="325"/>
      <c r="BZ140" s="325"/>
      <c r="CA140" s="325"/>
      <c r="CB140" s="325"/>
      <c r="CC140" s="325"/>
      <c r="CD140" s="325"/>
      <c r="CE140" s="325"/>
      <c r="CF140" s="325"/>
      <c r="CG140" s="325"/>
      <c r="CH140" s="325"/>
      <c r="CI140" s="325"/>
      <c r="CJ140" s="325"/>
      <c r="CK140" s="325"/>
      <c r="CL140" s="325"/>
      <c r="CM140" s="325"/>
      <c r="CN140" s="325"/>
      <c r="CO140" s="325"/>
      <c r="CP140" s="325"/>
      <c r="CQ140" s="325"/>
      <c r="CR140" s="325"/>
      <c r="CS140" s="325"/>
      <c r="CT140" s="325"/>
      <c r="CU140" s="325"/>
      <c r="CV140" s="325"/>
      <c r="CW140" s="325"/>
      <c r="CX140" s="325"/>
      <c r="CY140" s="325"/>
      <c r="CZ140" s="325"/>
      <c r="DA140" s="325"/>
      <c r="DB140" s="325"/>
      <c r="DC140" s="325"/>
      <c r="DD140" s="325"/>
      <c r="DE140" s="325"/>
      <c r="DF140" s="325"/>
      <c r="DG140" s="325"/>
      <c r="DH140" s="325"/>
      <c r="DI140" s="325"/>
      <c r="DJ140" s="325"/>
      <c r="DK140" s="325"/>
      <c r="DL140" s="325"/>
      <c r="DM140" s="325"/>
      <c r="DN140" s="325"/>
      <c r="DO140" s="325"/>
      <c r="DP140" s="325"/>
      <c r="DQ140" s="325"/>
      <c r="DR140" s="325"/>
      <c r="DS140" s="325"/>
      <c r="DT140" s="325"/>
      <c r="DU140" s="325"/>
      <c r="DV140" s="325"/>
      <c r="DW140" s="325"/>
      <c r="DX140" s="325"/>
      <c r="DY140" s="325"/>
      <c r="DZ140" s="325"/>
      <c r="EA140" s="325"/>
      <c r="EB140" s="325"/>
      <c r="EC140" s="325"/>
      <c r="ED140" s="325"/>
      <c r="EE140" s="325"/>
      <c r="EF140" s="325"/>
      <c r="EG140" s="325"/>
      <c r="EH140" s="325"/>
      <c r="EI140" s="325"/>
      <c r="EJ140" s="325"/>
      <c r="EK140" s="325"/>
      <c r="EL140" s="325"/>
      <c r="EM140" s="325"/>
      <c r="EN140" s="325"/>
      <c r="EO140" s="325"/>
      <c r="EP140" s="325"/>
      <c r="EQ140" s="325"/>
      <c r="ER140" s="325"/>
      <c r="ES140" s="325"/>
      <c r="ET140" s="325"/>
      <c r="EU140" s="325"/>
      <c r="EV140" s="325"/>
      <c r="EW140" s="325"/>
      <c r="EX140" s="325"/>
      <c r="EY140" s="325"/>
      <c r="EZ140" s="325"/>
      <c r="FA140" s="325"/>
      <c r="FB140" s="325"/>
      <c r="FC140" s="325"/>
      <c r="FD140" s="325"/>
      <c r="FE140" s="325"/>
      <c r="FF140" s="325"/>
      <c r="FG140" s="325"/>
      <c r="FH140" s="325"/>
      <c r="FI140" s="325"/>
      <c r="FJ140" s="325"/>
      <c r="FK140" s="325"/>
      <c r="FL140" s="325"/>
      <c r="FM140" s="325"/>
      <c r="FN140" s="325"/>
      <c r="FO140" s="325"/>
      <c r="FP140" s="325"/>
      <c r="FQ140" s="325"/>
      <c r="FR140" s="325"/>
      <c r="FS140" s="325"/>
      <c r="FT140" s="325"/>
      <c r="FU140" s="325"/>
      <c r="FV140" s="325"/>
      <c r="FW140" s="325"/>
      <c r="FX140" s="325"/>
      <c r="FY140" s="325"/>
      <c r="FZ140" s="325"/>
      <c r="GA140" s="325"/>
      <c r="GB140" s="325"/>
      <c r="GC140" s="325"/>
      <c r="GD140" s="325"/>
      <c r="GE140" s="325"/>
      <c r="GF140" s="325"/>
      <c r="GG140" s="325"/>
      <c r="GH140" s="325"/>
      <c r="GI140" s="325"/>
      <c r="GJ140" s="325"/>
      <c r="GK140" s="325"/>
      <c r="GL140" s="325"/>
    </row>
    <row r="141" customFormat="false" ht="24.75" hidden="false" customHeight="true" outlineLevel="0" collapsed="false">
      <c r="A141" s="398" t="s">
        <v>1584</v>
      </c>
      <c r="B141" s="411"/>
      <c r="C141" s="411"/>
      <c r="D141" s="412" t="n">
        <v>36.28</v>
      </c>
      <c r="E141" s="411" t="n">
        <f aca="false">$D141*E77</f>
        <v>3692.7857142857</v>
      </c>
      <c r="F141" s="411" t="n">
        <f aca="false">$D141*F77</f>
        <v>7385.57142857145</v>
      </c>
      <c r="G141" s="411" t="n">
        <f aca="false">$D141*G77</f>
        <v>14771.1428571429</v>
      </c>
      <c r="H141" s="411" t="n">
        <f aca="false">$D141*H77</f>
        <v>22156.7142857143</v>
      </c>
      <c r="I141" s="411" t="n">
        <f aca="false">$D141*I77</f>
        <v>29542.2857142857</v>
      </c>
      <c r="J141" s="411" t="n">
        <f aca="false">$D141*J77</f>
        <v>36927.857142857</v>
      </c>
      <c r="K141" s="411" t="n">
        <f aca="false">$D141*K77</f>
        <v>44313.4285714285</v>
      </c>
      <c r="L141" s="411" t="n">
        <f aca="false">$D141*L77</f>
        <v>51699</v>
      </c>
      <c r="M141" s="411" t="n">
        <f aca="false">$D141*M77</f>
        <v>59084.5714285715</v>
      </c>
      <c r="N141" s="393" t="n">
        <f aca="false">$D141*N77*1.05</f>
        <v>69793.6500000001</v>
      </c>
      <c r="O141" s="393" t="n">
        <f aca="false">$D141*O77*1.05</f>
        <v>77548.5000000002</v>
      </c>
      <c r="P141" s="393" t="n">
        <f aca="false">$D141*P77*1.05</f>
        <v>85303.3500000002</v>
      </c>
      <c r="Q141" s="393" t="n">
        <f aca="false">$D141*Q77*1.05</f>
        <v>93058.1999999999</v>
      </c>
      <c r="R141" s="393" t="n">
        <f aca="false">$D141*R77*1.05</f>
        <v>100813.05</v>
      </c>
      <c r="S141" s="393" t="n">
        <f aca="false">$D141*S77*1.05</f>
        <v>108567.9</v>
      </c>
      <c r="T141" s="393" t="n">
        <f aca="false">$D141*T77*1.05</f>
        <v>116322.75</v>
      </c>
      <c r="U141" s="393" t="n">
        <f aca="false">$D141*U77*1.05</f>
        <v>124077.6</v>
      </c>
      <c r="V141" s="393" t="n">
        <f aca="false">$D141*V77*1.05</f>
        <v>131832.45</v>
      </c>
      <c r="W141" s="393" t="n">
        <f aca="false">$D141*W77*1.05</f>
        <v>139587.3</v>
      </c>
      <c r="X141" s="393" t="n">
        <f aca="false">$D141*X77*1.05</f>
        <v>147342.15</v>
      </c>
      <c r="Y141" s="393" t="n">
        <f aca="false">$D141*Y77*1.05</f>
        <v>155097</v>
      </c>
      <c r="Z141" s="394" t="n">
        <f aca="false">$D141*Z77*1.1</f>
        <v>284344.5</v>
      </c>
      <c r="AA141" s="394" t="n">
        <f aca="false">$D141*AA77*1.1</f>
        <v>284344.5</v>
      </c>
      <c r="AB141" s="394" t="n">
        <f aca="false">$D141*AB77*1.1</f>
        <v>284344.5</v>
      </c>
      <c r="AC141" s="394" t="n">
        <f aca="false">$D141*AC77*1.1</f>
        <v>284344.5</v>
      </c>
      <c r="AD141" s="394" t="n">
        <f aca="false">$D141*AD77*1.1</f>
        <v>284344.5</v>
      </c>
      <c r="AE141" s="394" t="n">
        <f aca="false">$D141*AE77*1.1</f>
        <v>284344.5</v>
      </c>
      <c r="AF141" s="394" t="n">
        <f aca="false">$D141*AF77*1.1</f>
        <v>284344.5</v>
      </c>
      <c r="AG141" s="394" t="n">
        <f aca="false">$D141*AG77*1.1</f>
        <v>284344.5</v>
      </c>
      <c r="AH141" s="394" t="n">
        <f aca="false">$D141*AH77*1.1</f>
        <v>284344.5</v>
      </c>
      <c r="AI141" s="394" t="n">
        <f aca="false">$D141*AI77*1.1</f>
        <v>284344.5</v>
      </c>
      <c r="AJ141" s="394" t="n">
        <f aca="false">$D141*AJ77*1.1</f>
        <v>284344.5</v>
      </c>
      <c r="AK141" s="394" t="n">
        <f aca="false">$D141*AK77*1.1</f>
        <v>284344.5</v>
      </c>
      <c r="AL141" s="395" t="n">
        <f aca="false">$D141*AL77*1.15</f>
        <v>297269.25</v>
      </c>
      <c r="AM141" s="395" t="n">
        <f aca="false">$D141*AM77*1.15</f>
        <v>297269.25</v>
      </c>
      <c r="AN141" s="395" t="n">
        <f aca="false">$D141*AN77*1.15</f>
        <v>297269.25</v>
      </c>
      <c r="AO141" s="395" t="n">
        <f aca="false">$D141*AO77*1.15</f>
        <v>297269.25</v>
      </c>
      <c r="AP141" s="395" t="n">
        <f aca="false">$D141*AP77*1.15</f>
        <v>297269.25</v>
      </c>
      <c r="AQ141" s="395" t="n">
        <f aca="false">$D141*AQ77*1.15</f>
        <v>297269.25</v>
      </c>
      <c r="AR141" s="395" t="n">
        <f aca="false">$D141*AR77*1.15</f>
        <v>297269.25</v>
      </c>
      <c r="AS141" s="395" t="n">
        <f aca="false">$D141*AS77*1.15</f>
        <v>297269.25</v>
      </c>
      <c r="AT141" s="395" t="n">
        <f aca="false">$D141*AT77*1.15</f>
        <v>297269.25</v>
      </c>
      <c r="AU141" s="395" t="n">
        <f aca="false">$D141*AU77*1.15</f>
        <v>297269.25</v>
      </c>
      <c r="AV141" s="395" t="n">
        <f aca="false">$D141*AV77*1.15</f>
        <v>297269.25</v>
      </c>
      <c r="AW141" s="395" t="n">
        <f aca="false">$D141*AW77*1.15</f>
        <v>297269.25</v>
      </c>
      <c r="AX141" s="396" t="n">
        <f aca="false">$D141*AX77*1.2</f>
        <v>310194</v>
      </c>
      <c r="AY141" s="396" t="n">
        <f aca="false">$D141*AY77*1.2</f>
        <v>310194</v>
      </c>
      <c r="AZ141" s="396" t="n">
        <f aca="false">$D141*AZ77*1.2</f>
        <v>310194</v>
      </c>
      <c r="BA141" s="396" t="n">
        <f aca="false">$D141*BA77*1.2</f>
        <v>310194</v>
      </c>
      <c r="BB141" s="396" t="n">
        <f aca="false">$D141*BB77*1.2</f>
        <v>310194</v>
      </c>
      <c r="BC141" s="396" t="n">
        <f aca="false">$D141*BC77*1.2</f>
        <v>310194</v>
      </c>
      <c r="BD141" s="396" t="n">
        <f aca="false">$D141*BD77*1.2</f>
        <v>310194</v>
      </c>
      <c r="BE141" s="396" t="n">
        <f aca="false">$D141*BE77*1.2</f>
        <v>310194</v>
      </c>
      <c r="BF141" s="396" t="n">
        <f aca="false">$D141*BF77*1.2</f>
        <v>310194</v>
      </c>
      <c r="BG141" s="396" t="n">
        <f aca="false">$D141*BG77*1.2</f>
        <v>310194</v>
      </c>
      <c r="BH141" s="396" t="n">
        <f aca="false">$D141*BH77*1.2</f>
        <v>310194</v>
      </c>
      <c r="BI141" s="396" t="n">
        <f aca="false">$D141*BI77*1.2</f>
        <v>310194</v>
      </c>
      <c r="BJ141" s="413" t="n">
        <f aca="false">SUM(E141:M141)</f>
        <v>269573.357142857</v>
      </c>
      <c r="BK141" s="413" t="n">
        <f aca="false">SUM(N141:Y141)</f>
        <v>1349343.9</v>
      </c>
      <c r="BL141" s="413" t="n">
        <f aca="false">SUM(Z141:AK141)</f>
        <v>3412134</v>
      </c>
      <c r="BM141" s="413" t="n">
        <f aca="false">SUM(AL141:AW141)</f>
        <v>3567231</v>
      </c>
      <c r="BN141" s="413" t="n">
        <f aca="false">SUM(AX141:BI141)</f>
        <v>3722328</v>
      </c>
      <c r="BO141" s="325"/>
      <c r="BP141" s="325"/>
      <c r="BQ141" s="325"/>
      <c r="BR141" s="325"/>
      <c r="BS141" s="325"/>
      <c r="BT141" s="325"/>
      <c r="BU141" s="325"/>
      <c r="BV141" s="325"/>
      <c r="BW141" s="325"/>
      <c r="BX141" s="325"/>
      <c r="BY141" s="325"/>
      <c r="BZ141" s="325"/>
      <c r="CA141" s="325"/>
      <c r="CB141" s="325"/>
      <c r="CC141" s="325"/>
      <c r="CD141" s="325"/>
      <c r="CE141" s="325"/>
      <c r="CF141" s="325"/>
      <c r="CG141" s="325"/>
      <c r="CH141" s="325"/>
      <c r="CI141" s="325"/>
      <c r="CJ141" s="325"/>
      <c r="CK141" s="325"/>
      <c r="CL141" s="325"/>
      <c r="CM141" s="325"/>
      <c r="CN141" s="325"/>
      <c r="CO141" s="325"/>
      <c r="CP141" s="325"/>
      <c r="CQ141" s="325"/>
      <c r="CR141" s="325"/>
      <c r="CS141" s="325"/>
      <c r="CT141" s="325"/>
      <c r="CU141" s="325"/>
      <c r="CV141" s="325"/>
      <c r="CW141" s="325"/>
      <c r="CX141" s="325"/>
      <c r="CY141" s="325"/>
      <c r="CZ141" s="325"/>
      <c r="DA141" s="325"/>
      <c r="DB141" s="325"/>
      <c r="DC141" s="325"/>
      <c r="DD141" s="325"/>
      <c r="DE141" s="325"/>
      <c r="DF141" s="325"/>
      <c r="DG141" s="325"/>
      <c r="DH141" s="325"/>
      <c r="DI141" s="325"/>
      <c r="DJ141" s="325"/>
      <c r="DK141" s="325"/>
      <c r="DL141" s="325"/>
      <c r="DM141" s="325"/>
      <c r="DN141" s="325"/>
      <c r="DO141" s="325"/>
      <c r="DP141" s="325"/>
      <c r="DQ141" s="325"/>
      <c r="DR141" s="325"/>
      <c r="DS141" s="325"/>
      <c r="DT141" s="325"/>
      <c r="DU141" s="325"/>
      <c r="DV141" s="325"/>
      <c r="DW141" s="325"/>
      <c r="DX141" s="325"/>
      <c r="DY141" s="325"/>
      <c r="DZ141" s="325"/>
      <c r="EA141" s="325"/>
      <c r="EB141" s="325"/>
      <c r="EC141" s="325"/>
      <c r="ED141" s="325"/>
      <c r="EE141" s="325"/>
      <c r="EF141" s="325"/>
      <c r="EG141" s="325"/>
      <c r="EH141" s="325"/>
      <c r="EI141" s="325"/>
      <c r="EJ141" s="325"/>
      <c r="EK141" s="325"/>
      <c r="EL141" s="325"/>
      <c r="EM141" s="325"/>
      <c r="EN141" s="325"/>
      <c r="EO141" s="325"/>
      <c r="EP141" s="325"/>
      <c r="EQ141" s="325"/>
      <c r="ER141" s="325"/>
      <c r="ES141" s="325"/>
      <c r="ET141" s="325"/>
      <c r="EU141" s="325"/>
      <c r="EV141" s="325"/>
      <c r="EW141" s="325"/>
      <c r="EX141" s="325"/>
      <c r="EY141" s="325"/>
      <c r="EZ141" s="325"/>
      <c r="FA141" s="325"/>
      <c r="FB141" s="325"/>
      <c r="FC141" s="325"/>
      <c r="FD141" s="325"/>
      <c r="FE141" s="325"/>
      <c r="FF141" s="325"/>
      <c r="FG141" s="325"/>
      <c r="FH141" s="325"/>
      <c r="FI141" s="325"/>
      <c r="FJ141" s="325"/>
      <c r="FK141" s="325"/>
      <c r="FL141" s="325"/>
      <c r="FM141" s="325"/>
      <c r="FN141" s="325"/>
      <c r="FO141" s="325"/>
      <c r="FP141" s="325"/>
      <c r="FQ141" s="325"/>
      <c r="FR141" s="325"/>
      <c r="FS141" s="325"/>
      <c r="FT141" s="325"/>
      <c r="FU141" s="325"/>
      <c r="FV141" s="325"/>
      <c r="FW141" s="325"/>
      <c r="FX141" s="325"/>
      <c r="FY141" s="325"/>
      <c r="FZ141" s="325"/>
      <c r="GA141" s="325"/>
      <c r="GB141" s="325"/>
      <c r="GC141" s="325"/>
      <c r="GD141" s="325"/>
      <c r="GE141" s="325"/>
      <c r="GF141" s="325"/>
      <c r="GG141" s="325"/>
      <c r="GH141" s="325"/>
      <c r="GI141" s="325"/>
      <c r="GJ141" s="325"/>
      <c r="GK141" s="325"/>
      <c r="GL141" s="325"/>
    </row>
    <row r="142" customFormat="false" ht="24.75" hidden="false" customHeight="true" outlineLevel="0" collapsed="false">
      <c r="A142" s="398" t="s">
        <v>1585</v>
      </c>
      <c r="B142" s="411"/>
      <c r="C142" s="411"/>
      <c r="D142" s="412" t="n">
        <v>32.502</v>
      </c>
      <c r="E142" s="411" t="n">
        <f aca="false">$D142*E78</f>
        <v>3308.23928571428</v>
      </c>
      <c r="F142" s="411" t="n">
        <f aca="false">$D142*F78</f>
        <v>6616.47857142859</v>
      </c>
      <c r="G142" s="411" t="n">
        <f aca="false">$D142*G78</f>
        <v>13232.9571428571</v>
      </c>
      <c r="H142" s="411" t="n">
        <f aca="false">$D142*H78</f>
        <v>19849.4357142857</v>
      </c>
      <c r="I142" s="411" t="n">
        <f aca="false">$D142*I78</f>
        <v>26465.9142857143</v>
      </c>
      <c r="J142" s="411" t="n">
        <f aca="false">$D142*J78</f>
        <v>33082.3928571428</v>
      </c>
      <c r="K142" s="411" t="n">
        <f aca="false">$D142*K78</f>
        <v>39698.8714285714</v>
      </c>
      <c r="L142" s="411" t="n">
        <f aca="false">$D142*L78</f>
        <v>46315.35</v>
      </c>
      <c r="M142" s="411" t="n">
        <f aca="false">$D142*M78</f>
        <v>52931.8285714286</v>
      </c>
      <c r="N142" s="393" t="n">
        <f aca="false">$D142*N78*1.05</f>
        <v>62525.7225000001</v>
      </c>
      <c r="O142" s="393" t="n">
        <f aca="false">$D142*O78*1.05</f>
        <v>69473.0250000002</v>
      </c>
      <c r="P142" s="393" t="n">
        <f aca="false">$D142*P78*1.05</f>
        <v>76420.3275000002</v>
      </c>
      <c r="Q142" s="393" t="n">
        <f aca="false">$D142*Q78*1.05</f>
        <v>83367.6299999999</v>
      </c>
      <c r="R142" s="393" t="n">
        <f aca="false">$D142*R78*1.05</f>
        <v>90314.9325</v>
      </c>
      <c r="S142" s="393" t="n">
        <f aca="false">$D142*S78*1.05</f>
        <v>97262.235</v>
      </c>
      <c r="T142" s="393" t="n">
        <f aca="false">$D142*T78*1.05</f>
        <v>104209.5375</v>
      </c>
      <c r="U142" s="393" t="n">
        <f aca="false">$D142*U78*1.05</f>
        <v>111156.84</v>
      </c>
      <c r="V142" s="393" t="n">
        <f aca="false">$D142*V78*1.05</f>
        <v>118104.1425</v>
      </c>
      <c r="W142" s="393" t="n">
        <f aca="false">$D142*W78*1.05</f>
        <v>125051.445</v>
      </c>
      <c r="X142" s="393" t="n">
        <f aca="false">$D142*X78*1.05</f>
        <v>131998.7475</v>
      </c>
      <c r="Y142" s="393" t="n">
        <f aca="false">$D142*Y78*1.05</f>
        <v>138946.05</v>
      </c>
      <c r="Z142" s="394" t="n">
        <f aca="false">$D142*Z78*1.1</f>
        <v>254734.425</v>
      </c>
      <c r="AA142" s="394" t="n">
        <f aca="false">$D142*AA78*1.1</f>
        <v>254734.425</v>
      </c>
      <c r="AB142" s="394" t="n">
        <f aca="false">$D142*AB78*1.1</f>
        <v>254734.425</v>
      </c>
      <c r="AC142" s="394" t="n">
        <f aca="false">$D142*AC78*1.1</f>
        <v>254734.425</v>
      </c>
      <c r="AD142" s="394" t="n">
        <f aca="false">$D142*AD78*1.1</f>
        <v>254734.425</v>
      </c>
      <c r="AE142" s="394" t="n">
        <f aca="false">$D142*AE78*1.1</f>
        <v>254734.425</v>
      </c>
      <c r="AF142" s="394" t="n">
        <f aca="false">$D142*AF78*1.1</f>
        <v>254734.425</v>
      </c>
      <c r="AG142" s="394" t="n">
        <f aca="false">$D142*AG78*1.1</f>
        <v>254734.425</v>
      </c>
      <c r="AH142" s="394" t="n">
        <f aca="false">$D142*AH78*1.1</f>
        <v>254734.425</v>
      </c>
      <c r="AI142" s="394" t="n">
        <f aca="false">$D142*AI78*1.1</f>
        <v>254734.425</v>
      </c>
      <c r="AJ142" s="394" t="n">
        <f aca="false">$D142*AJ78*1.1</f>
        <v>254734.425</v>
      </c>
      <c r="AK142" s="394" t="n">
        <f aca="false">$D142*AK78*1.1</f>
        <v>254734.425</v>
      </c>
      <c r="AL142" s="395" t="n">
        <f aca="false">$D142*AL78*1.15</f>
        <v>266313.2625</v>
      </c>
      <c r="AM142" s="395" t="n">
        <f aca="false">$D142*AM78*1.15</f>
        <v>266313.2625</v>
      </c>
      <c r="AN142" s="395" t="n">
        <f aca="false">$D142*AN78*1.15</f>
        <v>266313.2625</v>
      </c>
      <c r="AO142" s="395" t="n">
        <f aca="false">$D142*AO78*1.15</f>
        <v>266313.2625</v>
      </c>
      <c r="AP142" s="395" t="n">
        <f aca="false">$D142*AP78*1.15</f>
        <v>266313.2625</v>
      </c>
      <c r="AQ142" s="395" t="n">
        <f aca="false">$D142*AQ78*1.15</f>
        <v>266313.2625</v>
      </c>
      <c r="AR142" s="395" t="n">
        <f aca="false">$D142*AR78*1.15</f>
        <v>266313.2625</v>
      </c>
      <c r="AS142" s="395" t="n">
        <f aca="false">$D142*AS78*1.15</f>
        <v>266313.2625</v>
      </c>
      <c r="AT142" s="395" t="n">
        <f aca="false">$D142*AT78*1.15</f>
        <v>266313.2625</v>
      </c>
      <c r="AU142" s="395" t="n">
        <f aca="false">$D142*AU78*1.15</f>
        <v>266313.2625</v>
      </c>
      <c r="AV142" s="395" t="n">
        <f aca="false">$D142*AV78*1.15</f>
        <v>266313.2625</v>
      </c>
      <c r="AW142" s="395" t="n">
        <f aca="false">$D142*AW78*1.15</f>
        <v>266313.2625</v>
      </c>
      <c r="AX142" s="396" t="n">
        <f aca="false">$D142*AX78*1.2</f>
        <v>277892.1</v>
      </c>
      <c r="AY142" s="396" t="n">
        <f aca="false">$D142*AY78*1.2</f>
        <v>277892.1</v>
      </c>
      <c r="AZ142" s="396" t="n">
        <f aca="false">$D142*AZ78*1.2</f>
        <v>277892.1</v>
      </c>
      <c r="BA142" s="396" t="n">
        <f aca="false">$D142*BA78*1.2</f>
        <v>277892.1</v>
      </c>
      <c r="BB142" s="396" t="n">
        <f aca="false">$D142*BB78*1.2</f>
        <v>277892.1</v>
      </c>
      <c r="BC142" s="396" t="n">
        <f aca="false">$D142*BC78*1.2</f>
        <v>277892.1</v>
      </c>
      <c r="BD142" s="396" t="n">
        <f aca="false">$D142*BD78*1.2</f>
        <v>277892.1</v>
      </c>
      <c r="BE142" s="396" t="n">
        <f aca="false">$D142*BE78*1.2</f>
        <v>277892.1</v>
      </c>
      <c r="BF142" s="396" t="n">
        <f aca="false">$D142*BF78*1.2</f>
        <v>277892.1</v>
      </c>
      <c r="BG142" s="396" t="n">
        <f aca="false">$D142*BG78*1.2</f>
        <v>277892.1</v>
      </c>
      <c r="BH142" s="396" t="n">
        <f aca="false">$D142*BH78*1.2</f>
        <v>277892.1</v>
      </c>
      <c r="BI142" s="396" t="n">
        <f aca="false">$D142*BI78*1.2</f>
        <v>277892.1</v>
      </c>
      <c r="BJ142" s="413" t="n">
        <f aca="false">SUM(E142:M142)</f>
        <v>241501.467857143</v>
      </c>
      <c r="BK142" s="413" t="n">
        <f aca="false">SUM(N142:Y142)</f>
        <v>1208830.635</v>
      </c>
      <c r="BL142" s="413" t="n">
        <f aca="false">SUM(Z142:AK142)</f>
        <v>3056813.1</v>
      </c>
      <c r="BM142" s="413" t="n">
        <f aca="false">SUM(AL142:AW142)</f>
        <v>3195759.15</v>
      </c>
      <c r="BN142" s="413" t="n">
        <f aca="false">SUM(AX142:BI142)</f>
        <v>3334705.2</v>
      </c>
      <c r="BO142" s="325"/>
      <c r="BP142" s="325"/>
      <c r="BQ142" s="325"/>
      <c r="BR142" s="325"/>
      <c r="BS142" s="325"/>
      <c r="BT142" s="325"/>
      <c r="BU142" s="325"/>
      <c r="BV142" s="325"/>
      <c r="BW142" s="325"/>
      <c r="BX142" s="325"/>
      <c r="BY142" s="325"/>
      <c r="BZ142" s="325"/>
      <c r="CA142" s="325"/>
      <c r="CB142" s="325"/>
      <c r="CC142" s="325"/>
      <c r="CD142" s="325"/>
      <c r="CE142" s="325"/>
      <c r="CF142" s="325"/>
      <c r="CG142" s="325"/>
      <c r="CH142" s="325"/>
      <c r="CI142" s="325"/>
      <c r="CJ142" s="325"/>
      <c r="CK142" s="325"/>
      <c r="CL142" s="325"/>
      <c r="CM142" s="325"/>
      <c r="CN142" s="325"/>
      <c r="CO142" s="325"/>
      <c r="CP142" s="325"/>
      <c r="CQ142" s="325"/>
      <c r="CR142" s="325"/>
      <c r="CS142" s="325"/>
      <c r="CT142" s="325"/>
      <c r="CU142" s="325"/>
      <c r="CV142" s="325"/>
      <c r="CW142" s="325"/>
      <c r="CX142" s="325"/>
      <c r="CY142" s="325"/>
      <c r="CZ142" s="325"/>
      <c r="DA142" s="325"/>
      <c r="DB142" s="325"/>
      <c r="DC142" s="325"/>
      <c r="DD142" s="325"/>
      <c r="DE142" s="325"/>
      <c r="DF142" s="325"/>
      <c r="DG142" s="325"/>
      <c r="DH142" s="325"/>
      <c r="DI142" s="325"/>
      <c r="DJ142" s="325"/>
      <c r="DK142" s="325"/>
      <c r="DL142" s="325"/>
      <c r="DM142" s="325"/>
      <c r="DN142" s="325"/>
      <c r="DO142" s="325"/>
      <c r="DP142" s="325"/>
      <c r="DQ142" s="325"/>
      <c r="DR142" s="325"/>
      <c r="DS142" s="325"/>
      <c r="DT142" s="325"/>
      <c r="DU142" s="325"/>
      <c r="DV142" s="325"/>
      <c r="DW142" s="325"/>
      <c r="DX142" s="325"/>
      <c r="DY142" s="325"/>
      <c r="DZ142" s="325"/>
      <c r="EA142" s="325"/>
      <c r="EB142" s="325"/>
      <c r="EC142" s="325"/>
      <c r="ED142" s="325"/>
      <c r="EE142" s="325"/>
      <c r="EF142" s="325"/>
      <c r="EG142" s="325"/>
      <c r="EH142" s="325"/>
      <c r="EI142" s="325"/>
      <c r="EJ142" s="325"/>
      <c r="EK142" s="325"/>
      <c r="EL142" s="325"/>
      <c r="EM142" s="325"/>
      <c r="EN142" s="325"/>
      <c r="EO142" s="325"/>
      <c r="EP142" s="325"/>
      <c r="EQ142" s="325"/>
      <c r="ER142" s="325"/>
      <c r="ES142" s="325"/>
      <c r="ET142" s="325"/>
      <c r="EU142" s="325"/>
      <c r="EV142" s="325"/>
      <c r="EW142" s="325"/>
      <c r="EX142" s="325"/>
      <c r="EY142" s="325"/>
      <c r="EZ142" s="325"/>
      <c r="FA142" s="325"/>
      <c r="FB142" s="325"/>
      <c r="FC142" s="325"/>
      <c r="FD142" s="325"/>
      <c r="FE142" s="325"/>
      <c r="FF142" s="325"/>
      <c r="FG142" s="325"/>
      <c r="FH142" s="325"/>
      <c r="FI142" s="325"/>
      <c r="FJ142" s="325"/>
      <c r="FK142" s="325"/>
      <c r="FL142" s="325"/>
      <c r="FM142" s="325"/>
      <c r="FN142" s="325"/>
      <c r="FO142" s="325"/>
      <c r="FP142" s="325"/>
      <c r="FQ142" s="325"/>
      <c r="FR142" s="325"/>
      <c r="FS142" s="325"/>
      <c r="FT142" s="325"/>
      <c r="FU142" s="325"/>
      <c r="FV142" s="325"/>
      <c r="FW142" s="325"/>
      <c r="FX142" s="325"/>
      <c r="FY142" s="325"/>
      <c r="FZ142" s="325"/>
      <c r="GA142" s="325"/>
      <c r="GB142" s="325"/>
      <c r="GC142" s="325"/>
      <c r="GD142" s="325"/>
      <c r="GE142" s="325"/>
      <c r="GF142" s="325"/>
      <c r="GG142" s="325"/>
      <c r="GH142" s="325"/>
      <c r="GI142" s="325"/>
      <c r="GJ142" s="325"/>
      <c r="GK142" s="325"/>
      <c r="GL142" s="325"/>
    </row>
    <row r="143" customFormat="false" ht="24.75" hidden="false" customHeight="true" outlineLevel="0" collapsed="false">
      <c r="A143" s="398" t="s">
        <v>1586</v>
      </c>
      <c r="B143" s="411"/>
      <c r="C143" s="411"/>
      <c r="D143" s="412" t="n">
        <v>26.0248</v>
      </c>
      <c r="E143" s="411" t="n">
        <f aca="false">$D143*E79</f>
        <v>2354.62476190476</v>
      </c>
      <c r="F143" s="411" t="n">
        <f aca="false">$D143*F79</f>
        <v>4709.24952380952</v>
      </c>
      <c r="G143" s="411" t="n">
        <f aca="false">$D143*G79</f>
        <v>9418.49904761905</v>
      </c>
      <c r="H143" s="411" t="n">
        <f aca="false">$D143*H79</f>
        <v>14127.7485714286</v>
      </c>
      <c r="I143" s="411" t="n">
        <f aca="false">$D143*I79</f>
        <v>18836.9980952381</v>
      </c>
      <c r="J143" s="411" t="n">
        <f aca="false">$D143*J79</f>
        <v>23546.2476190476</v>
      </c>
      <c r="K143" s="411" t="n">
        <f aca="false">$D143*K79</f>
        <v>28255.4971428573</v>
      </c>
      <c r="L143" s="411" t="n">
        <f aca="false">$D143*L79</f>
        <v>32964.7466666668</v>
      </c>
      <c r="M143" s="411" t="n">
        <f aca="false">$D143*M79</f>
        <v>37673.9961904763</v>
      </c>
      <c r="N143" s="393" t="n">
        <f aca="false">$D143*N79*1.05</f>
        <v>44502.408</v>
      </c>
      <c r="O143" s="393" t="n">
        <f aca="false">$D143*O79*1.05</f>
        <v>49447.12</v>
      </c>
      <c r="P143" s="393" t="n">
        <f aca="false">$D143*P79*1.05</f>
        <v>54391.832</v>
      </c>
      <c r="Q143" s="393" t="n">
        <f aca="false">$D143*Q79*1.05</f>
        <v>59336.544</v>
      </c>
      <c r="R143" s="393" t="n">
        <f aca="false">$D143*R79*1.05</f>
        <v>64281.2559999999</v>
      </c>
      <c r="S143" s="393" t="n">
        <f aca="false">$D143*S79*1.05</f>
        <v>69225.9679999999</v>
      </c>
      <c r="T143" s="393" t="n">
        <f aca="false">$D143*T79*1.05</f>
        <v>74170.6800000002</v>
      </c>
      <c r="U143" s="393" t="n">
        <f aca="false">$D143*U79*1.05</f>
        <v>79115.3920000001</v>
      </c>
      <c r="V143" s="393" t="n">
        <f aca="false">$D143*V79*1.05</f>
        <v>84060.1040000001</v>
      </c>
      <c r="W143" s="393" t="n">
        <f aca="false">$D143*W79*1.05</f>
        <v>89004.8160000001</v>
      </c>
      <c r="X143" s="393" t="n">
        <f aca="false">$D143*X79*1.05</f>
        <v>93949.5280000001</v>
      </c>
      <c r="Y143" s="393" t="n">
        <f aca="false">$D143*Y79*1.05</f>
        <v>98894.24</v>
      </c>
      <c r="Z143" s="394" t="n">
        <f aca="false">$D143*Z79*1.1</f>
        <v>181306.106666667</v>
      </c>
      <c r="AA143" s="394" t="n">
        <f aca="false">$D143*AA79*1.1</f>
        <v>181306.106666667</v>
      </c>
      <c r="AB143" s="394" t="n">
        <f aca="false">$D143*AB79*1.1</f>
        <v>181306.106666667</v>
      </c>
      <c r="AC143" s="394" t="n">
        <f aca="false">$D143*AC79*1.1</f>
        <v>181306.106666667</v>
      </c>
      <c r="AD143" s="394" t="n">
        <f aca="false">$D143*AD79*1.1</f>
        <v>181306.106666667</v>
      </c>
      <c r="AE143" s="394" t="n">
        <f aca="false">$D143*AE79*1.1</f>
        <v>181306.106666667</v>
      </c>
      <c r="AF143" s="394" t="n">
        <f aca="false">$D143*AF79*1.1</f>
        <v>181306.106666667</v>
      </c>
      <c r="AG143" s="394" t="n">
        <f aca="false">$D143*AG79*1.1</f>
        <v>181306.106666667</v>
      </c>
      <c r="AH143" s="394" t="n">
        <f aca="false">$D143*AH79*1.1</f>
        <v>181306.106666667</v>
      </c>
      <c r="AI143" s="394" t="n">
        <f aca="false">$D143*AI79*1.1</f>
        <v>181306.106666667</v>
      </c>
      <c r="AJ143" s="394" t="n">
        <f aca="false">$D143*AJ79*1.1</f>
        <v>181306.106666667</v>
      </c>
      <c r="AK143" s="394" t="n">
        <f aca="false">$D143*AK79*1.1</f>
        <v>181306.106666667</v>
      </c>
      <c r="AL143" s="395" t="n">
        <f aca="false">$D143*AL79*1.15</f>
        <v>189547.293333333</v>
      </c>
      <c r="AM143" s="395" t="n">
        <f aca="false">$D143*AM79*1.15</f>
        <v>189547.293333333</v>
      </c>
      <c r="AN143" s="395" t="n">
        <f aca="false">$D143*AN79*1.15</f>
        <v>189547.293333333</v>
      </c>
      <c r="AO143" s="395" t="n">
        <f aca="false">$D143*AO79*1.15</f>
        <v>189547.293333333</v>
      </c>
      <c r="AP143" s="395" t="n">
        <f aca="false">$D143*AP79*1.15</f>
        <v>189547.293333333</v>
      </c>
      <c r="AQ143" s="395" t="n">
        <f aca="false">$D143*AQ79*1.15</f>
        <v>189547.293333333</v>
      </c>
      <c r="AR143" s="395" t="n">
        <f aca="false">$D143*AR79*1.15</f>
        <v>189547.293333333</v>
      </c>
      <c r="AS143" s="395" t="n">
        <f aca="false">$D143*AS79*1.15</f>
        <v>189547.293333333</v>
      </c>
      <c r="AT143" s="395" t="n">
        <f aca="false">$D143*AT79*1.15</f>
        <v>189547.293333333</v>
      </c>
      <c r="AU143" s="395" t="n">
        <f aca="false">$D143*AU79*1.15</f>
        <v>189547.293333333</v>
      </c>
      <c r="AV143" s="395" t="n">
        <f aca="false">$D143*AV79*1.15</f>
        <v>189547.293333333</v>
      </c>
      <c r="AW143" s="395" t="n">
        <f aca="false">$D143*AW79*1.15</f>
        <v>189547.293333333</v>
      </c>
      <c r="AX143" s="396" t="n">
        <f aca="false">$D143*AX79*1.2</f>
        <v>197788.48</v>
      </c>
      <c r="AY143" s="396" t="n">
        <f aca="false">$D143*AY79*1.2</f>
        <v>197788.48</v>
      </c>
      <c r="AZ143" s="396" t="n">
        <f aca="false">$D143*AZ79*1.2</f>
        <v>197788.48</v>
      </c>
      <c r="BA143" s="396" t="n">
        <f aca="false">$D143*BA79*1.2</f>
        <v>197788.48</v>
      </c>
      <c r="BB143" s="396" t="n">
        <f aca="false">$D143*BB79*1.2</f>
        <v>197788.48</v>
      </c>
      <c r="BC143" s="396" t="n">
        <f aca="false">$D143*BC79*1.2</f>
        <v>197788.48</v>
      </c>
      <c r="BD143" s="396" t="n">
        <f aca="false">$D143*BD79*1.2</f>
        <v>197788.48</v>
      </c>
      <c r="BE143" s="396" t="n">
        <f aca="false">$D143*BE79*1.2</f>
        <v>197788.48</v>
      </c>
      <c r="BF143" s="396" t="n">
        <f aca="false">$D143*BF79*1.2</f>
        <v>197788.48</v>
      </c>
      <c r="BG143" s="396" t="n">
        <f aca="false">$D143*BG79*1.2</f>
        <v>197788.48</v>
      </c>
      <c r="BH143" s="396" t="n">
        <f aca="false">$D143*BH79*1.2</f>
        <v>197788.48</v>
      </c>
      <c r="BI143" s="396" t="n">
        <f aca="false">$D143*BI79*1.2</f>
        <v>197788.48</v>
      </c>
      <c r="BJ143" s="413" t="n">
        <f aca="false">SUM(E143:M143)</f>
        <v>171887.607619048</v>
      </c>
      <c r="BK143" s="413" t="n">
        <f aca="false">SUM(N143:Y143)</f>
        <v>860379.888</v>
      </c>
      <c r="BL143" s="413" t="n">
        <f aca="false">SUM(Z143:AK143)</f>
        <v>2175673.28</v>
      </c>
      <c r="BM143" s="413" t="n">
        <f aca="false">SUM(AL143:AW143)</f>
        <v>2274567.52</v>
      </c>
      <c r="BN143" s="413" t="n">
        <f aca="false">SUM(AX143:BI143)</f>
        <v>2373461.76</v>
      </c>
      <c r="BO143" s="325"/>
      <c r="BP143" s="325"/>
      <c r="BQ143" s="325"/>
      <c r="BR143" s="325"/>
      <c r="BS143" s="325"/>
      <c r="BT143" s="325"/>
      <c r="BU143" s="325"/>
      <c r="BV143" s="325"/>
      <c r="BW143" s="325"/>
      <c r="BX143" s="325"/>
      <c r="BY143" s="325"/>
      <c r="BZ143" s="325"/>
      <c r="CA143" s="325"/>
      <c r="CB143" s="325"/>
      <c r="CC143" s="325"/>
      <c r="CD143" s="325"/>
      <c r="CE143" s="325"/>
      <c r="CF143" s="325"/>
      <c r="CG143" s="325"/>
      <c r="CH143" s="325"/>
      <c r="CI143" s="325"/>
      <c r="CJ143" s="325"/>
      <c r="CK143" s="325"/>
      <c r="CL143" s="325"/>
      <c r="CM143" s="325"/>
      <c r="CN143" s="325"/>
      <c r="CO143" s="325"/>
      <c r="CP143" s="325"/>
      <c r="CQ143" s="325"/>
      <c r="CR143" s="325"/>
      <c r="CS143" s="325"/>
      <c r="CT143" s="325"/>
      <c r="CU143" s="325"/>
      <c r="CV143" s="325"/>
      <c r="CW143" s="325"/>
      <c r="CX143" s="325"/>
      <c r="CY143" s="325"/>
      <c r="CZ143" s="325"/>
      <c r="DA143" s="325"/>
      <c r="DB143" s="325"/>
      <c r="DC143" s="325"/>
      <c r="DD143" s="325"/>
      <c r="DE143" s="325"/>
      <c r="DF143" s="325"/>
      <c r="DG143" s="325"/>
      <c r="DH143" s="325"/>
      <c r="DI143" s="325"/>
      <c r="DJ143" s="325"/>
      <c r="DK143" s="325"/>
      <c r="DL143" s="325"/>
      <c r="DM143" s="325"/>
      <c r="DN143" s="325"/>
      <c r="DO143" s="325"/>
      <c r="DP143" s="325"/>
      <c r="DQ143" s="325"/>
      <c r="DR143" s="325"/>
      <c r="DS143" s="325"/>
      <c r="DT143" s="325"/>
      <c r="DU143" s="325"/>
      <c r="DV143" s="325"/>
      <c r="DW143" s="325"/>
      <c r="DX143" s="325"/>
      <c r="DY143" s="325"/>
      <c r="DZ143" s="325"/>
      <c r="EA143" s="325"/>
      <c r="EB143" s="325"/>
      <c r="EC143" s="325"/>
      <c r="ED143" s="325"/>
      <c r="EE143" s="325"/>
      <c r="EF143" s="325"/>
      <c r="EG143" s="325"/>
      <c r="EH143" s="325"/>
      <c r="EI143" s="325"/>
      <c r="EJ143" s="325"/>
      <c r="EK143" s="325"/>
      <c r="EL143" s="325"/>
      <c r="EM143" s="325"/>
      <c r="EN143" s="325"/>
      <c r="EO143" s="325"/>
      <c r="EP143" s="325"/>
      <c r="EQ143" s="325"/>
      <c r="ER143" s="325"/>
      <c r="ES143" s="325"/>
      <c r="ET143" s="325"/>
      <c r="EU143" s="325"/>
      <c r="EV143" s="325"/>
      <c r="EW143" s="325"/>
      <c r="EX143" s="325"/>
      <c r="EY143" s="325"/>
      <c r="EZ143" s="325"/>
      <c r="FA143" s="325"/>
      <c r="FB143" s="325"/>
      <c r="FC143" s="325"/>
      <c r="FD143" s="325"/>
      <c r="FE143" s="325"/>
      <c r="FF143" s="325"/>
      <c r="FG143" s="325"/>
      <c r="FH143" s="325"/>
      <c r="FI143" s="325"/>
      <c r="FJ143" s="325"/>
      <c r="FK143" s="325"/>
      <c r="FL143" s="325"/>
      <c r="FM143" s="325"/>
      <c r="FN143" s="325"/>
      <c r="FO143" s="325"/>
      <c r="FP143" s="325"/>
      <c r="FQ143" s="325"/>
      <c r="FR143" s="325"/>
      <c r="FS143" s="325"/>
      <c r="FT143" s="325"/>
      <c r="FU143" s="325"/>
      <c r="FV143" s="325"/>
      <c r="FW143" s="325"/>
      <c r="FX143" s="325"/>
      <c r="FY143" s="325"/>
      <c r="FZ143" s="325"/>
      <c r="GA143" s="325"/>
      <c r="GB143" s="325"/>
      <c r="GC143" s="325"/>
      <c r="GD143" s="325"/>
      <c r="GE143" s="325"/>
      <c r="GF143" s="325"/>
      <c r="GG143" s="325"/>
      <c r="GH143" s="325"/>
      <c r="GI143" s="325"/>
      <c r="GJ143" s="325"/>
      <c r="GK143" s="325"/>
      <c r="GL143" s="325"/>
    </row>
    <row r="144" customFormat="false" ht="24.75" hidden="false" customHeight="true" outlineLevel="0" collapsed="false">
      <c r="A144" s="398" t="s">
        <v>1587</v>
      </c>
      <c r="B144" s="411"/>
      <c r="C144" s="411"/>
      <c r="D144" s="412" t="n">
        <v>21.6765</v>
      </c>
      <c r="E144" s="411" t="n">
        <f aca="false">$D144*E80</f>
        <v>1225.75446428572</v>
      </c>
      <c r="F144" s="411" t="n">
        <f aca="false">$D144*F80</f>
        <v>2451.50892857143</v>
      </c>
      <c r="G144" s="411" t="n">
        <f aca="false">$D144*G80</f>
        <v>4903.01785714285</v>
      </c>
      <c r="H144" s="411" t="n">
        <f aca="false">$D144*H80</f>
        <v>7354.52678571428</v>
      </c>
      <c r="I144" s="411" t="n">
        <f aca="false">$D144*I80</f>
        <v>9806.03571428571</v>
      </c>
      <c r="J144" s="411" t="n">
        <f aca="false">$D144*J80</f>
        <v>12257.5446428572</v>
      </c>
      <c r="K144" s="411" t="n">
        <f aca="false">$D144*K80</f>
        <v>14709.0535714286</v>
      </c>
      <c r="L144" s="411" t="n">
        <f aca="false">$D144*L80</f>
        <v>17160.5625</v>
      </c>
      <c r="M144" s="411" t="n">
        <f aca="false">$D144*M80</f>
        <v>19612.0714285714</v>
      </c>
      <c r="N144" s="393" t="n">
        <f aca="false">$D144*N80*1.05</f>
        <v>23166.7593749999</v>
      </c>
      <c r="O144" s="393" t="n">
        <f aca="false">$D144*O80*1.05</f>
        <v>25740.84375</v>
      </c>
      <c r="P144" s="393" t="n">
        <f aca="false">$D144*P80*1.05</f>
        <v>28314.928125</v>
      </c>
      <c r="Q144" s="393" t="n">
        <f aca="false">$D144*Q80*1.05</f>
        <v>30889.0125000001</v>
      </c>
      <c r="R144" s="393" t="n">
        <f aca="false">$D144*R80*1.05</f>
        <v>33463.0968750001</v>
      </c>
      <c r="S144" s="393" t="n">
        <f aca="false">$D144*S80*1.05</f>
        <v>36037.1812499999</v>
      </c>
      <c r="T144" s="393" t="n">
        <f aca="false">$D144*T80*1.05</f>
        <v>38611.265625</v>
      </c>
      <c r="U144" s="393" t="n">
        <f aca="false">$D144*U80*1.05</f>
        <v>41185.35</v>
      </c>
      <c r="V144" s="393" t="n">
        <f aca="false">$D144*V80*1.05</f>
        <v>43759.4343750001</v>
      </c>
      <c r="W144" s="393" t="n">
        <f aca="false">$D144*W80*1.05</f>
        <v>46333.5187500001</v>
      </c>
      <c r="X144" s="393" t="n">
        <f aca="false">$D144*X80*1.05</f>
        <v>48907.6031249999</v>
      </c>
      <c r="Y144" s="393" t="n">
        <f aca="false">$D144*Y80*1.05</f>
        <v>51481.6875</v>
      </c>
      <c r="Z144" s="394" t="n">
        <f aca="false">$D144*Z80*1.1</f>
        <v>94383.0937499999</v>
      </c>
      <c r="AA144" s="394" t="n">
        <f aca="false">$D144*AA80*1.1</f>
        <v>94383.0937499999</v>
      </c>
      <c r="AB144" s="394" t="n">
        <f aca="false">$D144*AB80*1.1</f>
        <v>94383.0937499999</v>
      </c>
      <c r="AC144" s="394" t="n">
        <f aca="false">$D144*AC80*1.1</f>
        <v>94383.0937499999</v>
      </c>
      <c r="AD144" s="394" t="n">
        <f aca="false">$D144*AD80*1.1</f>
        <v>94383.0937499999</v>
      </c>
      <c r="AE144" s="394" t="n">
        <f aca="false">$D144*AE80*1.1</f>
        <v>94383.0937499999</v>
      </c>
      <c r="AF144" s="394" t="n">
        <f aca="false">$D144*AF80*1.1</f>
        <v>94383.0937499999</v>
      </c>
      <c r="AG144" s="394" t="n">
        <f aca="false">$D144*AG80*1.1</f>
        <v>94383.0937499999</v>
      </c>
      <c r="AH144" s="394" t="n">
        <f aca="false">$D144*AH80*1.1</f>
        <v>94383.0937499999</v>
      </c>
      <c r="AI144" s="394" t="n">
        <f aca="false">$D144*AI80*1.1</f>
        <v>94383.0937499999</v>
      </c>
      <c r="AJ144" s="394" t="n">
        <f aca="false">$D144*AJ80*1.1</f>
        <v>94383.0937499999</v>
      </c>
      <c r="AK144" s="394" t="n">
        <f aca="false">$D144*AK80*1.1</f>
        <v>94383.0937499999</v>
      </c>
      <c r="AL144" s="395" t="n">
        <f aca="false">$D144*AL80*1.15</f>
        <v>98673.2343749999</v>
      </c>
      <c r="AM144" s="395" t="n">
        <f aca="false">$D144*AM80*1.15</f>
        <v>98673.2343749999</v>
      </c>
      <c r="AN144" s="395" t="n">
        <f aca="false">$D144*AN80*1.15</f>
        <v>98673.2343749999</v>
      </c>
      <c r="AO144" s="395" t="n">
        <f aca="false">$D144*AO80*1.15</f>
        <v>98673.2343749999</v>
      </c>
      <c r="AP144" s="395" t="n">
        <f aca="false">$D144*AP80*1.15</f>
        <v>98673.2343749999</v>
      </c>
      <c r="AQ144" s="395" t="n">
        <f aca="false">$D144*AQ80*1.15</f>
        <v>98673.2343749999</v>
      </c>
      <c r="AR144" s="395" t="n">
        <f aca="false">$D144*AR80*1.15</f>
        <v>98673.2343749999</v>
      </c>
      <c r="AS144" s="395" t="n">
        <f aca="false">$D144*AS80*1.15</f>
        <v>98673.2343749999</v>
      </c>
      <c r="AT144" s="395" t="n">
        <f aca="false">$D144*AT80*1.15</f>
        <v>98673.2343749999</v>
      </c>
      <c r="AU144" s="395" t="n">
        <f aca="false">$D144*AU80*1.15</f>
        <v>98673.2343749999</v>
      </c>
      <c r="AV144" s="395" t="n">
        <f aca="false">$D144*AV80*1.15</f>
        <v>98673.2343749999</v>
      </c>
      <c r="AW144" s="395" t="n">
        <f aca="false">$D144*AW80*1.15</f>
        <v>98673.2343749999</v>
      </c>
      <c r="AX144" s="396" t="n">
        <f aca="false">$D144*AX80*1.2</f>
        <v>102963.375</v>
      </c>
      <c r="AY144" s="396" t="n">
        <f aca="false">$D144*AY80*1.2</f>
        <v>102963.375</v>
      </c>
      <c r="AZ144" s="396" t="n">
        <f aca="false">$D144*AZ80*1.2</f>
        <v>102963.375</v>
      </c>
      <c r="BA144" s="396" t="n">
        <f aca="false">$D144*BA80*1.2</f>
        <v>102963.375</v>
      </c>
      <c r="BB144" s="396" t="n">
        <f aca="false">$D144*BB80*1.2</f>
        <v>102963.375</v>
      </c>
      <c r="BC144" s="396" t="n">
        <f aca="false">$D144*BC80*1.2</f>
        <v>102963.375</v>
      </c>
      <c r="BD144" s="396" t="n">
        <f aca="false">$D144*BD80*1.2</f>
        <v>102963.375</v>
      </c>
      <c r="BE144" s="396" t="n">
        <f aca="false">$D144*BE80*1.2</f>
        <v>102963.375</v>
      </c>
      <c r="BF144" s="396" t="n">
        <f aca="false">$D144*BF80*1.2</f>
        <v>102963.375</v>
      </c>
      <c r="BG144" s="396" t="n">
        <f aca="false">$D144*BG80*1.2</f>
        <v>102963.375</v>
      </c>
      <c r="BH144" s="396" t="n">
        <f aca="false">$D144*BH80*1.2</f>
        <v>102963.375</v>
      </c>
      <c r="BI144" s="396" t="n">
        <f aca="false">$D144*BI80*1.2</f>
        <v>102963.375</v>
      </c>
      <c r="BJ144" s="413" t="n">
        <f aca="false">SUM(E144:M144)</f>
        <v>89480.0758928572</v>
      </c>
      <c r="BK144" s="413" t="n">
        <f aca="false">SUM(N144:Y144)</f>
        <v>447890.68125</v>
      </c>
      <c r="BL144" s="413" t="n">
        <f aca="false">SUM(Z144:AK144)</f>
        <v>1132597.125</v>
      </c>
      <c r="BM144" s="413" t="n">
        <f aca="false">SUM(AL144:AW144)</f>
        <v>1184078.8125</v>
      </c>
      <c r="BN144" s="413" t="n">
        <f aca="false">SUM(AX144:BI144)</f>
        <v>1235560.5</v>
      </c>
      <c r="BO144" s="325"/>
      <c r="BP144" s="325"/>
      <c r="BQ144" s="325"/>
      <c r="BR144" s="325"/>
      <c r="BS144" s="325"/>
      <c r="BT144" s="325"/>
      <c r="BU144" s="325"/>
      <c r="BV144" s="325"/>
      <c r="BW144" s="325"/>
      <c r="BX144" s="325"/>
      <c r="BY144" s="325"/>
      <c r="BZ144" s="325"/>
      <c r="CA144" s="325"/>
      <c r="CB144" s="325"/>
      <c r="CC144" s="325"/>
      <c r="CD144" s="325"/>
      <c r="CE144" s="325"/>
      <c r="CF144" s="325"/>
      <c r="CG144" s="325"/>
      <c r="CH144" s="325"/>
      <c r="CI144" s="325"/>
      <c r="CJ144" s="325"/>
      <c r="CK144" s="325"/>
      <c r="CL144" s="325"/>
      <c r="CM144" s="325"/>
      <c r="CN144" s="325"/>
      <c r="CO144" s="325"/>
      <c r="CP144" s="325"/>
      <c r="CQ144" s="325"/>
      <c r="CR144" s="325"/>
      <c r="CS144" s="325"/>
      <c r="CT144" s="325"/>
      <c r="CU144" s="325"/>
      <c r="CV144" s="325"/>
      <c r="CW144" s="325"/>
      <c r="CX144" s="325"/>
      <c r="CY144" s="325"/>
      <c r="CZ144" s="325"/>
      <c r="DA144" s="325"/>
      <c r="DB144" s="325"/>
      <c r="DC144" s="325"/>
      <c r="DD144" s="325"/>
      <c r="DE144" s="325"/>
      <c r="DF144" s="325"/>
      <c r="DG144" s="325"/>
      <c r="DH144" s="325"/>
      <c r="DI144" s="325"/>
      <c r="DJ144" s="325"/>
      <c r="DK144" s="325"/>
      <c r="DL144" s="325"/>
      <c r="DM144" s="325"/>
      <c r="DN144" s="325"/>
      <c r="DO144" s="325"/>
      <c r="DP144" s="325"/>
      <c r="DQ144" s="325"/>
      <c r="DR144" s="325"/>
      <c r="DS144" s="325"/>
      <c r="DT144" s="325"/>
      <c r="DU144" s="325"/>
      <c r="DV144" s="325"/>
      <c r="DW144" s="325"/>
      <c r="DX144" s="325"/>
      <c r="DY144" s="325"/>
      <c r="DZ144" s="325"/>
      <c r="EA144" s="325"/>
      <c r="EB144" s="325"/>
      <c r="EC144" s="325"/>
      <c r="ED144" s="325"/>
      <c r="EE144" s="325"/>
      <c r="EF144" s="325"/>
      <c r="EG144" s="325"/>
      <c r="EH144" s="325"/>
      <c r="EI144" s="325"/>
      <c r="EJ144" s="325"/>
      <c r="EK144" s="325"/>
      <c r="EL144" s="325"/>
      <c r="EM144" s="325"/>
      <c r="EN144" s="325"/>
      <c r="EO144" s="325"/>
      <c r="EP144" s="325"/>
      <c r="EQ144" s="325"/>
      <c r="ER144" s="325"/>
      <c r="ES144" s="325"/>
      <c r="ET144" s="325"/>
      <c r="EU144" s="325"/>
      <c r="EV144" s="325"/>
      <c r="EW144" s="325"/>
      <c r="EX144" s="325"/>
      <c r="EY144" s="325"/>
      <c r="EZ144" s="325"/>
      <c r="FA144" s="325"/>
      <c r="FB144" s="325"/>
      <c r="FC144" s="325"/>
      <c r="FD144" s="325"/>
      <c r="FE144" s="325"/>
      <c r="FF144" s="325"/>
      <c r="FG144" s="325"/>
      <c r="FH144" s="325"/>
      <c r="FI144" s="325"/>
      <c r="FJ144" s="325"/>
      <c r="FK144" s="325"/>
      <c r="FL144" s="325"/>
      <c r="FM144" s="325"/>
      <c r="FN144" s="325"/>
      <c r="FO144" s="325"/>
      <c r="FP144" s="325"/>
      <c r="FQ144" s="325"/>
      <c r="FR144" s="325"/>
      <c r="FS144" s="325"/>
      <c r="FT144" s="325"/>
      <c r="FU144" s="325"/>
      <c r="FV144" s="325"/>
      <c r="FW144" s="325"/>
      <c r="FX144" s="325"/>
      <c r="FY144" s="325"/>
      <c r="FZ144" s="325"/>
      <c r="GA144" s="325"/>
      <c r="GB144" s="325"/>
      <c r="GC144" s="325"/>
      <c r="GD144" s="325"/>
      <c r="GE144" s="325"/>
      <c r="GF144" s="325"/>
      <c r="GG144" s="325"/>
      <c r="GH144" s="325"/>
      <c r="GI144" s="325"/>
      <c r="GJ144" s="325"/>
      <c r="GK144" s="325"/>
      <c r="GL144" s="325"/>
    </row>
    <row r="145" customFormat="false" ht="24.75" hidden="false" customHeight="true" outlineLevel="0" collapsed="false">
      <c r="A145" s="398" t="s">
        <v>1588</v>
      </c>
      <c r="B145" s="411"/>
      <c r="C145" s="411"/>
      <c r="D145" s="412" t="n">
        <v>20.33784</v>
      </c>
      <c r="E145" s="411" t="n">
        <f aca="false">$D145*E81</f>
        <v>575.028214285714</v>
      </c>
      <c r="F145" s="411" t="n">
        <f aca="false">$D145*F81</f>
        <v>1150.05642857143</v>
      </c>
      <c r="G145" s="411" t="n">
        <f aca="false">$D145*G81</f>
        <v>2300.11285714286</v>
      </c>
      <c r="H145" s="411" t="n">
        <f aca="false">$D145*H81</f>
        <v>3450.16928571428</v>
      </c>
      <c r="I145" s="411" t="n">
        <f aca="false">$D145*I81</f>
        <v>4600.22571428571</v>
      </c>
      <c r="J145" s="411" t="n">
        <f aca="false">$D145*J81</f>
        <v>5750.28214285714</v>
      </c>
      <c r="K145" s="411" t="n">
        <f aca="false">$D145*K81</f>
        <v>6900.33857142857</v>
      </c>
      <c r="L145" s="411" t="n">
        <f aca="false">$D145*L81</f>
        <v>8050.39499999999</v>
      </c>
      <c r="M145" s="411" t="n">
        <f aca="false">$D145*M81</f>
        <v>9200.45142857142</v>
      </c>
      <c r="N145" s="393" t="n">
        <f aca="false">$D145*N81*1.05</f>
        <v>10868.03325</v>
      </c>
      <c r="O145" s="393" t="n">
        <f aca="false">$D145*O81*1.05</f>
        <v>12075.5925</v>
      </c>
      <c r="P145" s="393" t="n">
        <f aca="false">$D145*P81*1.05</f>
        <v>13283.15175</v>
      </c>
      <c r="Q145" s="393" t="n">
        <f aca="false">$D145*Q81*1.05</f>
        <v>14490.711</v>
      </c>
      <c r="R145" s="393" t="n">
        <f aca="false">$D145*R81*1.05</f>
        <v>15698.27025</v>
      </c>
      <c r="S145" s="393" t="n">
        <f aca="false">$D145*S81*1.05</f>
        <v>16905.8295</v>
      </c>
      <c r="T145" s="393" t="n">
        <f aca="false">$D145*T81*1.05</f>
        <v>18113.38875</v>
      </c>
      <c r="U145" s="393" t="n">
        <f aca="false">$D145*U81*1.05</f>
        <v>19320.948</v>
      </c>
      <c r="V145" s="393" t="n">
        <f aca="false">$D145*V81*1.05</f>
        <v>20528.50725</v>
      </c>
      <c r="W145" s="393" t="n">
        <f aca="false">$D145*W81*1.05</f>
        <v>21736.0664999999</v>
      </c>
      <c r="X145" s="393" t="n">
        <f aca="false">$D145*X81*1.05</f>
        <v>22943.62575</v>
      </c>
      <c r="Y145" s="393" t="n">
        <f aca="false">$D145*Y81*1.05</f>
        <v>24151.185</v>
      </c>
      <c r="Z145" s="394" t="n">
        <f aca="false">$D145*Z81*1.1</f>
        <v>44277.1725000001</v>
      </c>
      <c r="AA145" s="394" t="n">
        <f aca="false">$D145*AA81*1.1</f>
        <v>44277.1725000001</v>
      </c>
      <c r="AB145" s="394" t="n">
        <f aca="false">$D145*AB81*1.1</f>
        <v>44277.1725000001</v>
      </c>
      <c r="AC145" s="394" t="n">
        <f aca="false">$D145*AC81*1.1</f>
        <v>44277.1725000001</v>
      </c>
      <c r="AD145" s="394" t="n">
        <f aca="false">$D145*AD81*1.1</f>
        <v>44277.1725000001</v>
      </c>
      <c r="AE145" s="394" t="n">
        <f aca="false">$D145*AE81*1.1</f>
        <v>44277.1725000001</v>
      </c>
      <c r="AF145" s="394" t="n">
        <f aca="false">$D145*AF81*1.1</f>
        <v>44277.1725000001</v>
      </c>
      <c r="AG145" s="394" t="n">
        <f aca="false">$D145*AG81*1.1</f>
        <v>44277.1725000001</v>
      </c>
      <c r="AH145" s="394" t="n">
        <f aca="false">$D145*AH81*1.1</f>
        <v>44277.1725000001</v>
      </c>
      <c r="AI145" s="394" t="n">
        <f aca="false">$D145*AI81*1.1</f>
        <v>44277.1725000001</v>
      </c>
      <c r="AJ145" s="394" t="n">
        <f aca="false">$D145*AJ81*1.1</f>
        <v>44277.1725000001</v>
      </c>
      <c r="AK145" s="394" t="n">
        <f aca="false">$D145*AK81*1.1</f>
        <v>44277.1725000001</v>
      </c>
      <c r="AL145" s="395" t="n">
        <f aca="false">$D145*AL81*1.15</f>
        <v>46289.7712500001</v>
      </c>
      <c r="AM145" s="395" t="n">
        <f aca="false">$D145*AM81*1.15</f>
        <v>46289.7712500001</v>
      </c>
      <c r="AN145" s="395" t="n">
        <f aca="false">$D145*AN81*1.15</f>
        <v>46289.7712500001</v>
      </c>
      <c r="AO145" s="395" t="n">
        <f aca="false">$D145*AO81*1.15</f>
        <v>46289.7712500001</v>
      </c>
      <c r="AP145" s="395" t="n">
        <f aca="false">$D145*AP81*1.15</f>
        <v>46289.7712500001</v>
      </c>
      <c r="AQ145" s="395" t="n">
        <f aca="false">$D145*AQ81*1.15</f>
        <v>46289.7712500001</v>
      </c>
      <c r="AR145" s="395" t="n">
        <f aca="false">$D145*AR81*1.15</f>
        <v>46289.7712500001</v>
      </c>
      <c r="AS145" s="395" t="n">
        <f aca="false">$D145*AS81*1.15</f>
        <v>46289.7712500001</v>
      </c>
      <c r="AT145" s="395" t="n">
        <f aca="false">$D145*AT81*1.15</f>
        <v>46289.7712500001</v>
      </c>
      <c r="AU145" s="395" t="n">
        <f aca="false">$D145*AU81*1.15</f>
        <v>46289.7712500001</v>
      </c>
      <c r="AV145" s="395" t="n">
        <f aca="false">$D145*AV81*1.15</f>
        <v>46289.7712500001</v>
      </c>
      <c r="AW145" s="395" t="n">
        <f aca="false">$D145*AW81*1.15</f>
        <v>46289.7712500001</v>
      </c>
      <c r="AX145" s="396" t="n">
        <f aca="false">$D145*AX81*1.2</f>
        <v>48302.3700000001</v>
      </c>
      <c r="AY145" s="396" t="n">
        <f aca="false">$D145*AY81*1.2</f>
        <v>48302.3700000001</v>
      </c>
      <c r="AZ145" s="396" t="n">
        <f aca="false">$D145*AZ81*1.2</f>
        <v>48302.3700000001</v>
      </c>
      <c r="BA145" s="396" t="n">
        <f aca="false">$D145*BA81*1.2</f>
        <v>48302.3700000001</v>
      </c>
      <c r="BB145" s="396" t="n">
        <f aca="false">$D145*BB81*1.2</f>
        <v>48302.3700000001</v>
      </c>
      <c r="BC145" s="396" t="n">
        <f aca="false">$D145*BC81*1.2</f>
        <v>48302.3700000001</v>
      </c>
      <c r="BD145" s="396" t="n">
        <f aca="false">$D145*BD81*1.2</f>
        <v>48302.3700000001</v>
      </c>
      <c r="BE145" s="396" t="n">
        <f aca="false">$D145*BE81*1.2</f>
        <v>48302.3700000001</v>
      </c>
      <c r="BF145" s="396" t="n">
        <f aca="false">$D145*BF81*1.2</f>
        <v>48302.3700000001</v>
      </c>
      <c r="BG145" s="396" t="n">
        <f aca="false">$D145*BG81*1.2</f>
        <v>48302.3700000001</v>
      </c>
      <c r="BH145" s="396" t="n">
        <f aca="false">$D145*BH81*1.2</f>
        <v>48302.3700000001</v>
      </c>
      <c r="BI145" s="396" t="n">
        <f aca="false">$D145*BI81*1.2</f>
        <v>48302.3700000001</v>
      </c>
      <c r="BJ145" s="413" t="n">
        <f aca="false">SUM(E145:M145)</f>
        <v>41977.0596428571</v>
      </c>
      <c r="BK145" s="413" t="n">
        <f aca="false">SUM(N145:Y145)</f>
        <v>210115.3095</v>
      </c>
      <c r="BL145" s="413" t="n">
        <f aca="false">SUM(Z145:AK145)</f>
        <v>531326.070000001</v>
      </c>
      <c r="BM145" s="413" t="n">
        <f aca="false">SUM(AL145:AW145)</f>
        <v>555477.255000001</v>
      </c>
      <c r="BN145" s="413" t="n">
        <f aca="false">SUM(AX145:BI145)</f>
        <v>579628.440000001</v>
      </c>
      <c r="BO145" s="325"/>
      <c r="BP145" s="325"/>
      <c r="BQ145" s="325"/>
      <c r="BR145" s="325"/>
      <c r="BS145" s="325"/>
      <c r="BT145" s="325"/>
      <c r="BU145" s="325"/>
      <c r="BV145" s="325"/>
      <c r="BW145" s="325"/>
      <c r="BX145" s="325"/>
      <c r="BY145" s="325"/>
      <c r="BZ145" s="325"/>
      <c r="CA145" s="325"/>
      <c r="CB145" s="325"/>
      <c r="CC145" s="325"/>
      <c r="CD145" s="325"/>
      <c r="CE145" s="325"/>
      <c r="CF145" s="325"/>
      <c r="CG145" s="325"/>
      <c r="CH145" s="325"/>
      <c r="CI145" s="325"/>
      <c r="CJ145" s="325"/>
      <c r="CK145" s="325"/>
      <c r="CL145" s="325"/>
      <c r="CM145" s="325"/>
      <c r="CN145" s="325"/>
      <c r="CO145" s="325"/>
      <c r="CP145" s="325"/>
      <c r="CQ145" s="325"/>
      <c r="CR145" s="325"/>
      <c r="CS145" s="325"/>
      <c r="CT145" s="325"/>
      <c r="CU145" s="325"/>
      <c r="CV145" s="325"/>
      <c r="CW145" s="325"/>
      <c r="CX145" s="325"/>
      <c r="CY145" s="325"/>
      <c r="CZ145" s="325"/>
      <c r="DA145" s="325"/>
      <c r="DB145" s="325"/>
      <c r="DC145" s="325"/>
      <c r="DD145" s="325"/>
      <c r="DE145" s="325"/>
      <c r="DF145" s="325"/>
      <c r="DG145" s="325"/>
      <c r="DH145" s="325"/>
      <c r="DI145" s="325"/>
      <c r="DJ145" s="325"/>
      <c r="DK145" s="325"/>
      <c r="DL145" s="325"/>
      <c r="DM145" s="325"/>
      <c r="DN145" s="325"/>
      <c r="DO145" s="325"/>
      <c r="DP145" s="325"/>
      <c r="DQ145" s="325"/>
      <c r="DR145" s="325"/>
      <c r="DS145" s="325"/>
      <c r="DT145" s="325"/>
      <c r="DU145" s="325"/>
      <c r="DV145" s="325"/>
      <c r="DW145" s="325"/>
      <c r="DX145" s="325"/>
      <c r="DY145" s="325"/>
      <c r="DZ145" s="325"/>
      <c r="EA145" s="325"/>
      <c r="EB145" s="325"/>
      <c r="EC145" s="325"/>
      <c r="ED145" s="325"/>
      <c r="EE145" s="325"/>
      <c r="EF145" s="325"/>
      <c r="EG145" s="325"/>
      <c r="EH145" s="325"/>
      <c r="EI145" s="325"/>
      <c r="EJ145" s="325"/>
      <c r="EK145" s="325"/>
      <c r="EL145" s="325"/>
      <c r="EM145" s="325"/>
      <c r="EN145" s="325"/>
      <c r="EO145" s="325"/>
      <c r="EP145" s="325"/>
      <c r="EQ145" s="325"/>
      <c r="ER145" s="325"/>
      <c r="ES145" s="325"/>
      <c r="ET145" s="325"/>
      <c r="EU145" s="325"/>
      <c r="EV145" s="325"/>
      <c r="EW145" s="325"/>
      <c r="EX145" s="325"/>
      <c r="EY145" s="325"/>
      <c r="EZ145" s="325"/>
      <c r="FA145" s="325"/>
      <c r="FB145" s="325"/>
      <c r="FC145" s="325"/>
      <c r="FD145" s="325"/>
      <c r="FE145" s="325"/>
      <c r="FF145" s="325"/>
      <c r="FG145" s="325"/>
      <c r="FH145" s="325"/>
      <c r="FI145" s="325"/>
      <c r="FJ145" s="325"/>
      <c r="FK145" s="325"/>
      <c r="FL145" s="325"/>
      <c r="FM145" s="325"/>
      <c r="FN145" s="325"/>
      <c r="FO145" s="325"/>
      <c r="FP145" s="325"/>
      <c r="FQ145" s="325"/>
      <c r="FR145" s="325"/>
      <c r="FS145" s="325"/>
      <c r="FT145" s="325"/>
      <c r="FU145" s="325"/>
      <c r="FV145" s="325"/>
      <c r="FW145" s="325"/>
      <c r="FX145" s="325"/>
      <c r="FY145" s="325"/>
      <c r="FZ145" s="325"/>
      <c r="GA145" s="325"/>
      <c r="GB145" s="325"/>
      <c r="GC145" s="325"/>
      <c r="GD145" s="325"/>
      <c r="GE145" s="325"/>
      <c r="GF145" s="325"/>
      <c r="GG145" s="325"/>
      <c r="GH145" s="325"/>
      <c r="GI145" s="325"/>
      <c r="GJ145" s="325"/>
      <c r="GK145" s="325"/>
      <c r="GL145" s="325"/>
    </row>
    <row r="146" customFormat="false" ht="24.75" hidden="false" customHeight="true" outlineLevel="0" collapsed="false">
      <c r="A146" s="398" t="s">
        <v>1589</v>
      </c>
      <c r="B146" s="411"/>
      <c r="C146" s="411"/>
      <c r="D146" s="412" t="n">
        <v>20.3312</v>
      </c>
      <c r="E146" s="411" t="n">
        <f aca="false">$D146*E82</f>
        <v>344.904285714285</v>
      </c>
      <c r="F146" s="411" t="n">
        <f aca="false">$D146*F82</f>
        <v>689.808571428571</v>
      </c>
      <c r="G146" s="411" t="n">
        <f aca="false">$D146*G82</f>
        <v>1379.61714285714</v>
      </c>
      <c r="H146" s="411" t="n">
        <f aca="false">$D146*H82</f>
        <v>2069.42571428571</v>
      </c>
      <c r="I146" s="411" t="n">
        <f aca="false">$D146*I82</f>
        <v>2759.23428571429</v>
      </c>
      <c r="J146" s="411" t="n">
        <f aca="false">$D146*J82</f>
        <v>3449.04285714285</v>
      </c>
      <c r="K146" s="411" t="n">
        <f aca="false">$D146*K82</f>
        <v>4138.85142857144</v>
      </c>
      <c r="L146" s="411" t="n">
        <f aca="false">$D146*L82</f>
        <v>4828.66</v>
      </c>
      <c r="M146" s="411" t="n">
        <f aca="false">$D146*M82</f>
        <v>5518.46857142856</v>
      </c>
      <c r="N146" s="393" t="n">
        <f aca="false">$D146*N82*1.05</f>
        <v>6518.691</v>
      </c>
      <c r="O146" s="393" t="n">
        <f aca="false">$D146*O82*1.05</f>
        <v>7242.98999999999</v>
      </c>
      <c r="P146" s="393" t="n">
        <f aca="false">$D146*P82*1.05</f>
        <v>7967.28900000001</v>
      </c>
      <c r="Q146" s="393" t="n">
        <f aca="false">$D146*Q82*1.05</f>
        <v>8691.588</v>
      </c>
      <c r="R146" s="393" t="n">
        <f aca="false">$D146*R82*1.05</f>
        <v>9415.88700000001</v>
      </c>
      <c r="S146" s="393" t="n">
        <f aca="false">$D146*S82*1.05</f>
        <v>10140.186</v>
      </c>
      <c r="T146" s="393" t="n">
        <f aca="false">$D146*T82*1.05</f>
        <v>10864.485</v>
      </c>
      <c r="U146" s="393" t="n">
        <f aca="false">$D146*U82*1.05</f>
        <v>11588.784</v>
      </c>
      <c r="V146" s="393" t="n">
        <f aca="false">$D146*V82*1.05</f>
        <v>12313.083</v>
      </c>
      <c r="W146" s="393" t="n">
        <f aca="false">$D146*W82*1.05</f>
        <v>13037.382</v>
      </c>
      <c r="X146" s="393" t="n">
        <f aca="false">$D146*X82*1.05</f>
        <v>13761.681</v>
      </c>
      <c r="Y146" s="393" t="n">
        <f aca="false">$D146*Y82*1.05</f>
        <v>14485.98</v>
      </c>
      <c r="Z146" s="394" t="n">
        <f aca="false">$D146*Z82*1.1</f>
        <v>26557.63</v>
      </c>
      <c r="AA146" s="394" t="n">
        <f aca="false">$D146*AA82*1.1</f>
        <v>26557.63</v>
      </c>
      <c r="AB146" s="394" t="n">
        <f aca="false">$D146*AB82*1.1</f>
        <v>26557.63</v>
      </c>
      <c r="AC146" s="394" t="n">
        <f aca="false">$D146*AC82*1.1</f>
        <v>26557.63</v>
      </c>
      <c r="AD146" s="394" t="n">
        <f aca="false">$D146*AD82*1.1</f>
        <v>26557.63</v>
      </c>
      <c r="AE146" s="394" t="n">
        <f aca="false">$D146*AE82*1.1</f>
        <v>26557.63</v>
      </c>
      <c r="AF146" s="394" t="n">
        <f aca="false">$D146*AF82*1.1</f>
        <v>26557.63</v>
      </c>
      <c r="AG146" s="394" t="n">
        <f aca="false">$D146*AG82*1.1</f>
        <v>26557.63</v>
      </c>
      <c r="AH146" s="394" t="n">
        <f aca="false">$D146*AH82*1.1</f>
        <v>26557.63</v>
      </c>
      <c r="AI146" s="394" t="n">
        <f aca="false">$D146*AI82*1.1</f>
        <v>26557.63</v>
      </c>
      <c r="AJ146" s="394" t="n">
        <f aca="false">$D146*AJ82*1.1</f>
        <v>26557.63</v>
      </c>
      <c r="AK146" s="394" t="n">
        <f aca="false">$D146*AK82*1.1</f>
        <v>26557.63</v>
      </c>
      <c r="AL146" s="395" t="n">
        <f aca="false">$D146*AL82*1.15</f>
        <v>27764.795</v>
      </c>
      <c r="AM146" s="395" t="n">
        <f aca="false">$D146*AM82*1.15</f>
        <v>27764.795</v>
      </c>
      <c r="AN146" s="395" t="n">
        <f aca="false">$D146*AN82*1.15</f>
        <v>27764.795</v>
      </c>
      <c r="AO146" s="395" t="n">
        <f aca="false">$D146*AO82*1.15</f>
        <v>27764.795</v>
      </c>
      <c r="AP146" s="395" t="n">
        <f aca="false">$D146*AP82*1.15</f>
        <v>27764.795</v>
      </c>
      <c r="AQ146" s="395" t="n">
        <f aca="false">$D146*AQ82*1.15</f>
        <v>27764.795</v>
      </c>
      <c r="AR146" s="395" t="n">
        <f aca="false">$D146*AR82*1.15</f>
        <v>27764.795</v>
      </c>
      <c r="AS146" s="395" t="n">
        <f aca="false">$D146*AS82*1.15</f>
        <v>27764.795</v>
      </c>
      <c r="AT146" s="395" t="n">
        <f aca="false">$D146*AT82*1.15</f>
        <v>27764.795</v>
      </c>
      <c r="AU146" s="395" t="n">
        <f aca="false">$D146*AU82*1.15</f>
        <v>27764.795</v>
      </c>
      <c r="AV146" s="395" t="n">
        <f aca="false">$D146*AV82*1.15</f>
        <v>27764.795</v>
      </c>
      <c r="AW146" s="395" t="n">
        <f aca="false">$D146*AW82*1.15</f>
        <v>27764.795</v>
      </c>
      <c r="AX146" s="396" t="n">
        <f aca="false">$D146*AX82*1.2</f>
        <v>28971.96</v>
      </c>
      <c r="AY146" s="396" t="n">
        <f aca="false">$D146*AY82*1.2</f>
        <v>28971.96</v>
      </c>
      <c r="AZ146" s="396" t="n">
        <f aca="false">$D146*AZ82*1.2</f>
        <v>28971.96</v>
      </c>
      <c r="BA146" s="396" t="n">
        <f aca="false">$D146*BA82*1.2</f>
        <v>28971.96</v>
      </c>
      <c r="BB146" s="396" t="n">
        <f aca="false">$D146*BB82*1.2</f>
        <v>28971.96</v>
      </c>
      <c r="BC146" s="396" t="n">
        <f aca="false">$D146*BC82*1.2</f>
        <v>28971.96</v>
      </c>
      <c r="BD146" s="396" t="n">
        <f aca="false">$D146*BD82*1.2</f>
        <v>28971.96</v>
      </c>
      <c r="BE146" s="396" t="n">
        <f aca="false">$D146*BE82*1.2</f>
        <v>28971.96</v>
      </c>
      <c r="BF146" s="396" t="n">
        <f aca="false">$D146*BF82*1.2</f>
        <v>28971.96</v>
      </c>
      <c r="BG146" s="396" t="n">
        <f aca="false">$D146*BG82*1.2</f>
        <v>28971.96</v>
      </c>
      <c r="BH146" s="396" t="n">
        <f aca="false">$D146*BH82*1.2</f>
        <v>28971.96</v>
      </c>
      <c r="BI146" s="396" t="n">
        <f aca="false">$D146*BI82*1.2</f>
        <v>28971.96</v>
      </c>
      <c r="BJ146" s="413" t="n">
        <f aca="false">SUM(E146:M146)</f>
        <v>25178.0128571429</v>
      </c>
      <c r="BK146" s="413" t="n">
        <f aca="false">SUM(N146:Y146)</f>
        <v>126028.026</v>
      </c>
      <c r="BL146" s="413" t="n">
        <f aca="false">SUM(Z146:AK146)</f>
        <v>318691.56</v>
      </c>
      <c r="BM146" s="413" t="n">
        <f aca="false">SUM(AL146:AW146)</f>
        <v>333177.54</v>
      </c>
      <c r="BN146" s="413" t="n">
        <f aca="false">SUM(AX146:BI146)</f>
        <v>347663.52</v>
      </c>
      <c r="BO146" s="325"/>
      <c r="BP146" s="325"/>
      <c r="BQ146" s="325"/>
      <c r="BR146" s="325"/>
      <c r="BS146" s="325"/>
      <c r="BT146" s="325"/>
      <c r="BU146" s="325"/>
      <c r="BV146" s="325"/>
      <c r="BW146" s="325"/>
      <c r="BX146" s="325"/>
      <c r="BY146" s="325"/>
      <c r="BZ146" s="325"/>
      <c r="CA146" s="325"/>
      <c r="CB146" s="325"/>
      <c r="CC146" s="325"/>
      <c r="CD146" s="325"/>
      <c r="CE146" s="325"/>
      <c r="CF146" s="325"/>
      <c r="CG146" s="325"/>
      <c r="CH146" s="325"/>
      <c r="CI146" s="325"/>
      <c r="CJ146" s="325"/>
      <c r="CK146" s="325"/>
      <c r="CL146" s="325"/>
      <c r="CM146" s="325"/>
      <c r="CN146" s="325"/>
      <c r="CO146" s="325"/>
      <c r="CP146" s="325"/>
      <c r="CQ146" s="325"/>
      <c r="CR146" s="325"/>
      <c r="CS146" s="325"/>
      <c r="CT146" s="325"/>
      <c r="CU146" s="325"/>
      <c r="CV146" s="325"/>
      <c r="CW146" s="325"/>
      <c r="CX146" s="325"/>
      <c r="CY146" s="325"/>
      <c r="CZ146" s="325"/>
      <c r="DA146" s="325"/>
      <c r="DB146" s="325"/>
      <c r="DC146" s="325"/>
      <c r="DD146" s="325"/>
      <c r="DE146" s="325"/>
      <c r="DF146" s="325"/>
      <c r="DG146" s="325"/>
      <c r="DH146" s="325"/>
      <c r="DI146" s="325"/>
      <c r="DJ146" s="325"/>
      <c r="DK146" s="325"/>
      <c r="DL146" s="325"/>
      <c r="DM146" s="325"/>
      <c r="DN146" s="325"/>
      <c r="DO146" s="325"/>
      <c r="DP146" s="325"/>
      <c r="DQ146" s="325"/>
      <c r="DR146" s="325"/>
      <c r="DS146" s="325"/>
      <c r="DT146" s="325"/>
      <c r="DU146" s="325"/>
      <c r="DV146" s="325"/>
      <c r="DW146" s="325"/>
      <c r="DX146" s="325"/>
      <c r="DY146" s="325"/>
      <c r="DZ146" s="325"/>
      <c r="EA146" s="325"/>
      <c r="EB146" s="325"/>
      <c r="EC146" s="325"/>
      <c r="ED146" s="325"/>
      <c r="EE146" s="325"/>
      <c r="EF146" s="325"/>
      <c r="EG146" s="325"/>
      <c r="EH146" s="325"/>
      <c r="EI146" s="325"/>
      <c r="EJ146" s="325"/>
      <c r="EK146" s="325"/>
      <c r="EL146" s="325"/>
      <c r="EM146" s="325"/>
      <c r="EN146" s="325"/>
      <c r="EO146" s="325"/>
      <c r="EP146" s="325"/>
      <c r="EQ146" s="325"/>
      <c r="ER146" s="325"/>
      <c r="ES146" s="325"/>
      <c r="ET146" s="325"/>
      <c r="EU146" s="325"/>
      <c r="EV146" s="325"/>
      <c r="EW146" s="325"/>
      <c r="EX146" s="325"/>
      <c r="EY146" s="325"/>
      <c r="EZ146" s="325"/>
      <c r="FA146" s="325"/>
      <c r="FB146" s="325"/>
      <c r="FC146" s="325"/>
      <c r="FD146" s="325"/>
      <c r="FE146" s="325"/>
      <c r="FF146" s="325"/>
      <c r="FG146" s="325"/>
      <c r="FH146" s="325"/>
      <c r="FI146" s="325"/>
      <c r="FJ146" s="325"/>
      <c r="FK146" s="325"/>
      <c r="FL146" s="325"/>
      <c r="FM146" s="325"/>
      <c r="FN146" s="325"/>
      <c r="FO146" s="325"/>
      <c r="FP146" s="325"/>
      <c r="FQ146" s="325"/>
      <c r="FR146" s="325"/>
      <c r="FS146" s="325"/>
      <c r="FT146" s="325"/>
      <c r="FU146" s="325"/>
      <c r="FV146" s="325"/>
      <c r="FW146" s="325"/>
      <c r="FX146" s="325"/>
      <c r="FY146" s="325"/>
      <c r="FZ146" s="325"/>
      <c r="GA146" s="325"/>
      <c r="GB146" s="325"/>
      <c r="GC146" s="325"/>
      <c r="GD146" s="325"/>
      <c r="GE146" s="325"/>
      <c r="GF146" s="325"/>
      <c r="GG146" s="325"/>
      <c r="GH146" s="325"/>
      <c r="GI146" s="325"/>
      <c r="GJ146" s="325"/>
      <c r="GK146" s="325"/>
      <c r="GL146" s="325"/>
    </row>
    <row r="147" customFormat="false" ht="24.75" hidden="false" customHeight="true" outlineLevel="0" collapsed="false">
      <c r="A147" s="398" t="s">
        <v>1590</v>
      </c>
      <c r="B147" s="411"/>
      <c r="C147" s="411"/>
      <c r="D147" s="412" t="n">
        <v>22.8471428571429</v>
      </c>
      <c r="E147" s="411" t="n">
        <f aca="false">$D147*E83</f>
        <v>129.195153061225</v>
      </c>
      <c r="F147" s="411" t="n">
        <f aca="false">$D147*F83</f>
        <v>258.390306122449</v>
      </c>
      <c r="G147" s="411" t="n">
        <f aca="false">$D147*G83</f>
        <v>516.780612244898</v>
      </c>
      <c r="H147" s="411" t="n">
        <f aca="false">$D147*H83</f>
        <v>775.170918367348</v>
      </c>
      <c r="I147" s="411" t="n">
        <f aca="false">$D147*I83</f>
        <v>1033.5612244898</v>
      </c>
      <c r="J147" s="411" t="n">
        <f aca="false">$D147*J83</f>
        <v>1291.95153061225</v>
      </c>
      <c r="K147" s="411" t="n">
        <f aca="false">$D147*K83</f>
        <v>1550.3418367347</v>
      </c>
      <c r="L147" s="411" t="n">
        <f aca="false">$D147*L83</f>
        <v>1808.73214285715</v>
      </c>
      <c r="M147" s="411" t="n">
        <f aca="false">$D147*M83</f>
        <v>2067.1224489796</v>
      </c>
      <c r="N147" s="393" t="n">
        <f aca="false">$D147*N83*1.05</f>
        <v>2441.78839285714</v>
      </c>
      <c r="O147" s="393" t="n">
        <f aca="false">$D147*O83*1.05</f>
        <v>2713.09821428572</v>
      </c>
      <c r="P147" s="393" t="n">
        <f aca="false">$D147*P83*1.05</f>
        <v>2984.40803571429</v>
      </c>
      <c r="Q147" s="393" t="n">
        <f aca="false">$D147*Q83*1.05</f>
        <v>3255.71785714287</v>
      </c>
      <c r="R147" s="393" t="n">
        <f aca="false">$D147*R83*1.05</f>
        <v>3527.02767857145</v>
      </c>
      <c r="S147" s="393" t="n">
        <f aca="false">$D147*S83*1.05</f>
        <v>3798.3375</v>
      </c>
      <c r="T147" s="393" t="n">
        <f aca="false">$D147*T83*1.05</f>
        <v>4069.64732142858</v>
      </c>
      <c r="U147" s="393" t="n">
        <f aca="false">$D147*U83*1.05</f>
        <v>4340.95714285715</v>
      </c>
      <c r="V147" s="393" t="n">
        <f aca="false">$D147*V83*1.05</f>
        <v>4612.26696428573</v>
      </c>
      <c r="W147" s="393" t="n">
        <f aca="false">$D147*W83*1.05</f>
        <v>4883.57678571431</v>
      </c>
      <c r="X147" s="393" t="n">
        <f aca="false">$D147*X83*1.05</f>
        <v>5154.88660714286</v>
      </c>
      <c r="Y147" s="393" t="n">
        <f aca="false">$D147*Y83*1.05</f>
        <v>5426.19642857143</v>
      </c>
      <c r="Z147" s="394" t="n">
        <f aca="false">$D147*Z83*1.1</f>
        <v>9948.0267857143</v>
      </c>
      <c r="AA147" s="394" t="n">
        <f aca="false">$D147*AA83*1.1</f>
        <v>9948.0267857143</v>
      </c>
      <c r="AB147" s="394" t="n">
        <f aca="false">$D147*AB83*1.1</f>
        <v>9948.0267857143</v>
      </c>
      <c r="AC147" s="394" t="n">
        <f aca="false">$D147*AC83*1.1</f>
        <v>9948.0267857143</v>
      </c>
      <c r="AD147" s="394" t="n">
        <f aca="false">$D147*AD83*1.1</f>
        <v>9948.0267857143</v>
      </c>
      <c r="AE147" s="394" t="n">
        <f aca="false">$D147*AE83*1.1</f>
        <v>9948.0267857143</v>
      </c>
      <c r="AF147" s="394" t="n">
        <f aca="false">$D147*AF83*1.1</f>
        <v>9948.0267857143</v>
      </c>
      <c r="AG147" s="394" t="n">
        <f aca="false">$D147*AG83*1.1</f>
        <v>9948.0267857143</v>
      </c>
      <c r="AH147" s="394" t="n">
        <f aca="false">$D147*AH83*1.1</f>
        <v>9948.0267857143</v>
      </c>
      <c r="AI147" s="394" t="n">
        <f aca="false">$D147*AI83*1.1</f>
        <v>9948.0267857143</v>
      </c>
      <c r="AJ147" s="394" t="n">
        <f aca="false">$D147*AJ83*1.1</f>
        <v>9948.0267857143</v>
      </c>
      <c r="AK147" s="394" t="n">
        <f aca="false">$D147*AK83*1.1</f>
        <v>9948.0267857143</v>
      </c>
      <c r="AL147" s="395" t="n">
        <f aca="false">$D147*AL83*1.15</f>
        <v>10400.2098214286</v>
      </c>
      <c r="AM147" s="395" t="n">
        <f aca="false">$D147*AM83*1.15</f>
        <v>10400.2098214286</v>
      </c>
      <c r="AN147" s="395" t="n">
        <f aca="false">$D147*AN83*1.15</f>
        <v>10400.2098214286</v>
      </c>
      <c r="AO147" s="395" t="n">
        <f aca="false">$D147*AO83*1.15</f>
        <v>10400.2098214286</v>
      </c>
      <c r="AP147" s="395" t="n">
        <f aca="false">$D147*AP83*1.15</f>
        <v>10400.2098214286</v>
      </c>
      <c r="AQ147" s="395" t="n">
        <f aca="false">$D147*AQ83*1.15</f>
        <v>10400.2098214286</v>
      </c>
      <c r="AR147" s="395" t="n">
        <f aca="false">$D147*AR83*1.15</f>
        <v>10400.2098214286</v>
      </c>
      <c r="AS147" s="395" t="n">
        <f aca="false">$D147*AS83*1.15</f>
        <v>10400.2098214286</v>
      </c>
      <c r="AT147" s="395" t="n">
        <f aca="false">$D147*AT83*1.15</f>
        <v>10400.2098214286</v>
      </c>
      <c r="AU147" s="395" t="n">
        <f aca="false">$D147*AU83*1.15</f>
        <v>10400.2098214286</v>
      </c>
      <c r="AV147" s="395" t="n">
        <f aca="false">$D147*AV83*1.15</f>
        <v>10400.2098214286</v>
      </c>
      <c r="AW147" s="395" t="n">
        <f aca="false">$D147*AW83*1.15</f>
        <v>10400.2098214286</v>
      </c>
      <c r="AX147" s="396" t="n">
        <f aca="false">$D147*AX83*1.2</f>
        <v>10852.3928571429</v>
      </c>
      <c r="AY147" s="396" t="n">
        <f aca="false">$D147*AY83*1.2</f>
        <v>10852.3928571429</v>
      </c>
      <c r="AZ147" s="396" t="n">
        <f aca="false">$D147*AZ83*1.2</f>
        <v>10852.3928571429</v>
      </c>
      <c r="BA147" s="396" t="n">
        <f aca="false">$D147*BA83*1.2</f>
        <v>10852.3928571429</v>
      </c>
      <c r="BB147" s="396" t="n">
        <f aca="false">$D147*BB83*1.2</f>
        <v>10852.3928571429</v>
      </c>
      <c r="BC147" s="396" t="n">
        <f aca="false">$D147*BC83*1.2</f>
        <v>10852.3928571429</v>
      </c>
      <c r="BD147" s="396" t="n">
        <f aca="false">$D147*BD83*1.2</f>
        <v>10852.3928571429</v>
      </c>
      <c r="BE147" s="396" t="n">
        <f aca="false">$D147*BE83*1.2</f>
        <v>10852.3928571429</v>
      </c>
      <c r="BF147" s="396" t="n">
        <f aca="false">$D147*BF83*1.2</f>
        <v>10852.3928571429</v>
      </c>
      <c r="BG147" s="396" t="n">
        <f aca="false">$D147*BG83*1.2</f>
        <v>10852.3928571429</v>
      </c>
      <c r="BH147" s="396" t="n">
        <f aca="false">$D147*BH83*1.2</f>
        <v>10852.3928571429</v>
      </c>
      <c r="BI147" s="396" t="n">
        <f aca="false">$D147*BI83*1.2</f>
        <v>10852.3928571429</v>
      </c>
      <c r="BJ147" s="413" t="n">
        <f aca="false">SUM(E147:M147)</f>
        <v>9431.24617346941</v>
      </c>
      <c r="BK147" s="413" t="n">
        <f aca="false">SUM(N147:Y147)</f>
        <v>47207.9089285715</v>
      </c>
      <c r="BL147" s="413" t="n">
        <f aca="false">SUM(Z147:AK147)</f>
        <v>119376.321428572</v>
      </c>
      <c r="BM147" s="413" t="n">
        <f aca="false">SUM(AL147:AW147)</f>
        <v>124802.517857143</v>
      </c>
      <c r="BN147" s="413" t="n">
        <f aca="false">SUM(AX147:BI147)</f>
        <v>130228.714285714</v>
      </c>
      <c r="BO147" s="325"/>
      <c r="BP147" s="325"/>
      <c r="BQ147" s="325"/>
      <c r="BR147" s="325"/>
      <c r="BS147" s="325"/>
      <c r="BT147" s="325"/>
      <c r="BU147" s="325"/>
      <c r="BV147" s="325"/>
      <c r="BW147" s="325"/>
      <c r="BX147" s="325"/>
      <c r="BY147" s="325"/>
      <c r="BZ147" s="325"/>
      <c r="CA147" s="325"/>
      <c r="CB147" s="325"/>
      <c r="CC147" s="325"/>
      <c r="CD147" s="325"/>
      <c r="CE147" s="325"/>
      <c r="CF147" s="325"/>
      <c r="CG147" s="325"/>
      <c r="CH147" s="325"/>
      <c r="CI147" s="325"/>
      <c r="CJ147" s="325"/>
      <c r="CK147" s="325"/>
      <c r="CL147" s="325"/>
      <c r="CM147" s="325"/>
      <c r="CN147" s="325"/>
      <c r="CO147" s="325"/>
      <c r="CP147" s="325"/>
      <c r="CQ147" s="325"/>
      <c r="CR147" s="325"/>
      <c r="CS147" s="325"/>
      <c r="CT147" s="325"/>
      <c r="CU147" s="325"/>
      <c r="CV147" s="325"/>
      <c r="CW147" s="325"/>
      <c r="CX147" s="325"/>
      <c r="CY147" s="325"/>
      <c r="CZ147" s="325"/>
      <c r="DA147" s="325"/>
      <c r="DB147" s="325"/>
      <c r="DC147" s="325"/>
      <c r="DD147" s="325"/>
      <c r="DE147" s="325"/>
      <c r="DF147" s="325"/>
      <c r="DG147" s="325"/>
      <c r="DH147" s="325"/>
      <c r="DI147" s="325"/>
      <c r="DJ147" s="325"/>
      <c r="DK147" s="325"/>
      <c r="DL147" s="325"/>
      <c r="DM147" s="325"/>
      <c r="DN147" s="325"/>
      <c r="DO147" s="325"/>
      <c r="DP147" s="325"/>
      <c r="DQ147" s="325"/>
      <c r="DR147" s="325"/>
      <c r="DS147" s="325"/>
      <c r="DT147" s="325"/>
      <c r="DU147" s="325"/>
      <c r="DV147" s="325"/>
      <c r="DW147" s="325"/>
      <c r="DX147" s="325"/>
      <c r="DY147" s="325"/>
      <c r="DZ147" s="325"/>
      <c r="EA147" s="325"/>
      <c r="EB147" s="325"/>
      <c r="EC147" s="325"/>
      <c r="ED147" s="325"/>
      <c r="EE147" s="325"/>
      <c r="EF147" s="325"/>
      <c r="EG147" s="325"/>
      <c r="EH147" s="325"/>
      <c r="EI147" s="325"/>
      <c r="EJ147" s="325"/>
      <c r="EK147" s="325"/>
      <c r="EL147" s="325"/>
      <c r="EM147" s="325"/>
      <c r="EN147" s="325"/>
      <c r="EO147" s="325"/>
      <c r="EP147" s="325"/>
      <c r="EQ147" s="325"/>
      <c r="ER147" s="325"/>
      <c r="ES147" s="325"/>
      <c r="ET147" s="325"/>
      <c r="EU147" s="325"/>
      <c r="EV147" s="325"/>
      <c r="EW147" s="325"/>
      <c r="EX147" s="325"/>
      <c r="EY147" s="325"/>
      <c r="EZ147" s="325"/>
      <c r="FA147" s="325"/>
      <c r="FB147" s="325"/>
      <c r="FC147" s="325"/>
      <c r="FD147" s="325"/>
      <c r="FE147" s="325"/>
      <c r="FF147" s="325"/>
      <c r="FG147" s="325"/>
      <c r="FH147" s="325"/>
      <c r="FI147" s="325"/>
      <c r="FJ147" s="325"/>
      <c r="FK147" s="325"/>
      <c r="FL147" s="325"/>
      <c r="FM147" s="325"/>
      <c r="FN147" s="325"/>
      <c r="FO147" s="325"/>
      <c r="FP147" s="325"/>
      <c r="FQ147" s="325"/>
      <c r="FR147" s="325"/>
      <c r="FS147" s="325"/>
      <c r="FT147" s="325"/>
      <c r="FU147" s="325"/>
      <c r="FV147" s="325"/>
      <c r="FW147" s="325"/>
      <c r="FX147" s="325"/>
      <c r="FY147" s="325"/>
      <c r="FZ147" s="325"/>
      <c r="GA147" s="325"/>
      <c r="GB147" s="325"/>
      <c r="GC147" s="325"/>
      <c r="GD147" s="325"/>
      <c r="GE147" s="325"/>
      <c r="GF147" s="325"/>
      <c r="GG147" s="325"/>
      <c r="GH147" s="325"/>
      <c r="GI147" s="325"/>
      <c r="GJ147" s="325"/>
      <c r="GK147" s="325"/>
      <c r="GL147" s="325"/>
    </row>
    <row r="148" customFormat="false" ht="24.75" hidden="false" customHeight="true" outlineLevel="0" collapsed="false">
      <c r="A148" s="398" t="s">
        <v>1591</v>
      </c>
      <c r="B148" s="411"/>
      <c r="C148" s="411"/>
      <c r="D148" s="412" t="n">
        <v>23.6736</v>
      </c>
      <c r="E148" s="411" t="n">
        <f aca="false">$D148*E84</f>
        <v>100.41552</v>
      </c>
      <c r="F148" s="411" t="n">
        <f aca="false">$D148*F84</f>
        <v>200.83104</v>
      </c>
      <c r="G148" s="411" t="n">
        <f aca="false">$D148*G84</f>
        <v>401.662080000001</v>
      </c>
      <c r="H148" s="411" t="n">
        <f aca="false">$D148*H84</f>
        <v>602.49312</v>
      </c>
      <c r="I148" s="411" t="n">
        <f aca="false">$D148*I84</f>
        <v>803.324159999999</v>
      </c>
      <c r="J148" s="411" t="n">
        <f aca="false">$D148*J84</f>
        <v>1004.1552</v>
      </c>
      <c r="K148" s="411" t="n">
        <f aca="false">$D148*K84</f>
        <v>1204.98624</v>
      </c>
      <c r="L148" s="411" t="n">
        <f aca="false">$D148*L84</f>
        <v>1405.81728</v>
      </c>
      <c r="M148" s="411" t="n">
        <f aca="false">$D148*M84</f>
        <v>1606.64832</v>
      </c>
      <c r="N148" s="393" t="n">
        <f aca="false">$D148*N84*1.05</f>
        <v>1897.853328</v>
      </c>
      <c r="O148" s="393" t="n">
        <f aca="false">$D148*O84*1.05</f>
        <v>2108.72592</v>
      </c>
      <c r="P148" s="393" t="n">
        <f aca="false">$D148*P84*1.05</f>
        <v>2319.598512</v>
      </c>
      <c r="Q148" s="393" t="n">
        <f aca="false">$D148*Q84*1.05</f>
        <v>2530.471104</v>
      </c>
      <c r="R148" s="393" t="n">
        <f aca="false">$D148*R84*1.05</f>
        <v>2741.34369599999</v>
      </c>
      <c r="S148" s="393" t="n">
        <f aca="false">$D148*S84*1.05</f>
        <v>2952.21628800001</v>
      </c>
      <c r="T148" s="393" t="n">
        <f aca="false">$D148*T84*1.05</f>
        <v>3163.08888</v>
      </c>
      <c r="U148" s="393" t="n">
        <f aca="false">$D148*U84*1.05</f>
        <v>3373.96147199999</v>
      </c>
      <c r="V148" s="393" t="n">
        <f aca="false">$D148*V84*1.05</f>
        <v>3584.83406400001</v>
      </c>
      <c r="W148" s="393" t="n">
        <f aca="false">$D148*W84*1.05</f>
        <v>3795.706656</v>
      </c>
      <c r="X148" s="393" t="n">
        <f aca="false">$D148*X84*1.05</f>
        <v>4006.57924799999</v>
      </c>
      <c r="Y148" s="393" t="n">
        <f aca="false">$D148*Y84*1.05</f>
        <v>4217.45184000001</v>
      </c>
      <c r="Z148" s="394" t="n">
        <f aca="false">$D148*Z84*1.1</f>
        <v>7731.99504000001</v>
      </c>
      <c r="AA148" s="394" t="n">
        <f aca="false">$D148*AA84*1.1</f>
        <v>7731.99504000001</v>
      </c>
      <c r="AB148" s="394" t="n">
        <f aca="false">$D148*AB84*1.1</f>
        <v>7731.99504000001</v>
      </c>
      <c r="AC148" s="394" t="n">
        <f aca="false">$D148*AC84*1.1</f>
        <v>7731.99504000001</v>
      </c>
      <c r="AD148" s="394" t="n">
        <f aca="false">$D148*AD84*1.1</f>
        <v>7731.99504000001</v>
      </c>
      <c r="AE148" s="394" t="n">
        <f aca="false">$D148*AE84*1.1</f>
        <v>7731.99504000001</v>
      </c>
      <c r="AF148" s="394" t="n">
        <f aca="false">$D148*AF84*1.1</f>
        <v>7731.99504000001</v>
      </c>
      <c r="AG148" s="394" t="n">
        <f aca="false">$D148*AG84*1.1</f>
        <v>7731.99504000001</v>
      </c>
      <c r="AH148" s="394" t="n">
        <f aca="false">$D148*AH84*1.1</f>
        <v>7731.99504000001</v>
      </c>
      <c r="AI148" s="394" t="n">
        <f aca="false">$D148*AI84*1.1</f>
        <v>7731.99504000001</v>
      </c>
      <c r="AJ148" s="394" t="n">
        <f aca="false">$D148*AJ84*1.1</f>
        <v>7731.99504000001</v>
      </c>
      <c r="AK148" s="394" t="n">
        <f aca="false">$D148*AK84*1.1</f>
        <v>7731.99504000001</v>
      </c>
      <c r="AL148" s="395" t="n">
        <f aca="false">$D148*AL84*1.15</f>
        <v>8083.44936000001</v>
      </c>
      <c r="AM148" s="395" t="n">
        <f aca="false">$D148*AM84*1.15</f>
        <v>8083.44936000001</v>
      </c>
      <c r="AN148" s="395" t="n">
        <f aca="false">$D148*AN84*1.15</f>
        <v>8083.44936000001</v>
      </c>
      <c r="AO148" s="395" t="n">
        <f aca="false">$D148*AO84*1.15</f>
        <v>8083.44936000001</v>
      </c>
      <c r="AP148" s="395" t="n">
        <f aca="false">$D148*AP84*1.15</f>
        <v>8083.44936000001</v>
      </c>
      <c r="AQ148" s="395" t="n">
        <f aca="false">$D148*AQ84*1.15</f>
        <v>8083.44936000001</v>
      </c>
      <c r="AR148" s="395" t="n">
        <f aca="false">$D148*AR84*1.15</f>
        <v>8083.44936000001</v>
      </c>
      <c r="AS148" s="395" t="n">
        <f aca="false">$D148*AS84*1.15</f>
        <v>8083.44936000001</v>
      </c>
      <c r="AT148" s="395" t="n">
        <f aca="false">$D148*AT84*1.15</f>
        <v>8083.44936000001</v>
      </c>
      <c r="AU148" s="395" t="n">
        <f aca="false">$D148*AU84*1.15</f>
        <v>8083.44936000001</v>
      </c>
      <c r="AV148" s="395" t="n">
        <f aca="false">$D148*AV84*1.15</f>
        <v>8083.44936000001</v>
      </c>
      <c r="AW148" s="395" t="n">
        <f aca="false">$D148*AW84*1.15</f>
        <v>8083.44936000001</v>
      </c>
      <c r="AX148" s="396" t="n">
        <f aca="false">$D148*AX84*1.2</f>
        <v>8434.90368000001</v>
      </c>
      <c r="AY148" s="396" t="n">
        <f aca="false">$D148*AY84*1.2</f>
        <v>8434.90368000001</v>
      </c>
      <c r="AZ148" s="396" t="n">
        <f aca="false">$D148*AZ84*1.2</f>
        <v>8434.90368000001</v>
      </c>
      <c r="BA148" s="396" t="n">
        <f aca="false">$D148*BA84*1.2</f>
        <v>8434.90368000001</v>
      </c>
      <c r="BB148" s="396" t="n">
        <f aca="false">$D148*BB84*1.2</f>
        <v>8434.90368000001</v>
      </c>
      <c r="BC148" s="396" t="n">
        <f aca="false">$D148*BC84*1.2</f>
        <v>8434.90368000001</v>
      </c>
      <c r="BD148" s="396" t="n">
        <f aca="false">$D148*BD84*1.2</f>
        <v>8434.90368000001</v>
      </c>
      <c r="BE148" s="396" t="n">
        <f aca="false">$D148*BE84*1.2</f>
        <v>8434.90368000001</v>
      </c>
      <c r="BF148" s="396" t="n">
        <f aca="false">$D148*BF84*1.2</f>
        <v>8434.90368000001</v>
      </c>
      <c r="BG148" s="396" t="n">
        <f aca="false">$D148*BG84*1.2</f>
        <v>8434.90368000001</v>
      </c>
      <c r="BH148" s="396" t="n">
        <f aca="false">$D148*BH84*1.2</f>
        <v>8434.90368000001</v>
      </c>
      <c r="BI148" s="396" t="n">
        <f aca="false">$D148*BI84*1.2</f>
        <v>8434.90368000001</v>
      </c>
      <c r="BJ148" s="413" t="n">
        <f aca="false">SUM(E148:M148)</f>
        <v>7330.33296</v>
      </c>
      <c r="BK148" s="413" t="n">
        <f aca="false">SUM(N148:Y148)</f>
        <v>36691.831008</v>
      </c>
      <c r="BL148" s="413" t="n">
        <f aca="false">SUM(Z148:AK148)</f>
        <v>92783.9404800001</v>
      </c>
      <c r="BM148" s="413" t="n">
        <f aca="false">SUM(AL148:AW148)</f>
        <v>97001.3923200001</v>
      </c>
      <c r="BN148" s="413" t="n">
        <f aca="false">SUM(AX148:BI148)</f>
        <v>101218.84416</v>
      </c>
      <c r="BO148" s="325"/>
      <c r="BP148" s="325"/>
      <c r="BQ148" s="325"/>
      <c r="BR148" s="325"/>
      <c r="BS148" s="325"/>
      <c r="BT148" s="325"/>
      <c r="BU148" s="325"/>
      <c r="BV148" s="325"/>
      <c r="BW148" s="325"/>
      <c r="BX148" s="325"/>
      <c r="BY148" s="325"/>
      <c r="BZ148" s="325"/>
      <c r="CA148" s="325"/>
      <c r="CB148" s="325"/>
      <c r="CC148" s="325"/>
      <c r="CD148" s="325"/>
      <c r="CE148" s="325"/>
      <c r="CF148" s="325"/>
      <c r="CG148" s="325"/>
      <c r="CH148" s="325"/>
      <c r="CI148" s="325"/>
      <c r="CJ148" s="325"/>
      <c r="CK148" s="325"/>
      <c r="CL148" s="325"/>
      <c r="CM148" s="325"/>
      <c r="CN148" s="325"/>
      <c r="CO148" s="325"/>
      <c r="CP148" s="325"/>
      <c r="CQ148" s="325"/>
      <c r="CR148" s="325"/>
      <c r="CS148" s="325"/>
      <c r="CT148" s="325"/>
      <c r="CU148" s="325"/>
      <c r="CV148" s="325"/>
      <c r="CW148" s="325"/>
      <c r="CX148" s="325"/>
      <c r="CY148" s="325"/>
      <c r="CZ148" s="325"/>
      <c r="DA148" s="325"/>
      <c r="DB148" s="325"/>
      <c r="DC148" s="325"/>
      <c r="DD148" s="325"/>
      <c r="DE148" s="325"/>
      <c r="DF148" s="325"/>
      <c r="DG148" s="325"/>
      <c r="DH148" s="325"/>
      <c r="DI148" s="325"/>
      <c r="DJ148" s="325"/>
      <c r="DK148" s="325"/>
      <c r="DL148" s="325"/>
      <c r="DM148" s="325"/>
      <c r="DN148" s="325"/>
      <c r="DO148" s="325"/>
      <c r="DP148" s="325"/>
      <c r="DQ148" s="325"/>
      <c r="DR148" s="325"/>
      <c r="DS148" s="325"/>
      <c r="DT148" s="325"/>
      <c r="DU148" s="325"/>
      <c r="DV148" s="325"/>
      <c r="DW148" s="325"/>
      <c r="DX148" s="325"/>
      <c r="DY148" s="325"/>
      <c r="DZ148" s="325"/>
      <c r="EA148" s="325"/>
      <c r="EB148" s="325"/>
      <c r="EC148" s="325"/>
      <c r="ED148" s="325"/>
      <c r="EE148" s="325"/>
      <c r="EF148" s="325"/>
      <c r="EG148" s="325"/>
      <c r="EH148" s="325"/>
      <c r="EI148" s="325"/>
      <c r="EJ148" s="325"/>
      <c r="EK148" s="325"/>
      <c r="EL148" s="325"/>
      <c r="EM148" s="325"/>
      <c r="EN148" s="325"/>
      <c r="EO148" s="325"/>
      <c r="EP148" s="325"/>
      <c r="EQ148" s="325"/>
      <c r="ER148" s="325"/>
      <c r="ES148" s="325"/>
      <c r="ET148" s="325"/>
      <c r="EU148" s="325"/>
      <c r="EV148" s="325"/>
      <c r="EW148" s="325"/>
      <c r="EX148" s="325"/>
      <c r="EY148" s="325"/>
      <c r="EZ148" s="325"/>
      <c r="FA148" s="325"/>
      <c r="FB148" s="325"/>
      <c r="FC148" s="325"/>
      <c r="FD148" s="325"/>
      <c r="FE148" s="325"/>
      <c r="FF148" s="325"/>
      <c r="FG148" s="325"/>
      <c r="FH148" s="325"/>
      <c r="FI148" s="325"/>
      <c r="FJ148" s="325"/>
      <c r="FK148" s="325"/>
      <c r="FL148" s="325"/>
      <c r="FM148" s="325"/>
      <c r="FN148" s="325"/>
      <c r="FO148" s="325"/>
      <c r="FP148" s="325"/>
      <c r="FQ148" s="325"/>
      <c r="FR148" s="325"/>
      <c r="FS148" s="325"/>
      <c r="FT148" s="325"/>
      <c r="FU148" s="325"/>
      <c r="FV148" s="325"/>
      <c r="FW148" s="325"/>
      <c r="FX148" s="325"/>
      <c r="FY148" s="325"/>
      <c r="FZ148" s="325"/>
      <c r="GA148" s="325"/>
      <c r="GB148" s="325"/>
      <c r="GC148" s="325"/>
      <c r="GD148" s="325"/>
      <c r="GE148" s="325"/>
      <c r="GF148" s="325"/>
      <c r="GG148" s="325"/>
      <c r="GH148" s="325"/>
      <c r="GI148" s="325"/>
      <c r="GJ148" s="325"/>
      <c r="GK148" s="325"/>
      <c r="GL148" s="325"/>
    </row>
    <row r="149" customFormat="false" ht="24.75" hidden="false" customHeight="true" outlineLevel="0" collapsed="false">
      <c r="A149" s="400" t="s">
        <v>1592</v>
      </c>
      <c r="B149" s="411"/>
      <c r="C149" s="411"/>
      <c r="D149" s="412" t="n">
        <v>24.3253333333333</v>
      </c>
      <c r="E149" s="411" t="n">
        <f aca="false">$D149*E85</f>
        <v>34.4029714285713</v>
      </c>
      <c r="F149" s="411" t="n">
        <f aca="false">$D149*F85</f>
        <v>68.8059428571428</v>
      </c>
      <c r="G149" s="411" t="n">
        <f aca="false">$D149*G85</f>
        <v>137.611885714286</v>
      </c>
      <c r="H149" s="411" t="n">
        <f aca="false">$D149*H85</f>
        <v>206.417828571428</v>
      </c>
      <c r="I149" s="411" t="n">
        <f aca="false">$D149*I85</f>
        <v>275.223771428571</v>
      </c>
      <c r="J149" s="411" t="n">
        <f aca="false">$D149*J85</f>
        <v>344.029714285713</v>
      </c>
      <c r="K149" s="411" t="n">
        <f aca="false">$D149*K85</f>
        <v>412.835657142857</v>
      </c>
      <c r="L149" s="411" t="n">
        <f aca="false">$D149*L85</f>
        <v>481.641599999999</v>
      </c>
      <c r="M149" s="411" t="n">
        <f aca="false">$D149*M85</f>
        <v>550.447542857142</v>
      </c>
      <c r="N149" s="393" t="n">
        <f aca="false">$D149*N85*1.05</f>
        <v>650.21616</v>
      </c>
      <c r="O149" s="393" t="n">
        <f aca="false">$D149*O85*1.05</f>
        <v>722.462399999999</v>
      </c>
      <c r="P149" s="393" t="n">
        <f aca="false">$D149*P85*1.05</f>
        <v>794.708639999999</v>
      </c>
      <c r="Q149" s="393" t="n">
        <f aca="false">$D149*Q85*1.05</f>
        <v>866.954879999998</v>
      </c>
      <c r="R149" s="393" t="n">
        <f aca="false">$D149*R85*1.05</f>
        <v>939.20112</v>
      </c>
      <c r="S149" s="393" t="n">
        <f aca="false">$D149*S85*1.05</f>
        <v>1011.44736</v>
      </c>
      <c r="T149" s="393" t="n">
        <f aca="false">$D149*T85*1.05</f>
        <v>1083.6936</v>
      </c>
      <c r="U149" s="393" t="n">
        <f aca="false">$D149*U85*1.05</f>
        <v>1155.93984</v>
      </c>
      <c r="V149" s="393" t="n">
        <f aca="false">$D149*V85*1.05</f>
        <v>1228.18608</v>
      </c>
      <c r="W149" s="393" t="n">
        <f aca="false">$D149*W85*1.05</f>
        <v>1300.43232</v>
      </c>
      <c r="X149" s="393" t="n">
        <f aca="false">$D149*X85*1.05</f>
        <v>1372.67856</v>
      </c>
      <c r="Y149" s="393" t="n">
        <f aca="false">$D149*Y85*1.05</f>
        <v>1444.9248</v>
      </c>
      <c r="Z149" s="394" t="n">
        <f aca="false">$D149*Z85*1.1</f>
        <v>2649.0288</v>
      </c>
      <c r="AA149" s="394" t="n">
        <f aca="false">$D149*AA85*1.1</f>
        <v>2649.0288</v>
      </c>
      <c r="AB149" s="394" t="n">
        <f aca="false">$D149*AB85*1.1</f>
        <v>2649.0288</v>
      </c>
      <c r="AC149" s="394" t="n">
        <f aca="false">$D149*AC85*1.1</f>
        <v>2649.0288</v>
      </c>
      <c r="AD149" s="394" t="n">
        <f aca="false">$D149*AD85*1.1</f>
        <v>2649.0288</v>
      </c>
      <c r="AE149" s="394" t="n">
        <f aca="false">$D149*AE85*1.1</f>
        <v>2649.0288</v>
      </c>
      <c r="AF149" s="394" t="n">
        <f aca="false">$D149*AF85*1.1</f>
        <v>2649.0288</v>
      </c>
      <c r="AG149" s="394" t="n">
        <f aca="false">$D149*AG85*1.1</f>
        <v>2649.0288</v>
      </c>
      <c r="AH149" s="394" t="n">
        <f aca="false">$D149*AH85*1.1</f>
        <v>2649.0288</v>
      </c>
      <c r="AI149" s="394" t="n">
        <f aca="false">$D149*AI85*1.1</f>
        <v>2649.0288</v>
      </c>
      <c r="AJ149" s="394" t="n">
        <f aca="false">$D149*AJ85*1.1</f>
        <v>2649.0288</v>
      </c>
      <c r="AK149" s="394" t="n">
        <f aca="false">$D149*AK85*1.1</f>
        <v>2649.0288</v>
      </c>
      <c r="AL149" s="395" t="n">
        <f aca="false">$D149*AL85*1.15</f>
        <v>2769.4392</v>
      </c>
      <c r="AM149" s="395" t="n">
        <f aca="false">$D149*AM85*1.15</f>
        <v>2769.4392</v>
      </c>
      <c r="AN149" s="395" t="n">
        <f aca="false">$D149*AN85*1.15</f>
        <v>2769.4392</v>
      </c>
      <c r="AO149" s="395" t="n">
        <f aca="false">$D149*AO85*1.15</f>
        <v>2769.4392</v>
      </c>
      <c r="AP149" s="395" t="n">
        <f aca="false">$D149*AP85*1.15</f>
        <v>2769.4392</v>
      </c>
      <c r="AQ149" s="395" t="n">
        <f aca="false">$D149*AQ85*1.15</f>
        <v>2769.4392</v>
      </c>
      <c r="AR149" s="395" t="n">
        <f aca="false">$D149*AR85*1.15</f>
        <v>2769.4392</v>
      </c>
      <c r="AS149" s="395" t="n">
        <f aca="false">$D149*AS85*1.15</f>
        <v>2769.4392</v>
      </c>
      <c r="AT149" s="395" t="n">
        <f aca="false">$D149*AT85*1.15</f>
        <v>2769.4392</v>
      </c>
      <c r="AU149" s="395" t="n">
        <f aca="false">$D149*AU85*1.15</f>
        <v>2769.4392</v>
      </c>
      <c r="AV149" s="395" t="n">
        <f aca="false">$D149*AV85*1.15</f>
        <v>2769.4392</v>
      </c>
      <c r="AW149" s="395" t="n">
        <f aca="false">$D149*AW85*1.15</f>
        <v>2769.4392</v>
      </c>
      <c r="AX149" s="396" t="n">
        <f aca="false">$D149*AX85*1.2</f>
        <v>2889.8496</v>
      </c>
      <c r="AY149" s="396" t="n">
        <f aca="false">$D149*AY85*1.2</f>
        <v>2889.8496</v>
      </c>
      <c r="AZ149" s="396" t="n">
        <f aca="false">$D149*AZ85*1.2</f>
        <v>2889.8496</v>
      </c>
      <c r="BA149" s="396" t="n">
        <f aca="false">$D149*BA85*1.2</f>
        <v>2889.8496</v>
      </c>
      <c r="BB149" s="396" t="n">
        <f aca="false">$D149*BB85*1.2</f>
        <v>2889.8496</v>
      </c>
      <c r="BC149" s="396" t="n">
        <f aca="false">$D149*BC85*1.2</f>
        <v>2889.8496</v>
      </c>
      <c r="BD149" s="396" t="n">
        <f aca="false">$D149*BD85*1.2</f>
        <v>2889.8496</v>
      </c>
      <c r="BE149" s="396" t="n">
        <f aca="false">$D149*BE85*1.2</f>
        <v>2889.8496</v>
      </c>
      <c r="BF149" s="396" t="n">
        <f aca="false">$D149*BF85*1.2</f>
        <v>2889.8496</v>
      </c>
      <c r="BG149" s="396" t="n">
        <f aca="false">$D149*BG85*1.2</f>
        <v>2889.8496</v>
      </c>
      <c r="BH149" s="396" t="n">
        <f aca="false">$D149*BH85*1.2</f>
        <v>2889.8496</v>
      </c>
      <c r="BI149" s="396" t="n">
        <f aca="false">$D149*BI85*1.2</f>
        <v>2889.8496</v>
      </c>
      <c r="BJ149" s="413" t="n">
        <f aca="false">SUM(E149:M149)</f>
        <v>2511.41691428571</v>
      </c>
      <c r="BK149" s="413" t="n">
        <f aca="false">SUM(N149:Y149)</f>
        <v>12570.84576</v>
      </c>
      <c r="BL149" s="413" t="n">
        <f aca="false">SUM(Z149:AK149)</f>
        <v>31788.3456</v>
      </c>
      <c r="BM149" s="413" t="n">
        <f aca="false">SUM(AL149:AW149)</f>
        <v>33233.2704</v>
      </c>
      <c r="BN149" s="413" t="n">
        <f aca="false">SUM(AX149:BI149)</f>
        <v>34678.1952</v>
      </c>
      <c r="BO149" s="325"/>
      <c r="BP149" s="325"/>
      <c r="BQ149" s="325"/>
      <c r="BR149" s="325"/>
      <c r="BS149" s="325"/>
      <c r="BT149" s="325"/>
      <c r="BU149" s="325"/>
      <c r="BV149" s="325"/>
      <c r="BW149" s="325"/>
      <c r="BX149" s="325"/>
      <c r="BY149" s="325"/>
      <c r="BZ149" s="325"/>
      <c r="CA149" s="325"/>
      <c r="CB149" s="325"/>
      <c r="CC149" s="325"/>
      <c r="CD149" s="325"/>
      <c r="CE149" s="325"/>
      <c r="CF149" s="325"/>
      <c r="CG149" s="325"/>
      <c r="CH149" s="325"/>
      <c r="CI149" s="325"/>
      <c r="CJ149" s="325"/>
      <c r="CK149" s="325"/>
      <c r="CL149" s="325"/>
      <c r="CM149" s="325"/>
      <c r="CN149" s="325"/>
      <c r="CO149" s="325"/>
      <c r="CP149" s="325"/>
      <c r="CQ149" s="325"/>
      <c r="CR149" s="325"/>
      <c r="CS149" s="325"/>
      <c r="CT149" s="325"/>
      <c r="CU149" s="325"/>
      <c r="CV149" s="325"/>
      <c r="CW149" s="325"/>
      <c r="CX149" s="325"/>
      <c r="CY149" s="325"/>
      <c r="CZ149" s="325"/>
      <c r="DA149" s="325"/>
      <c r="DB149" s="325"/>
      <c r="DC149" s="325"/>
      <c r="DD149" s="325"/>
      <c r="DE149" s="325"/>
      <c r="DF149" s="325"/>
      <c r="DG149" s="325"/>
      <c r="DH149" s="325"/>
      <c r="DI149" s="325"/>
      <c r="DJ149" s="325"/>
      <c r="DK149" s="325"/>
      <c r="DL149" s="325"/>
      <c r="DM149" s="325"/>
      <c r="DN149" s="325"/>
      <c r="DO149" s="325"/>
      <c r="DP149" s="325"/>
      <c r="DQ149" s="325"/>
      <c r="DR149" s="325"/>
      <c r="DS149" s="325"/>
      <c r="DT149" s="325"/>
      <c r="DU149" s="325"/>
      <c r="DV149" s="325"/>
      <c r="DW149" s="325"/>
      <c r="DX149" s="325"/>
      <c r="DY149" s="325"/>
      <c r="DZ149" s="325"/>
      <c r="EA149" s="325"/>
      <c r="EB149" s="325"/>
      <c r="EC149" s="325"/>
      <c r="ED149" s="325"/>
      <c r="EE149" s="325"/>
      <c r="EF149" s="325"/>
      <c r="EG149" s="325"/>
      <c r="EH149" s="325"/>
      <c r="EI149" s="325"/>
      <c r="EJ149" s="325"/>
      <c r="EK149" s="325"/>
      <c r="EL149" s="325"/>
      <c r="EM149" s="325"/>
      <c r="EN149" s="325"/>
      <c r="EO149" s="325"/>
      <c r="EP149" s="325"/>
      <c r="EQ149" s="325"/>
      <c r="ER149" s="325"/>
      <c r="ES149" s="325"/>
      <c r="ET149" s="325"/>
      <c r="EU149" s="325"/>
      <c r="EV149" s="325"/>
      <c r="EW149" s="325"/>
      <c r="EX149" s="325"/>
      <c r="EY149" s="325"/>
      <c r="EZ149" s="325"/>
      <c r="FA149" s="325"/>
      <c r="FB149" s="325"/>
      <c r="FC149" s="325"/>
      <c r="FD149" s="325"/>
      <c r="FE149" s="325"/>
      <c r="FF149" s="325"/>
      <c r="FG149" s="325"/>
      <c r="FH149" s="325"/>
      <c r="FI149" s="325"/>
      <c r="FJ149" s="325"/>
      <c r="FK149" s="325"/>
      <c r="FL149" s="325"/>
      <c r="FM149" s="325"/>
      <c r="FN149" s="325"/>
      <c r="FO149" s="325"/>
      <c r="FP149" s="325"/>
      <c r="FQ149" s="325"/>
      <c r="FR149" s="325"/>
      <c r="FS149" s="325"/>
      <c r="FT149" s="325"/>
      <c r="FU149" s="325"/>
      <c r="FV149" s="325"/>
      <c r="FW149" s="325"/>
      <c r="FX149" s="325"/>
      <c r="FY149" s="325"/>
      <c r="FZ149" s="325"/>
      <c r="GA149" s="325"/>
      <c r="GB149" s="325"/>
      <c r="GC149" s="325"/>
      <c r="GD149" s="325"/>
      <c r="GE149" s="325"/>
      <c r="GF149" s="325"/>
      <c r="GG149" s="325"/>
      <c r="GH149" s="325"/>
      <c r="GI149" s="325"/>
      <c r="GJ149" s="325"/>
      <c r="GK149" s="325"/>
      <c r="GL149" s="325"/>
    </row>
    <row r="150" customFormat="false" ht="24.75" hidden="false" customHeight="true" outlineLevel="0" collapsed="false">
      <c r="A150" s="410" t="str">
        <f aca="false">IF('P&amp;L'!E14="y","Subtotal Cost of Funding","Subtotal Cost of Revenue")</f>
        <v>Subtotal Cost of Revenue</v>
      </c>
      <c r="B150" s="416"/>
      <c r="C150" s="416"/>
      <c r="D150" s="416" t="n">
        <f aca="false">SUM(D121:D149)</f>
        <v>604.269831428572</v>
      </c>
      <c r="E150" s="416" t="n">
        <f aca="false">SUM(E121:E149)</f>
        <v>69972.7552530499</v>
      </c>
      <c r="F150" s="416" t="n">
        <f aca="false">SUM(F121:F149)</f>
        <v>139945.5105061</v>
      </c>
      <c r="G150" s="416" t="n">
        <f aca="false">SUM(G121:G149)</f>
        <v>279891.0210122</v>
      </c>
      <c r="H150" s="416" t="n">
        <f aca="false">SUM(H121:H149)</f>
        <v>419836.5315183</v>
      </c>
      <c r="I150" s="416" t="n">
        <f aca="false">SUM(I121:I149)</f>
        <v>559782.042024399</v>
      </c>
      <c r="J150" s="416" t="n">
        <f aca="false">SUM(J121:J149)</f>
        <v>699727.552530499</v>
      </c>
      <c r="K150" s="416" t="n">
        <f aca="false">SUM(K121:K149)</f>
        <v>839673.063036599</v>
      </c>
      <c r="L150" s="416" t="n">
        <f aca="false">SUM(L121:L149)</f>
        <v>979618.573542699</v>
      </c>
      <c r="M150" s="416" t="n">
        <f aca="false">SUM(M121:M149)</f>
        <v>1119564.0840488</v>
      </c>
      <c r="N150" s="416" t="n">
        <f aca="false">SUM(N121:N149)</f>
        <v>1322485.07428264</v>
      </c>
      <c r="O150" s="416" t="n">
        <f aca="false">SUM(O121:O149)</f>
        <v>1469427.86031405</v>
      </c>
      <c r="P150" s="416" t="n">
        <f aca="false">SUM(P121:P149)</f>
        <v>1616370.64634545</v>
      </c>
      <c r="Q150" s="416" t="n">
        <f aca="false">SUM(Q121:Q149)</f>
        <v>1763313.43237686</v>
      </c>
      <c r="R150" s="416" t="n">
        <f aca="false">SUM(R121:R149)</f>
        <v>1910256.21840826</v>
      </c>
      <c r="S150" s="416" t="n">
        <f aca="false">SUM(S121:S149)</f>
        <v>2057199.00443967</v>
      </c>
      <c r="T150" s="416" t="n">
        <f aca="false">SUM(T121:T149)</f>
        <v>2204141.79047107</v>
      </c>
      <c r="U150" s="416" t="n">
        <f aca="false">SUM(U121:U149)</f>
        <v>2351084.57650248</v>
      </c>
      <c r="V150" s="416" t="n">
        <f aca="false">SUM(V121:V149)</f>
        <v>2498027.36253388</v>
      </c>
      <c r="W150" s="416" t="n">
        <f aca="false">SUM(W121:W149)</f>
        <v>2644970.14856529</v>
      </c>
      <c r="X150" s="416" t="n">
        <f aca="false">SUM(X121:X149)</f>
        <v>2791912.93459669</v>
      </c>
      <c r="Y150" s="416" t="n">
        <f aca="false">SUM(Y121:Y149)</f>
        <v>2938855.7206281</v>
      </c>
      <c r="Z150" s="416" t="n">
        <f aca="false">SUM(Z121:Z149)</f>
        <v>5387902.15448484</v>
      </c>
      <c r="AA150" s="416" t="n">
        <f aca="false">SUM(AA121:AA149)</f>
        <v>5387902.15448484</v>
      </c>
      <c r="AB150" s="416" t="n">
        <f aca="false">SUM(AB121:AB149)</f>
        <v>5387902.15448484</v>
      </c>
      <c r="AC150" s="416" t="n">
        <f aca="false">SUM(AC121:AC149)</f>
        <v>5387902.15448484</v>
      </c>
      <c r="AD150" s="416" t="n">
        <f aca="false">SUM(AD121:AD149)</f>
        <v>5387902.15448484</v>
      </c>
      <c r="AE150" s="416" t="n">
        <f aca="false">SUM(AE121:AE149)</f>
        <v>5387902.15448484</v>
      </c>
      <c r="AF150" s="416" t="n">
        <f aca="false">SUM(AF121:AF149)</f>
        <v>5387902.15448484</v>
      </c>
      <c r="AG150" s="416" t="n">
        <f aca="false">SUM(AG121:AG149)</f>
        <v>5387902.15448484</v>
      </c>
      <c r="AH150" s="416" t="n">
        <f aca="false">SUM(AH121:AH149)</f>
        <v>5387902.15448484</v>
      </c>
      <c r="AI150" s="416" t="n">
        <f aca="false">SUM(AI121:AI149)</f>
        <v>5387902.15448484</v>
      </c>
      <c r="AJ150" s="416" t="n">
        <f aca="false">SUM(AJ121:AJ149)</f>
        <v>5387902.15448484</v>
      </c>
      <c r="AK150" s="416" t="n">
        <f aca="false">SUM(AK121:AK149)</f>
        <v>5387902.15448484</v>
      </c>
      <c r="AL150" s="416" t="n">
        <f aca="false">SUM(AL121:AL149)</f>
        <v>5632806.79787052</v>
      </c>
      <c r="AM150" s="416" t="n">
        <f aca="false">SUM(AM121:AM149)</f>
        <v>5632806.79787052</v>
      </c>
      <c r="AN150" s="416" t="n">
        <f aca="false">SUM(AN121:AN149)</f>
        <v>5632806.79787052</v>
      </c>
      <c r="AO150" s="416" t="n">
        <f aca="false">SUM(AO121:AO149)</f>
        <v>5632806.79787052</v>
      </c>
      <c r="AP150" s="416" t="n">
        <f aca="false">SUM(AP121:AP149)</f>
        <v>5632806.79787052</v>
      </c>
      <c r="AQ150" s="416" t="n">
        <f aca="false">SUM(AQ121:AQ149)</f>
        <v>5632806.79787052</v>
      </c>
      <c r="AR150" s="416" t="n">
        <f aca="false">SUM(AR121:AR149)</f>
        <v>5632806.79787052</v>
      </c>
      <c r="AS150" s="416" t="n">
        <f aca="false">SUM(AS121:AS149)</f>
        <v>5632806.79787052</v>
      </c>
      <c r="AT150" s="416" t="n">
        <f aca="false">SUM(AT121:AT149)</f>
        <v>5632806.79787052</v>
      </c>
      <c r="AU150" s="416" t="n">
        <f aca="false">SUM(AU121:AU149)</f>
        <v>5632806.79787052</v>
      </c>
      <c r="AV150" s="416" t="n">
        <f aca="false">SUM(AV121:AV149)</f>
        <v>5632806.79787052</v>
      </c>
      <c r="AW150" s="416" t="n">
        <f aca="false">SUM(AW121:AW149)</f>
        <v>5632806.79787052</v>
      </c>
      <c r="AX150" s="416" t="n">
        <f aca="false">SUM(AX121:AX149)</f>
        <v>5877711.44125619</v>
      </c>
      <c r="AY150" s="416" t="n">
        <f aca="false">SUM(AY121:AY149)</f>
        <v>5877711.44125619</v>
      </c>
      <c r="AZ150" s="416" t="n">
        <f aca="false">SUM(AZ121:AZ149)</f>
        <v>5877711.44125619</v>
      </c>
      <c r="BA150" s="416" t="n">
        <f aca="false">SUM(BA121:BA149)</f>
        <v>5877711.44125619</v>
      </c>
      <c r="BB150" s="416" t="n">
        <f aca="false">SUM(BB121:BB149)</f>
        <v>5877711.44125619</v>
      </c>
      <c r="BC150" s="416" t="n">
        <f aca="false">SUM(BC121:BC149)</f>
        <v>5877711.44125619</v>
      </c>
      <c r="BD150" s="416" t="n">
        <f aca="false">SUM(BD121:BD149)</f>
        <v>5877711.44125619</v>
      </c>
      <c r="BE150" s="416" t="n">
        <f aca="false">SUM(BE121:BE149)</f>
        <v>5877711.44125619</v>
      </c>
      <c r="BF150" s="416" t="n">
        <f aca="false">SUM(BF121:BF149)</f>
        <v>5877711.44125619</v>
      </c>
      <c r="BG150" s="416" t="n">
        <f aca="false">SUM(BG121:BG149)</f>
        <v>5877711.44125619</v>
      </c>
      <c r="BH150" s="416" t="n">
        <f aca="false">SUM(BH121:BH149)</f>
        <v>5877711.44125619</v>
      </c>
      <c r="BI150" s="416" t="n">
        <f aca="false">SUM(BI121:BI149)</f>
        <v>5877711.44125619</v>
      </c>
      <c r="BJ150" s="416" t="n">
        <f aca="false">SUM(BJ121:BJ149)</f>
        <v>5108011.13347264</v>
      </c>
      <c r="BK150" s="416" t="n">
        <f aca="false">SUM(BK121:BK149)</f>
        <v>25568044.7694644</v>
      </c>
      <c r="BL150" s="416" t="n">
        <f aca="false">SUM(BL121:BL149)</f>
        <v>64654825.8538181</v>
      </c>
      <c r="BM150" s="416" t="n">
        <f aca="false">SUM(BM121:BM149)</f>
        <v>67593681.5744462</v>
      </c>
      <c r="BN150" s="416" t="n">
        <f aca="false">SUM(BN121:BN149)</f>
        <v>70532537.2950743</v>
      </c>
    </row>
    <row r="151" customFormat="false" ht="15" hidden="false" customHeight="true" outlineLevel="0" collapsed="false"/>
    <row r="345" customFormat="false" ht="18" hidden="true" customHeight="true" outlineLevel="0" collapsed="false">
      <c r="BJ345" s="325" t="s">
        <v>1536</v>
      </c>
    </row>
    <row r="346" customFormat="false" ht="18" hidden="true" customHeight="true" outlineLevel="0" collapsed="false">
      <c r="BJ346" s="325" t="s">
        <v>507</v>
      </c>
    </row>
  </sheetData>
  <mergeCells count="15">
    <mergeCell ref="A3:N3"/>
    <mergeCell ref="A23:N23"/>
    <mergeCell ref="A39:N39"/>
    <mergeCell ref="G41:N43"/>
    <mergeCell ref="A48:D48"/>
    <mergeCell ref="B52:F52"/>
    <mergeCell ref="B53:C53"/>
    <mergeCell ref="D53:E53"/>
    <mergeCell ref="F53:G53"/>
    <mergeCell ref="H53:I53"/>
    <mergeCell ref="J53:K53"/>
    <mergeCell ref="L53:M53"/>
    <mergeCell ref="N53:O53"/>
    <mergeCell ref="BP87:BR87"/>
    <mergeCell ref="BS87:CG87"/>
  </mergeCells>
  <dataValidations count="1">
    <dataValidation allowBlank="false" errorStyle="stop" operator="between" showDropDown="false" showErrorMessage="false" showInputMessage="false" sqref="C41:C44 C49" type="list">
      <formula1>"Y,N"</formula1>
      <formula2>0</formula2>
    </dataValidation>
  </dataValidations>
  <printOptions headings="false" gridLines="false" gridLinesSet="true" horizontalCentered="false" verticalCentered="false"/>
  <pageMargins left="1" right="1" top="1" bottom="1"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9DFF43"/>
    <pageSetUpPr fitToPage="true"/>
  </sheetPr>
  <dimension ref="A1:BU49"/>
  <sheetViews>
    <sheetView showFormulas="false" showGridLines="true" showRowColHeaders="true" showZeros="true" rightToLeft="false" tabSelected="false" showOutlineSymbols="true" defaultGridColor="true" view="normal" topLeftCell="A1" colorId="64" zoomScale="115" zoomScaleNormal="115" zoomScalePageLayoutView="100" workbookViewId="0">
      <pane xSplit="2" ySplit="0" topLeftCell="C1" activePane="topRight" state="frozen"/>
      <selection pane="topLeft" activeCell="A1" activeCellId="0" sqref="A1"/>
      <selection pane="topRight" activeCell="BE52" activeCellId="0" sqref="BE52"/>
    </sheetView>
  </sheetViews>
  <sheetFormatPr defaultColWidth="9.18359375" defaultRowHeight="12.75" customHeight="true" zeroHeight="false" outlineLevelRow="0" outlineLevelCol="1"/>
  <cols>
    <col collapsed="false" customWidth="true" hidden="false" outlineLevel="0" max="1" min="1" style="22" width="13.27"/>
    <col collapsed="false" customWidth="true" hidden="false" outlineLevel="0" max="2" min="2" style="22" width="13.45"/>
    <col collapsed="false" customWidth="true" hidden="false" outlineLevel="0" max="3" min="3" style="31" width="9"/>
    <col collapsed="false" customWidth="true" hidden="false" outlineLevel="0" max="5" min="4" style="31" width="8.45"/>
    <col collapsed="false" customWidth="true" hidden="false" outlineLevel="0" max="15" min="6" style="31" width="9.82"/>
    <col collapsed="false" customWidth="true" hidden="false" outlineLevel="1" max="37" min="16" style="31" width="10.45"/>
    <col collapsed="false" customWidth="true" hidden="false" outlineLevel="1" max="39" min="38" style="31" width="8.45"/>
    <col collapsed="false" customWidth="true" hidden="false" outlineLevel="1" max="61" min="40" style="31" width="9.82"/>
    <col collapsed="false" customWidth="true" hidden="false" outlineLevel="1" max="63" min="62" style="31" width="10.73"/>
    <col collapsed="false" customWidth="true" hidden="false" outlineLevel="0" max="64" min="64" style="31" width="10.82"/>
    <col collapsed="false" customWidth="true" hidden="false" outlineLevel="0" max="65" min="65" style="31" width="12.45"/>
    <col collapsed="false" customWidth="true" hidden="false" outlineLevel="0" max="66" min="66" style="31" width="11.73"/>
    <col collapsed="false" customWidth="true" hidden="false" outlineLevel="0" max="68" min="67" style="31" width="11.82"/>
    <col collapsed="false" customWidth="true" hidden="false" outlineLevel="0" max="69" min="69" style="31" width="7.27"/>
    <col collapsed="false" customWidth="true" hidden="false" outlineLevel="0" max="70" min="70" style="31" width="11.73"/>
    <col collapsed="false" customWidth="false" hidden="false" outlineLevel="0" max="71" min="71" style="31" width="9.18"/>
    <col collapsed="false" customWidth="true" hidden="true" outlineLevel="0" max="72" min="72" style="31" width="11.54"/>
    <col collapsed="false" customWidth="false" hidden="false" outlineLevel="0" max="77" min="73" style="31" width="9.18"/>
    <col collapsed="false" customWidth="true" hidden="false" outlineLevel="0" max="125" min="78" style="31" width="7.45"/>
    <col collapsed="false" customWidth="true" hidden="true" outlineLevel="0" max="155" min="126" style="31" width="11.54"/>
    <col collapsed="false" customWidth="false" hidden="false" outlineLevel="0" max="16384" min="156" style="31" width="9.18"/>
  </cols>
  <sheetData>
    <row r="1" customFormat="false" ht="13.5" hidden="false" customHeight="true" outlineLevel="0" collapsed="false">
      <c r="D1" s="417"/>
      <c r="E1" s="417"/>
      <c r="F1" s="417"/>
      <c r="G1" s="417"/>
      <c r="H1" s="417"/>
      <c r="I1" s="417"/>
      <c r="J1" s="417"/>
      <c r="K1" s="417"/>
      <c r="L1" s="417"/>
      <c r="M1" s="417"/>
      <c r="N1" s="417"/>
      <c r="O1" s="417"/>
      <c r="BL1" s="417"/>
      <c r="BM1" s="417"/>
      <c r="BN1" s="417"/>
      <c r="BO1" s="417"/>
      <c r="BP1" s="417"/>
    </row>
    <row r="2" s="434" customFormat="true" ht="13.5" hidden="false" customHeight="true" outlineLevel="0" collapsed="false">
      <c r="A2" s="418" t="s">
        <v>1677</v>
      </c>
      <c r="B2" s="418"/>
      <c r="C2" s="418"/>
      <c r="D2" s="419" t="s">
        <v>1678</v>
      </c>
      <c r="E2" s="419" t="s">
        <v>1679</v>
      </c>
      <c r="F2" s="419" t="s">
        <v>1680</v>
      </c>
      <c r="G2" s="419" t="s">
        <v>1681</v>
      </c>
      <c r="H2" s="419" t="s">
        <v>1682</v>
      </c>
      <c r="I2" s="419" t="s">
        <v>1683</v>
      </c>
      <c r="J2" s="419" t="s">
        <v>1684</v>
      </c>
      <c r="K2" s="419" t="s">
        <v>1685</v>
      </c>
      <c r="L2" s="419" t="s">
        <v>1686</v>
      </c>
      <c r="M2" s="419" t="s">
        <v>1687</v>
      </c>
      <c r="N2" s="419" t="s">
        <v>1688</v>
      </c>
      <c r="O2" s="420" t="s">
        <v>1689</v>
      </c>
      <c r="P2" s="421" t="str">
        <f aca="false">'P&amp;L'!N27</f>
        <v>Month 13</v>
      </c>
      <c r="Q2" s="422" t="str">
        <f aca="false">'P&amp;L'!O27</f>
        <v>Month 14</v>
      </c>
      <c r="R2" s="422" t="str">
        <f aca="false">'P&amp;L'!P27</f>
        <v>Month 15</v>
      </c>
      <c r="S2" s="422" t="str">
        <f aca="false">'P&amp;L'!Q27</f>
        <v>Month 16</v>
      </c>
      <c r="T2" s="422" t="str">
        <f aca="false">'P&amp;L'!R27</f>
        <v>Month 17</v>
      </c>
      <c r="U2" s="422" t="str">
        <f aca="false">'P&amp;L'!S27</f>
        <v>Month 18</v>
      </c>
      <c r="V2" s="422" t="str">
        <f aca="false">'P&amp;L'!T27</f>
        <v>Month 19</v>
      </c>
      <c r="W2" s="422" t="str">
        <f aca="false">'P&amp;L'!U27</f>
        <v>Month 20</v>
      </c>
      <c r="X2" s="422" t="str">
        <f aca="false">'P&amp;L'!V27</f>
        <v>Month 21</v>
      </c>
      <c r="Y2" s="422" t="str">
        <f aca="false">'P&amp;L'!W27</f>
        <v>Month 22</v>
      </c>
      <c r="Z2" s="422" t="str">
        <f aca="false">'P&amp;L'!X27</f>
        <v>Month 23</v>
      </c>
      <c r="AA2" s="423" t="str">
        <f aca="false">'P&amp;L'!Y27</f>
        <v>Month 24</v>
      </c>
      <c r="AB2" s="424" t="str">
        <f aca="false">'P&amp;L'!Z27</f>
        <v>Month 25</v>
      </c>
      <c r="AC2" s="425" t="str">
        <f aca="false">'P&amp;L'!AA27</f>
        <v>Month 26</v>
      </c>
      <c r="AD2" s="425" t="str">
        <f aca="false">'P&amp;L'!AB27</f>
        <v>Month 27</v>
      </c>
      <c r="AE2" s="425" t="str">
        <f aca="false">'P&amp;L'!AC27</f>
        <v>Month 28</v>
      </c>
      <c r="AF2" s="425" t="str">
        <f aca="false">'P&amp;L'!AD27</f>
        <v>Month 29</v>
      </c>
      <c r="AG2" s="425" t="str">
        <f aca="false">'P&amp;L'!AE27</f>
        <v>Month 30</v>
      </c>
      <c r="AH2" s="425" t="str">
        <f aca="false">'P&amp;L'!AF27</f>
        <v>Month 31</v>
      </c>
      <c r="AI2" s="425" t="str">
        <f aca="false">'P&amp;L'!AG27</f>
        <v>Month 32</v>
      </c>
      <c r="AJ2" s="425" t="str">
        <f aca="false">'P&amp;L'!AH27</f>
        <v>Month 33</v>
      </c>
      <c r="AK2" s="425" t="str">
        <f aca="false">'P&amp;L'!AI27</f>
        <v>Month 34</v>
      </c>
      <c r="AL2" s="425" t="str">
        <f aca="false">'P&amp;L'!AJ27</f>
        <v>Month 35</v>
      </c>
      <c r="AM2" s="426" t="str">
        <f aca="false">'P&amp;L'!AK27</f>
        <v>Month 36</v>
      </c>
      <c r="AN2" s="427" t="str">
        <f aca="false">'P&amp;L'!AL27</f>
        <v>Month 37</v>
      </c>
      <c r="AO2" s="428" t="str">
        <f aca="false">'P&amp;L'!AM27</f>
        <v>Month 38</v>
      </c>
      <c r="AP2" s="428" t="str">
        <f aca="false">'P&amp;L'!AN27</f>
        <v>Month 39</v>
      </c>
      <c r="AQ2" s="428" t="str">
        <f aca="false">'P&amp;L'!AO27</f>
        <v>Month 40</v>
      </c>
      <c r="AR2" s="428" t="str">
        <f aca="false">'P&amp;L'!AP27</f>
        <v>Month 41</v>
      </c>
      <c r="AS2" s="428" t="str">
        <f aca="false">'P&amp;L'!AQ27</f>
        <v>Month 42</v>
      </c>
      <c r="AT2" s="428" t="str">
        <f aca="false">'P&amp;L'!AR27</f>
        <v>Month 43</v>
      </c>
      <c r="AU2" s="428" t="str">
        <f aca="false">'P&amp;L'!AS27</f>
        <v>Month 44</v>
      </c>
      <c r="AV2" s="428" t="str">
        <f aca="false">'P&amp;L'!AT27</f>
        <v>Month 45</v>
      </c>
      <c r="AW2" s="428" t="str">
        <f aca="false">'P&amp;L'!AU27</f>
        <v>Month 46</v>
      </c>
      <c r="AX2" s="428" t="str">
        <f aca="false">'P&amp;L'!AV27</f>
        <v>Month 47</v>
      </c>
      <c r="AY2" s="429" t="str">
        <f aca="false">'P&amp;L'!AW27</f>
        <v>Month 48</v>
      </c>
      <c r="AZ2" s="430" t="str">
        <f aca="false">'P&amp;L'!AX27</f>
        <v>Month 49</v>
      </c>
      <c r="BA2" s="431" t="str">
        <f aca="false">'P&amp;L'!AY27</f>
        <v>Month 50</v>
      </c>
      <c r="BB2" s="431" t="str">
        <f aca="false">'P&amp;L'!AZ27</f>
        <v>Month 51</v>
      </c>
      <c r="BC2" s="431" t="str">
        <f aca="false">'P&amp;L'!BA27</f>
        <v>Month 52</v>
      </c>
      <c r="BD2" s="431" t="str">
        <f aca="false">'P&amp;L'!BB27</f>
        <v>Month 53</v>
      </c>
      <c r="BE2" s="431" t="str">
        <f aca="false">'P&amp;L'!BC27</f>
        <v>Month 54</v>
      </c>
      <c r="BF2" s="431" t="str">
        <f aca="false">'P&amp;L'!BD27</f>
        <v>Month 55</v>
      </c>
      <c r="BG2" s="431" t="str">
        <f aca="false">'P&amp;L'!BE27</f>
        <v>Month 56</v>
      </c>
      <c r="BH2" s="431" t="str">
        <f aca="false">'P&amp;L'!BF27</f>
        <v>Month 57</v>
      </c>
      <c r="BI2" s="431" t="str">
        <f aca="false">'P&amp;L'!BG27</f>
        <v>Month 58</v>
      </c>
      <c r="BJ2" s="431" t="str">
        <f aca="false">'P&amp;L'!BH27</f>
        <v>Month 59</v>
      </c>
      <c r="BK2" s="432" t="str">
        <f aca="false">'P&amp;L'!BI27</f>
        <v>Month 60</v>
      </c>
      <c r="BL2" s="433" t="s">
        <v>1690</v>
      </c>
      <c r="BM2" s="433" t="s">
        <v>1691</v>
      </c>
      <c r="BN2" s="433" t="s">
        <v>1692</v>
      </c>
      <c r="BO2" s="433" t="s">
        <v>1693</v>
      </c>
      <c r="BP2" s="433" t="s">
        <v>1694</v>
      </c>
      <c r="BQ2" s="200"/>
      <c r="BR2" s="210"/>
      <c r="BS2" s="210"/>
      <c r="BT2" s="210"/>
    </row>
    <row r="3" customFormat="false" ht="12.75" hidden="false" customHeight="true" outlineLevel="0" collapsed="false">
      <c r="A3" s="229" t="s">
        <v>1695</v>
      </c>
      <c r="B3" s="229"/>
      <c r="C3" s="229"/>
      <c r="D3" s="435" t="n">
        <v>4</v>
      </c>
      <c r="E3" s="435" t="n">
        <v>8</v>
      </c>
      <c r="F3" s="435" t="n">
        <v>10</v>
      </c>
      <c r="G3" s="435" t="n">
        <v>10</v>
      </c>
      <c r="H3" s="435" t="n">
        <v>10</v>
      </c>
      <c r="I3" s="435" t="n">
        <v>15</v>
      </c>
      <c r="J3" s="435" t="n">
        <v>25</v>
      </c>
      <c r="K3" s="435" t="n">
        <v>30</v>
      </c>
      <c r="L3" s="435" t="n">
        <v>30</v>
      </c>
      <c r="M3" s="435" t="n">
        <v>30</v>
      </c>
      <c r="N3" s="435" t="n">
        <v>30</v>
      </c>
      <c r="O3" s="435" t="n">
        <v>30</v>
      </c>
      <c r="P3" s="436" t="n">
        <v>30</v>
      </c>
      <c r="Q3" s="437" t="n">
        <v>30</v>
      </c>
      <c r="R3" s="437" t="n">
        <v>40</v>
      </c>
      <c r="S3" s="437" t="n">
        <v>50</v>
      </c>
      <c r="T3" s="437" t="n">
        <v>60</v>
      </c>
      <c r="U3" s="437" t="n">
        <v>70</v>
      </c>
      <c r="V3" s="437" t="n">
        <v>80</v>
      </c>
      <c r="W3" s="437" t="n">
        <v>80</v>
      </c>
      <c r="X3" s="437" t="n">
        <v>80</v>
      </c>
      <c r="Y3" s="437" t="n">
        <v>80</v>
      </c>
      <c r="Z3" s="437" t="n">
        <v>80</v>
      </c>
      <c r="AA3" s="438" t="n">
        <v>80</v>
      </c>
      <c r="AB3" s="439" t="n">
        <v>80</v>
      </c>
      <c r="AC3" s="440" t="n">
        <v>80</v>
      </c>
      <c r="AD3" s="440" t="n">
        <v>80</v>
      </c>
      <c r="AE3" s="440" t="n">
        <v>80</v>
      </c>
      <c r="AF3" s="440" t="n">
        <v>80</v>
      </c>
      <c r="AG3" s="440" t="n">
        <v>80</v>
      </c>
      <c r="AH3" s="440" t="n">
        <v>80</v>
      </c>
      <c r="AI3" s="440" t="n">
        <v>80</v>
      </c>
      <c r="AJ3" s="440" t="n">
        <v>80</v>
      </c>
      <c r="AK3" s="440" t="n">
        <v>80</v>
      </c>
      <c r="AL3" s="440" t="n">
        <v>80</v>
      </c>
      <c r="AM3" s="441" t="n">
        <v>80</v>
      </c>
      <c r="AN3" s="442" t="n">
        <v>80</v>
      </c>
      <c r="AO3" s="443" t="n">
        <v>80</v>
      </c>
      <c r="AP3" s="443" t="n">
        <v>80</v>
      </c>
      <c r="AQ3" s="443" t="n">
        <v>80</v>
      </c>
      <c r="AR3" s="443" t="n">
        <v>80</v>
      </c>
      <c r="AS3" s="443" t="n">
        <v>80</v>
      </c>
      <c r="AT3" s="443" t="n">
        <v>80</v>
      </c>
      <c r="AU3" s="443" t="n">
        <v>80</v>
      </c>
      <c r="AV3" s="443" t="n">
        <v>80</v>
      </c>
      <c r="AW3" s="443" t="n">
        <v>80</v>
      </c>
      <c r="AX3" s="443" t="n">
        <v>80</v>
      </c>
      <c r="AY3" s="444" t="n">
        <v>80</v>
      </c>
      <c r="AZ3" s="445" t="n">
        <v>80</v>
      </c>
      <c r="BA3" s="446" t="n">
        <v>80</v>
      </c>
      <c r="BB3" s="446" t="n">
        <v>80</v>
      </c>
      <c r="BC3" s="446" t="n">
        <v>80</v>
      </c>
      <c r="BD3" s="446" t="n">
        <v>80</v>
      </c>
      <c r="BE3" s="446" t="n">
        <v>80</v>
      </c>
      <c r="BF3" s="446" t="n">
        <v>80</v>
      </c>
      <c r="BG3" s="446" t="n">
        <v>80</v>
      </c>
      <c r="BH3" s="446" t="n">
        <v>80</v>
      </c>
      <c r="BI3" s="446" t="n">
        <v>80</v>
      </c>
      <c r="BJ3" s="446" t="n">
        <v>80</v>
      </c>
      <c r="BK3" s="447" t="n">
        <v>80</v>
      </c>
      <c r="BL3" s="448" t="n">
        <f aca="false">O3</f>
        <v>30</v>
      </c>
      <c r="BM3" s="448" t="n">
        <f aca="false">AA3</f>
        <v>80</v>
      </c>
      <c r="BN3" s="448" t="n">
        <f aca="false">BM3</f>
        <v>80</v>
      </c>
      <c r="BO3" s="448" t="n">
        <f aca="false">BN3</f>
        <v>80</v>
      </c>
      <c r="BP3" s="448" t="n">
        <f aca="false">BO3</f>
        <v>80</v>
      </c>
      <c r="BQ3" s="200"/>
      <c r="BR3" s="196"/>
      <c r="BS3" s="196"/>
      <c r="BT3" s="196"/>
    </row>
    <row r="4" customFormat="false" ht="12.75" hidden="false" customHeight="true" outlineLevel="0" collapsed="false">
      <c r="A4" s="230" t="s">
        <v>1696</v>
      </c>
      <c r="B4" s="230"/>
      <c r="C4" s="230"/>
      <c r="D4" s="435" t="n">
        <v>1</v>
      </c>
      <c r="E4" s="435" t="n">
        <v>1</v>
      </c>
      <c r="F4" s="435" t="n">
        <v>1</v>
      </c>
      <c r="G4" s="435" t="n">
        <v>1</v>
      </c>
      <c r="H4" s="435" t="n">
        <v>1</v>
      </c>
      <c r="I4" s="435" t="n">
        <v>1</v>
      </c>
      <c r="J4" s="435" t="n">
        <v>1</v>
      </c>
      <c r="K4" s="435" t="n">
        <v>1</v>
      </c>
      <c r="L4" s="435" t="n">
        <v>1</v>
      </c>
      <c r="M4" s="435" t="n">
        <v>1</v>
      </c>
      <c r="N4" s="435" t="n">
        <v>1</v>
      </c>
      <c r="O4" s="435" t="n">
        <v>1</v>
      </c>
      <c r="P4" s="449" t="n">
        <v>2</v>
      </c>
      <c r="Q4" s="450" t="n">
        <v>2</v>
      </c>
      <c r="R4" s="450" t="n">
        <v>2</v>
      </c>
      <c r="S4" s="450" t="n">
        <v>2</v>
      </c>
      <c r="T4" s="450" t="n">
        <v>2</v>
      </c>
      <c r="U4" s="450" t="n">
        <v>2</v>
      </c>
      <c r="V4" s="450" t="n">
        <v>2</v>
      </c>
      <c r="W4" s="450" t="n">
        <v>2</v>
      </c>
      <c r="X4" s="450" t="n">
        <v>2</v>
      </c>
      <c r="Y4" s="450" t="n">
        <v>2</v>
      </c>
      <c r="Z4" s="450" t="n">
        <v>2</v>
      </c>
      <c r="AA4" s="451" t="n">
        <v>2</v>
      </c>
      <c r="AB4" s="439" t="n">
        <v>3</v>
      </c>
      <c r="AC4" s="440" t="n">
        <v>3</v>
      </c>
      <c r="AD4" s="440" t="n">
        <v>3</v>
      </c>
      <c r="AE4" s="440" t="n">
        <v>3</v>
      </c>
      <c r="AF4" s="440" t="n">
        <v>3</v>
      </c>
      <c r="AG4" s="440" t="n">
        <v>3</v>
      </c>
      <c r="AH4" s="440" t="n">
        <v>3</v>
      </c>
      <c r="AI4" s="440" t="n">
        <v>3</v>
      </c>
      <c r="AJ4" s="440" t="n">
        <v>3</v>
      </c>
      <c r="AK4" s="440" t="n">
        <v>3</v>
      </c>
      <c r="AL4" s="440" t="n">
        <v>3</v>
      </c>
      <c r="AM4" s="441" t="n">
        <v>3</v>
      </c>
      <c r="AN4" s="442" t="n">
        <v>3</v>
      </c>
      <c r="AO4" s="443" t="n">
        <v>3</v>
      </c>
      <c r="AP4" s="443" t="n">
        <v>3</v>
      </c>
      <c r="AQ4" s="443" t="n">
        <v>3</v>
      </c>
      <c r="AR4" s="443" t="n">
        <v>3</v>
      </c>
      <c r="AS4" s="443" t="n">
        <v>3</v>
      </c>
      <c r="AT4" s="443" t="n">
        <v>3</v>
      </c>
      <c r="AU4" s="443" t="n">
        <v>3</v>
      </c>
      <c r="AV4" s="443" t="n">
        <v>3</v>
      </c>
      <c r="AW4" s="443" t="n">
        <v>3</v>
      </c>
      <c r="AX4" s="443" t="n">
        <v>3</v>
      </c>
      <c r="AY4" s="444" t="n">
        <v>3</v>
      </c>
      <c r="AZ4" s="445" t="n">
        <v>3</v>
      </c>
      <c r="BA4" s="446" t="n">
        <v>3</v>
      </c>
      <c r="BB4" s="446" t="n">
        <v>3</v>
      </c>
      <c r="BC4" s="446" t="n">
        <v>3</v>
      </c>
      <c r="BD4" s="446" t="n">
        <v>3</v>
      </c>
      <c r="BE4" s="446" t="n">
        <v>3</v>
      </c>
      <c r="BF4" s="446" t="n">
        <v>3</v>
      </c>
      <c r="BG4" s="446" t="n">
        <v>3</v>
      </c>
      <c r="BH4" s="446" t="n">
        <v>3</v>
      </c>
      <c r="BI4" s="446" t="n">
        <v>3</v>
      </c>
      <c r="BJ4" s="446" t="n">
        <v>3</v>
      </c>
      <c r="BK4" s="447" t="n">
        <v>3</v>
      </c>
      <c r="BL4" s="448" t="n">
        <f aca="false">O4</f>
        <v>1</v>
      </c>
      <c r="BM4" s="448" t="n">
        <f aca="false">AA4</f>
        <v>2</v>
      </c>
      <c r="BN4" s="448" t="n">
        <f aca="false">SUM(AM4)</f>
        <v>3</v>
      </c>
      <c r="BO4" s="448" t="n">
        <f aca="false">BN4</f>
        <v>3</v>
      </c>
      <c r="BP4" s="448" t="n">
        <f aca="false">BO4</f>
        <v>3</v>
      </c>
      <c r="BQ4" s="200"/>
      <c r="BR4" s="196"/>
      <c r="BS4" s="196"/>
      <c r="BT4" s="196"/>
    </row>
    <row r="5" customFormat="false" ht="12.75" hidden="false" customHeight="true" outlineLevel="0" collapsed="false">
      <c r="A5" s="230" t="s">
        <v>1697</v>
      </c>
      <c r="B5" s="230"/>
      <c r="C5" s="230"/>
      <c r="D5" s="435" t="n">
        <v>0</v>
      </c>
      <c r="E5" s="435" t="n">
        <v>0</v>
      </c>
      <c r="F5" s="435" t="n">
        <v>0</v>
      </c>
      <c r="G5" s="435" t="n">
        <v>0</v>
      </c>
      <c r="H5" s="435" t="n">
        <v>0</v>
      </c>
      <c r="I5" s="435" t="n">
        <v>0</v>
      </c>
      <c r="J5" s="435" t="n">
        <v>0</v>
      </c>
      <c r="K5" s="435" t="n">
        <v>0</v>
      </c>
      <c r="L5" s="435" t="n">
        <v>0</v>
      </c>
      <c r="M5" s="435" t="n">
        <v>0</v>
      </c>
      <c r="N5" s="435" t="n">
        <v>0</v>
      </c>
      <c r="O5" s="435" t="n">
        <v>0</v>
      </c>
      <c r="P5" s="449" t="n">
        <v>10</v>
      </c>
      <c r="Q5" s="450" t="n">
        <v>20</v>
      </c>
      <c r="R5" s="450" t="n">
        <v>30</v>
      </c>
      <c r="S5" s="450" t="n">
        <v>40</v>
      </c>
      <c r="T5" s="450" t="n">
        <v>50</v>
      </c>
      <c r="U5" s="450" t="n">
        <v>60</v>
      </c>
      <c r="V5" s="450" t="n">
        <v>70</v>
      </c>
      <c r="W5" s="450" t="n">
        <v>80</v>
      </c>
      <c r="X5" s="450" t="n">
        <v>80</v>
      </c>
      <c r="Y5" s="450" t="n">
        <v>80</v>
      </c>
      <c r="Z5" s="450" t="n">
        <v>80</v>
      </c>
      <c r="AA5" s="451" t="n">
        <v>80</v>
      </c>
      <c r="AB5" s="439" t="n">
        <v>80</v>
      </c>
      <c r="AC5" s="440" t="n">
        <v>80</v>
      </c>
      <c r="AD5" s="440" t="n">
        <v>80</v>
      </c>
      <c r="AE5" s="440" t="n">
        <v>80</v>
      </c>
      <c r="AF5" s="440" t="n">
        <v>80</v>
      </c>
      <c r="AG5" s="440" t="n">
        <v>80</v>
      </c>
      <c r="AH5" s="440" t="n">
        <v>80</v>
      </c>
      <c r="AI5" s="440" t="n">
        <v>80</v>
      </c>
      <c r="AJ5" s="440" t="n">
        <v>80</v>
      </c>
      <c r="AK5" s="440" t="n">
        <v>80</v>
      </c>
      <c r="AL5" s="440" t="n">
        <v>80</v>
      </c>
      <c r="AM5" s="441" t="n">
        <v>80</v>
      </c>
      <c r="AN5" s="442" t="n">
        <v>80</v>
      </c>
      <c r="AO5" s="443" t="n">
        <v>80</v>
      </c>
      <c r="AP5" s="443" t="n">
        <v>80</v>
      </c>
      <c r="AQ5" s="443" t="n">
        <v>80</v>
      </c>
      <c r="AR5" s="443" t="n">
        <v>80</v>
      </c>
      <c r="AS5" s="443" t="n">
        <v>80</v>
      </c>
      <c r="AT5" s="443" t="n">
        <v>80</v>
      </c>
      <c r="AU5" s="443" t="n">
        <v>80</v>
      </c>
      <c r="AV5" s="443" t="n">
        <v>80</v>
      </c>
      <c r="AW5" s="443" t="n">
        <v>80</v>
      </c>
      <c r="AX5" s="443" t="n">
        <v>80</v>
      </c>
      <c r="AY5" s="444" t="n">
        <v>80</v>
      </c>
      <c r="AZ5" s="445" t="n">
        <v>80</v>
      </c>
      <c r="BA5" s="446" t="n">
        <v>80</v>
      </c>
      <c r="BB5" s="446" t="n">
        <v>80</v>
      </c>
      <c r="BC5" s="446" t="n">
        <v>80</v>
      </c>
      <c r="BD5" s="446" t="n">
        <v>80</v>
      </c>
      <c r="BE5" s="446" t="n">
        <v>80</v>
      </c>
      <c r="BF5" s="446" t="n">
        <v>80</v>
      </c>
      <c r="BG5" s="446" t="n">
        <v>80</v>
      </c>
      <c r="BH5" s="446" t="n">
        <v>80</v>
      </c>
      <c r="BI5" s="446" t="n">
        <v>80</v>
      </c>
      <c r="BJ5" s="446" t="n">
        <v>80</v>
      </c>
      <c r="BK5" s="447" t="n">
        <v>80</v>
      </c>
      <c r="BL5" s="448" t="n">
        <f aca="false">O5</f>
        <v>0</v>
      </c>
      <c r="BM5" s="448" t="n">
        <f aca="false">AA5</f>
        <v>80</v>
      </c>
      <c r="BN5" s="448" t="n">
        <f aca="false">BM5</f>
        <v>80</v>
      </c>
      <c r="BO5" s="448" t="n">
        <f aca="false">BN5</f>
        <v>80</v>
      </c>
      <c r="BP5" s="448" t="n">
        <f aca="false">BO5</f>
        <v>80</v>
      </c>
      <c r="BQ5" s="200"/>
      <c r="BR5" s="196"/>
      <c r="BS5" s="196"/>
      <c r="BT5" s="196"/>
    </row>
    <row r="6" customFormat="false" ht="12.75" hidden="false" customHeight="true" outlineLevel="0" collapsed="false">
      <c r="A6" s="230" t="s">
        <v>1698</v>
      </c>
      <c r="B6" s="230"/>
      <c r="C6" s="230"/>
      <c r="D6" s="435" t="n">
        <v>0</v>
      </c>
      <c r="E6" s="435" t="n">
        <v>0</v>
      </c>
      <c r="F6" s="435" t="n">
        <v>0</v>
      </c>
      <c r="G6" s="435" t="n">
        <v>0</v>
      </c>
      <c r="H6" s="435" t="n">
        <v>0</v>
      </c>
      <c r="I6" s="435" t="n">
        <v>0</v>
      </c>
      <c r="J6" s="435" t="n">
        <v>0</v>
      </c>
      <c r="K6" s="435" t="n">
        <v>0</v>
      </c>
      <c r="L6" s="435" t="n">
        <v>0</v>
      </c>
      <c r="M6" s="435" t="n">
        <v>0</v>
      </c>
      <c r="N6" s="435" t="n">
        <v>0</v>
      </c>
      <c r="O6" s="435" t="n">
        <v>0</v>
      </c>
      <c r="P6" s="449" t="n">
        <v>0</v>
      </c>
      <c r="Q6" s="450" t="n">
        <v>0</v>
      </c>
      <c r="R6" s="450" t="n">
        <v>0</v>
      </c>
      <c r="S6" s="450" t="n">
        <v>0</v>
      </c>
      <c r="T6" s="450" t="n">
        <v>0</v>
      </c>
      <c r="U6" s="450" t="n">
        <v>0</v>
      </c>
      <c r="V6" s="450" t="n">
        <v>0</v>
      </c>
      <c r="W6" s="450" t="n">
        <v>0</v>
      </c>
      <c r="X6" s="450" t="n">
        <v>0</v>
      </c>
      <c r="Y6" s="450" t="n">
        <v>0</v>
      </c>
      <c r="Z6" s="450" t="n">
        <v>0</v>
      </c>
      <c r="AA6" s="451" t="n">
        <v>0</v>
      </c>
      <c r="AB6" s="439" t="n">
        <v>0</v>
      </c>
      <c r="AC6" s="440" t="n">
        <v>0</v>
      </c>
      <c r="AD6" s="440" t="n">
        <v>0</v>
      </c>
      <c r="AE6" s="440" t="n">
        <v>0</v>
      </c>
      <c r="AF6" s="440" t="n">
        <v>0</v>
      </c>
      <c r="AG6" s="440" t="n">
        <v>0</v>
      </c>
      <c r="AH6" s="440" t="n">
        <v>0</v>
      </c>
      <c r="AI6" s="440" t="n">
        <v>0</v>
      </c>
      <c r="AJ6" s="440" t="n">
        <v>0</v>
      </c>
      <c r="AK6" s="440" t="n">
        <v>0</v>
      </c>
      <c r="AL6" s="440" t="n">
        <v>0</v>
      </c>
      <c r="AM6" s="441" t="n">
        <v>0</v>
      </c>
      <c r="AN6" s="442" t="n">
        <v>0</v>
      </c>
      <c r="AO6" s="443" t="n">
        <v>0</v>
      </c>
      <c r="AP6" s="443" t="n">
        <v>0</v>
      </c>
      <c r="AQ6" s="443" t="n">
        <v>0</v>
      </c>
      <c r="AR6" s="443" t="n">
        <v>0</v>
      </c>
      <c r="AS6" s="443" t="n">
        <v>0</v>
      </c>
      <c r="AT6" s="443" t="n">
        <v>0</v>
      </c>
      <c r="AU6" s="443" t="n">
        <v>0</v>
      </c>
      <c r="AV6" s="443" t="n">
        <v>0</v>
      </c>
      <c r="AW6" s="443" t="n">
        <v>0</v>
      </c>
      <c r="AX6" s="443" t="n">
        <v>0</v>
      </c>
      <c r="AY6" s="444" t="n">
        <v>0</v>
      </c>
      <c r="AZ6" s="445" t="n">
        <v>0</v>
      </c>
      <c r="BA6" s="446" t="n">
        <v>0</v>
      </c>
      <c r="BB6" s="446" t="n">
        <v>0</v>
      </c>
      <c r="BC6" s="446" t="n">
        <v>0</v>
      </c>
      <c r="BD6" s="446" t="n">
        <v>0</v>
      </c>
      <c r="BE6" s="446" t="n">
        <v>0</v>
      </c>
      <c r="BF6" s="446" t="n">
        <v>0</v>
      </c>
      <c r="BG6" s="446" t="n">
        <v>0</v>
      </c>
      <c r="BH6" s="446" t="n">
        <v>0</v>
      </c>
      <c r="BI6" s="446" t="n">
        <v>0</v>
      </c>
      <c r="BJ6" s="446" t="n">
        <v>0</v>
      </c>
      <c r="BK6" s="447" t="n">
        <v>0</v>
      </c>
      <c r="BL6" s="448" t="n">
        <f aca="false">O6</f>
        <v>0</v>
      </c>
      <c r="BM6" s="448" t="n">
        <f aca="false">BL6</f>
        <v>0</v>
      </c>
      <c r="BN6" s="448" t="n">
        <f aca="false">BM6</f>
        <v>0</v>
      </c>
      <c r="BO6" s="448" t="n">
        <f aca="false">BN6</f>
        <v>0</v>
      </c>
      <c r="BP6" s="448" t="n">
        <f aca="false">BO6</f>
        <v>0</v>
      </c>
      <c r="BQ6" s="200"/>
      <c r="BR6" s="196"/>
      <c r="BS6" s="196"/>
      <c r="BT6" s="196"/>
    </row>
    <row r="7" customFormat="false" ht="12.75" hidden="false" customHeight="true" outlineLevel="0" collapsed="false">
      <c r="A7" s="230" t="s">
        <v>1699</v>
      </c>
      <c r="B7" s="230"/>
      <c r="C7" s="230"/>
      <c r="D7" s="435" t="n">
        <v>0</v>
      </c>
      <c r="E7" s="435" t="n">
        <v>0</v>
      </c>
      <c r="F7" s="435" t="n">
        <v>0</v>
      </c>
      <c r="G7" s="435" t="n">
        <v>0</v>
      </c>
      <c r="H7" s="435" t="n">
        <v>0</v>
      </c>
      <c r="I7" s="435" t="n">
        <v>0</v>
      </c>
      <c r="J7" s="435" t="n">
        <v>0</v>
      </c>
      <c r="K7" s="435" t="n">
        <v>0</v>
      </c>
      <c r="L7" s="435" t="n">
        <v>0</v>
      </c>
      <c r="M7" s="435" t="n">
        <v>0</v>
      </c>
      <c r="N7" s="435" t="n">
        <v>0</v>
      </c>
      <c r="O7" s="435" t="n">
        <v>0</v>
      </c>
      <c r="P7" s="449" t="n">
        <v>0</v>
      </c>
      <c r="Q7" s="450" t="n">
        <v>0</v>
      </c>
      <c r="R7" s="450" t="n">
        <v>0</v>
      </c>
      <c r="S7" s="450" t="n">
        <v>0</v>
      </c>
      <c r="T7" s="450" t="n">
        <v>0</v>
      </c>
      <c r="U7" s="450" t="n">
        <v>0</v>
      </c>
      <c r="V7" s="450" t="n">
        <v>0</v>
      </c>
      <c r="W7" s="450" t="n">
        <v>0</v>
      </c>
      <c r="X7" s="450" t="n">
        <v>0</v>
      </c>
      <c r="Y7" s="450" t="n">
        <v>0</v>
      </c>
      <c r="Z7" s="450" t="n">
        <v>0</v>
      </c>
      <c r="AA7" s="451" t="n">
        <v>0</v>
      </c>
      <c r="AB7" s="439" t="n">
        <v>0</v>
      </c>
      <c r="AC7" s="440" t="n">
        <v>0</v>
      </c>
      <c r="AD7" s="440" t="n">
        <v>0</v>
      </c>
      <c r="AE7" s="440" t="n">
        <v>0</v>
      </c>
      <c r="AF7" s="440" t="n">
        <v>0</v>
      </c>
      <c r="AG7" s="440" t="n">
        <v>0</v>
      </c>
      <c r="AH7" s="440" t="n">
        <v>0</v>
      </c>
      <c r="AI7" s="440" t="n">
        <v>0</v>
      </c>
      <c r="AJ7" s="440" t="n">
        <v>0</v>
      </c>
      <c r="AK7" s="440" t="n">
        <v>0</v>
      </c>
      <c r="AL7" s="440" t="n">
        <v>0</v>
      </c>
      <c r="AM7" s="441" t="n">
        <v>0</v>
      </c>
      <c r="AN7" s="442" t="n">
        <v>0</v>
      </c>
      <c r="AO7" s="443" t="n">
        <v>0</v>
      </c>
      <c r="AP7" s="443" t="n">
        <v>0</v>
      </c>
      <c r="AQ7" s="443" t="n">
        <v>0</v>
      </c>
      <c r="AR7" s="443" t="n">
        <v>0</v>
      </c>
      <c r="AS7" s="443" t="n">
        <v>0</v>
      </c>
      <c r="AT7" s="443" t="n">
        <v>0</v>
      </c>
      <c r="AU7" s="443" t="n">
        <v>0</v>
      </c>
      <c r="AV7" s="443" t="n">
        <v>0</v>
      </c>
      <c r="AW7" s="443" t="n">
        <v>0</v>
      </c>
      <c r="AX7" s="443" t="n">
        <v>0</v>
      </c>
      <c r="AY7" s="444" t="n">
        <v>0</v>
      </c>
      <c r="AZ7" s="445" t="n">
        <v>0</v>
      </c>
      <c r="BA7" s="446" t="n">
        <v>0</v>
      </c>
      <c r="BB7" s="446" t="n">
        <v>0</v>
      </c>
      <c r="BC7" s="446" t="n">
        <v>0</v>
      </c>
      <c r="BD7" s="446" t="n">
        <v>0</v>
      </c>
      <c r="BE7" s="446" t="n">
        <v>0</v>
      </c>
      <c r="BF7" s="446" t="n">
        <v>0</v>
      </c>
      <c r="BG7" s="446" t="n">
        <v>0</v>
      </c>
      <c r="BH7" s="446" t="n">
        <v>0</v>
      </c>
      <c r="BI7" s="446" t="n">
        <v>0</v>
      </c>
      <c r="BJ7" s="446" t="n">
        <v>0</v>
      </c>
      <c r="BK7" s="447" t="n">
        <v>0</v>
      </c>
      <c r="BL7" s="448" t="n">
        <f aca="false">O7</f>
        <v>0</v>
      </c>
      <c r="BM7" s="448" t="n">
        <f aca="false">BL7</f>
        <v>0</v>
      </c>
      <c r="BN7" s="448" t="n">
        <f aca="false">BM7</f>
        <v>0</v>
      </c>
      <c r="BO7" s="448" t="n">
        <f aca="false">BN7</f>
        <v>0</v>
      </c>
      <c r="BP7" s="448" t="n">
        <f aca="false">BO7</f>
        <v>0</v>
      </c>
      <c r="BQ7" s="200"/>
      <c r="BR7" s="196"/>
      <c r="BS7" s="196"/>
      <c r="BT7" s="196"/>
    </row>
    <row r="8" customFormat="false" ht="12.75" hidden="false" customHeight="true" outlineLevel="0" collapsed="false">
      <c r="A8" s="230" t="s">
        <v>1700</v>
      </c>
      <c r="B8" s="230"/>
      <c r="C8" s="230"/>
      <c r="D8" s="435" t="n">
        <v>0</v>
      </c>
      <c r="E8" s="435" t="n">
        <f aca="false">D8</f>
        <v>0</v>
      </c>
      <c r="F8" s="435" t="n">
        <f aca="false">E8</f>
        <v>0</v>
      </c>
      <c r="G8" s="435" t="n">
        <v>0</v>
      </c>
      <c r="H8" s="435" t="n">
        <v>0</v>
      </c>
      <c r="I8" s="435" t="n">
        <v>0</v>
      </c>
      <c r="J8" s="435" t="n">
        <v>0</v>
      </c>
      <c r="K8" s="435" t="n">
        <v>0</v>
      </c>
      <c r="L8" s="435" t="n">
        <v>0</v>
      </c>
      <c r="M8" s="435" t="n">
        <v>0</v>
      </c>
      <c r="N8" s="435" t="n">
        <v>0</v>
      </c>
      <c r="O8" s="435" t="n">
        <v>0</v>
      </c>
      <c r="P8" s="449" t="n">
        <v>0</v>
      </c>
      <c r="Q8" s="450" t="n">
        <v>0</v>
      </c>
      <c r="R8" s="450" t="n">
        <v>0</v>
      </c>
      <c r="S8" s="450" t="n">
        <v>0</v>
      </c>
      <c r="T8" s="450" t="n">
        <v>0</v>
      </c>
      <c r="U8" s="450" t="n">
        <v>0</v>
      </c>
      <c r="V8" s="450" t="n">
        <v>0</v>
      </c>
      <c r="W8" s="450" t="n">
        <v>0</v>
      </c>
      <c r="X8" s="450" t="n">
        <v>0</v>
      </c>
      <c r="Y8" s="450" t="n">
        <v>0</v>
      </c>
      <c r="Z8" s="450" t="n">
        <v>0</v>
      </c>
      <c r="AA8" s="451" t="n">
        <v>0</v>
      </c>
      <c r="AB8" s="439" t="n">
        <v>0</v>
      </c>
      <c r="AC8" s="440" t="n">
        <v>0</v>
      </c>
      <c r="AD8" s="440" t="n">
        <v>0</v>
      </c>
      <c r="AE8" s="440" t="n">
        <v>0</v>
      </c>
      <c r="AF8" s="440" t="n">
        <v>0</v>
      </c>
      <c r="AG8" s="440" t="n">
        <v>0</v>
      </c>
      <c r="AH8" s="440" t="n">
        <v>0</v>
      </c>
      <c r="AI8" s="440" t="n">
        <v>0</v>
      </c>
      <c r="AJ8" s="440" t="n">
        <v>0</v>
      </c>
      <c r="AK8" s="440" t="n">
        <v>0</v>
      </c>
      <c r="AL8" s="440" t="n">
        <v>0</v>
      </c>
      <c r="AM8" s="441" t="n">
        <v>0</v>
      </c>
      <c r="AN8" s="442" t="n">
        <v>0</v>
      </c>
      <c r="AO8" s="443" t="n">
        <v>0</v>
      </c>
      <c r="AP8" s="443" t="n">
        <v>0</v>
      </c>
      <c r="AQ8" s="443" t="n">
        <v>0</v>
      </c>
      <c r="AR8" s="443" t="n">
        <v>0</v>
      </c>
      <c r="AS8" s="443" t="n">
        <v>0</v>
      </c>
      <c r="AT8" s="443" t="n">
        <v>0</v>
      </c>
      <c r="AU8" s="443" t="n">
        <v>0</v>
      </c>
      <c r="AV8" s="443" t="n">
        <v>0</v>
      </c>
      <c r="AW8" s="443" t="n">
        <v>0</v>
      </c>
      <c r="AX8" s="443" t="n">
        <v>0</v>
      </c>
      <c r="AY8" s="444" t="n">
        <v>0</v>
      </c>
      <c r="AZ8" s="445" t="n">
        <v>0</v>
      </c>
      <c r="BA8" s="446" t="n">
        <v>0</v>
      </c>
      <c r="BB8" s="446" t="n">
        <v>0</v>
      </c>
      <c r="BC8" s="446" t="n">
        <v>0</v>
      </c>
      <c r="BD8" s="446" t="n">
        <v>0</v>
      </c>
      <c r="BE8" s="446" t="n">
        <v>0</v>
      </c>
      <c r="BF8" s="446" t="n">
        <v>0</v>
      </c>
      <c r="BG8" s="446" t="n">
        <v>0</v>
      </c>
      <c r="BH8" s="446" t="n">
        <v>0</v>
      </c>
      <c r="BI8" s="446" t="n">
        <v>0</v>
      </c>
      <c r="BJ8" s="446" t="n">
        <v>0</v>
      </c>
      <c r="BK8" s="447" t="n">
        <v>0</v>
      </c>
      <c r="BL8" s="448" t="n">
        <f aca="false">O8</f>
        <v>0</v>
      </c>
      <c r="BM8" s="448" t="n">
        <f aca="false">BL8</f>
        <v>0</v>
      </c>
      <c r="BN8" s="448" t="n">
        <v>1</v>
      </c>
      <c r="BO8" s="448" t="n">
        <f aca="false">BN8</f>
        <v>1</v>
      </c>
      <c r="BP8" s="448" t="n">
        <f aca="false">BO8</f>
        <v>1</v>
      </c>
      <c r="BQ8" s="200"/>
      <c r="BR8" s="196"/>
      <c r="BS8" s="196"/>
      <c r="BT8" s="196"/>
    </row>
    <row r="9" customFormat="false" ht="12.75" hidden="false" customHeight="true" outlineLevel="0" collapsed="false">
      <c r="A9" s="230"/>
      <c r="B9" s="230"/>
      <c r="C9" s="230"/>
      <c r="D9" s="435" t="n">
        <v>0</v>
      </c>
      <c r="E9" s="435" t="n">
        <v>0</v>
      </c>
      <c r="F9" s="435" t="n">
        <v>0</v>
      </c>
      <c r="G9" s="435" t="n">
        <v>0</v>
      </c>
      <c r="H9" s="435" t="n">
        <v>0</v>
      </c>
      <c r="I9" s="435" t="n">
        <v>0</v>
      </c>
      <c r="J9" s="435" t="n">
        <v>0</v>
      </c>
      <c r="K9" s="435" t="n">
        <v>0</v>
      </c>
      <c r="L9" s="435" t="n">
        <v>0</v>
      </c>
      <c r="M9" s="435" t="n">
        <v>0</v>
      </c>
      <c r="N9" s="435" t="n">
        <v>0</v>
      </c>
      <c r="O9" s="452" t="n">
        <v>0</v>
      </c>
      <c r="P9" s="449" t="n">
        <v>0</v>
      </c>
      <c r="Q9" s="450" t="n">
        <v>0</v>
      </c>
      <c r="R9" s="450" t="n">
        <v>0</v>
      </c>
      <c r="S9" s="450" t="n">
        <v>0</v>
      </c>
      <c r="T9" s="450" t="n">
        <v>0</v>
      </c>
      <c r="U9" s="450" t="n">
        <v>0</v>
      </c>
      <c r="V9" s="450" t="n">
        <v>0</v>
      </c>
      <c r="W9" s="450" t="n">
        <v>0</v>
      </c>
      <c r="X9" s="450" t="n">
        <v>0</v>
      </c>
      <c r="Y9" s="450" t="n">
        <v>0</v>
      </c>
      <c r="Z9" s="450" t="n">
        <v>0</v>
      </c>
      <c r="AA9" s="451" t="n">
        <v>0</v>
      </c>
      <c r="AB9" s="439" t="n">
        <v>0</v>
      </c>
      <c r="AC9" s="440" t="n">
        <v>0</v>
      </c>
      <c r="AD9" s="440" t="n">
        <v>0</v>
      </c>
      <c r="AE9" s="440" t="n">
        <v>0</v>
      </c>
      <c r="AF9" s="440" t="n">
        <v>0</v>
      </c>
      <c r="AG9" s="440" t="n">
        <v>0</v>
      </c>
      <c r="AH9" s="440" t="n">
        <v>0</v>
      </c>
      <c r="AI9" s="440" t="n">
        <v>0</v>
      </c>
      <c r="AJ9" s="440" t="n">
        <v>0</v>
      </c>
      <c r="AK9" s="440" t="n">
        <v>0</v>
      </c>
      <c r="AL9" s="440" t="n">
        <f aca="false">AK9</f>
        <v>0</v>
      </c>
      <c r="AM9" s="441" t="n">
        <f aca="false">AL9</f>
        <v>0</v>
      </c>
      <c r="AN9" s="442" t="n">
        <v>0</v>
      </c>
      <c r="AO9" s="443" t="n">
        <f aca="false">AN9</f>
        <v>0</v>
      </c>
      <c r="AP9" s="443" t="n">
        <f aca="false">AO9</f>
        <v>0</v>
      </c>
      <c r="AQ9" s="443" t="n">
        <f aca="false">AP9</f>
        <v>0</v>
      </c>
      <c r="AR9" s="443" t="n">
        <f aca="false">AQ9</f>
        <v>0</v>
      </c>
      <c r="AS9" s="443" t="n">
        <f aca="false">AR9</f>
        <v>0</v>
      </c>
      <c r="AT9" s="443" t="n">
        <f aca="false">AS9</f>
        <v>0</v>
      </c>
      <c r="AU9" s="443" t="n">
        <f aca="false">AT9</f>
        <v>0</v>
      </c>
      <c r="AV9" s="443" t="n">
        <f aca="false">AU9</f>
        <v>0</v>
      </c>
      <c r="AW9" s="443" t="n">
        <f aca="false">AV9</f>
        <v>0</v>
      </c>
      <c r="AX9" s="443" t="n">
        <f aca="false">AW9</f>
        <v>0</v>
      </c>
      <c r="AY9" s="444" t="n">
        <f aca="false">AX9</f>
        <v>0</v>
      </c>
      <c r="AZ9" s="445" t="n">
        <v>0</v>
      </c>
      <c r="BA9" s="446" t="n">
        <v>0</v>
      </c>
      <c r="BB9" s="446" t="n">
        <v>0</v>
      </c>
      <c r="BC9" s="446" t="n">
        <v>0</v>
      </c>
      <c r="BD9" s="446" t="n">
        <v>0</v>
      </c>
      <c r="BE9" s="446" t="n">
        <v>0</v>
      </c>
      <c r="BF9" s="446" t="n">
        <v>0</v>
      </c>
      <c r="BG9" s="446" t="n">
        <v>0</v>
      </c>
      <c r="BH9" s="446" t="n">
        <v>0</v>
      </c>
      <c r="BI9" s="446" t="n">
        <v>0</v>
      </c>
      <c r="BJ9" s="446" t="n">
        <v>0</v>
      </c>
      <c r="BK9" s="447" t="n">
        <v>0</v>
      </c>
      <c r="BL9" s="448" t="n">
        <f aca="false">O9</f>
        <v>0</v>
      </c>
      <c r="BM9" s="448" t="n">
        <f aca="false">BL9</f>
        <v>0</v>
      </c>
      <c r="BN9" s="448" t="n">
        <f aca="false">BM9</f>
        <v>0</v>
      </c>
      <c r="BO9" s="448" t="n">
        <f aca="false">BN9</f>
        <v>0</v>
      </c>
      <c r="BP9" s="448" t="n">
        <f aca="false">BO9</f>
        <v>0</v>
      </c>
      <c r="BQ9" s="200"/>
      <c r="BR9" s="196"/>
      <c r="BS9" s="196"/>
      <c r="BT9" s="196"/>
    </row>
    <row r="10" customFormat="false" ht="12.75" hidden="false" customHeight="true" outlineLevel="0" collapsed="false">
      <c r="A10" s="230"/>
      <c r="B10" s="230"/>
      <c r="C10" s="230"/>
      <c r="D10" s="435" t="n">
        <v>0</v>
      </c>
      <c r="E10" s="435" t="n">
        <f aca="false">D10</f>
        <v>0</v>
      </c>
      <c r="F10" s="435" t="n">
        <f aca="false">E10</f>
        <v>0</v>
      </c>
      <c r="G10" s="435" t="n">
        <v>0</v>
      </c>
      <c r="H10" s="435" t="n">
        <f aca="false">G10</f>
        <v>0</v>
      </c>
      <c r="I10" s="435" t="n">
        <f aca="false">H10</f>
        <v>0</v>
      </c>
      <c r="J10" s="435" t="n">
        <f aca="false">I10</f>
        <v>0</v>
      </c>
      <c r="K10" s="435" t="n">
        <f aca="false">J10</f>
        <v>0</v>
      </c>
      <c r="L10" s="435" t="n">
        <f aca="false">K10</f>
        <v>0</v>
      </c>
      <c r="M10" s="435" t="n">
        <f aca="false">L10</f>
        <v>0</v>
      </c>
      <c r="N10" s="435" t="n">
        <f aca="false">M10</f>
        <v>0</v>
      </c>
      <c r="O10" s="452" t="n">
        <f aca="false">N10</f>
        <v>0</v>
      </c>
      <c r="P10" s="449" t="n">
        <v>0</v>
      </c>
      <c r="Q10" s="450" t="n">
        <f aca="false">P10</f>
        <v>0</v>
      </c>
      <c r="R10" s="450" t="n">
        <f aca="false">Q10</f>
        <v>0</v>
      </c>
      <c r="S10" s="450" t="n">
        <f aca="false">R10</f>
        <v>0</v>
      </c>
      <c r="T10" s="450" t="n">
        <f aca="false">S10</f>
        <v>0</v>
      </c>
      <c r="U10" s="450" t="n">
        <f aca="false">T10</f>
        <v>0</v>
      </c>
      <c r="V10" s="450" t="n">
        <f aca="false">U10</f>
        <v>0</v>
      </c>
      <c r="W10" s="450" t="n">
        <f aca="false">V10</f>
        <v>0</v>
      </c>
      <c r="X10" s="450" t="n">
        <f aca="false">W10</f>
        <v>0</v>
      </c>
      <c r="Y10" s="450" t="n">
        <f aca="false">X10</f>
        <v>0</v>
      </c>
      <c r="Z10" s="450" t="n">
        <f aca="false">Y10</f>
        <v>0</v>
      </c>
      <c r="AA10" s="451" t="n">
        <f aca="false">Z10</f>
        <v>0</v>
      </c>
      <c r="AB10" s="439" t="n">
        <v>0</v>
      </c>
      <c r="AC10" s="440" t="n">
        <f aca="false">AB10</f>
        <v>0</v>
      </c>
      <c r="AD10" s="440" t="n">
        <f aca="false">AC10</f>
        <v>0</v>
      </c>
      <c r="AE10" s="440" t="n">
        <f aca="false">AD10</f>
        <v>0</v>
      </c>
      <c r="AF10" s="440" t="n">
        <f aca="false">AE10</f>
        <v>0</v>
      </c>
      <c r="AG10" s="440" t="n">
        <f aca="false">AF10</f>
        <v>0</v>
      </c>
      <c r="AH10" s="440" t="n">
        <f aca="false">AG10</f>
        <v>0</v>
      </c>
      <c r="AI10" s="440" t="n">
        <f aca="false">AH10</f>
        <v>0</v>
      </c>
      <c r="AJ10" s="440" t="n">
        <f aca="false">AI10</f>
        <v>0</v>
      </c>
      <c r="AK10" s="440" t="n">
        <f aca="false">AJ10</f>
        <v>0</v>
      </c>
      <c r="AL10" s="440" t="n">
        <f aca="false">AK10</f>
        <v>0</v>
      </c>
      <c r="AM10" s="441" t="n">
        <f aca="false">AL10</f>
        <v>0</v>
      </c>
      <c r="AN10" s="442" t="n">
        <v>0</v>
      </c>
      <c r="AO10" s="443" t="n">
        <f aca="false">AN10</f>
        <v>0</v>
      </c>
      <c r="AP10" s="443" t="n">
        <f aca="false">AO10</f>
        <v>0</v>
      </c>
      <c r="AQ10" s="443" t="n">
        <f aca="false">AP10</f>
        <v>0</v>
      </c>
      <c r="AR10" s="443" t="n">
        <f aca="false">AQ10</f>
        <v>0</v>
      </c>
      <c r="AS10" s="443" t="n">
        <f aca="false">AR10</f>
        <v>0</v>
      </c>
      <c r="AT10" s="443" t="n">
        <f aca="false">AS10</f>
        <v>0</v>
      </c>
      <c r="AU10" s="443" t="n">
        <f aca="false">AT10</f>
        <v>0</v>
      </c>
      <c r="AV10" s="443" t="n">
        <f aca="false">AU10</f>
        <v>0</v>
      </c>
      <c r="AW10" s="443" t="n">
        <f aca="false">AV10</f>
        <v>0</v>
      </c>
      <c r="AX10" s="443" t="n">
        <f aca="false">AW10</f>
        <v>0</v>
      </c>
      <c r="AY10" s="444" t="n">
        <f aca="false">AX10</f>
        <v>0</v>
      </c>
      <c r="AZ10" s="445" t="n">
        <v>0</v>
      </c>
      <c r="BA10" s="446" t="n">
        <v>0</v>
      </c>
      <c r="BB10" s="446" t="n">
        <v>0</v>
      </c>
      <c r="BC10" s="446" t="n">
        <v>0</v>
      </c>
      <c r="BD10" s="446" t="n">
        <v>0</v>
      </c>
      <c r="BE10" s="446" t="n">
        <v>0</v>
      </c>
      <c r="BF10" s="446" t="n">
        <v>0</v>
      </c>
      <c r="BG10" s="446" t="n">
        <v>0</v>
      </c>
      <c r="BH10" s="446" t="n">
        <v>0</v>
      </c>
      <c r="BI10" s="446" t="n">
        <v>0</v>
      </c>
      <c r="BJ10" s="446" t="n">
        <v>0</v>
      </c>
      <c r="BK10" s="447" t="n">
        <v>0</v>
      </c>
      <c r="BL10" s="448" t="n">
        <f aca="false">O10</f>
        <v>0</v>
      </c>
      <c r="BM10" s="448" t="n">
        <f aca="false">BL10</f>
        <v>0</v>
      </c>
      <c r="BN10" s="448" t="n">
        <f aca="false">BM10</f>
        <v>0</v>
      </c>
      <c r="BO10" s="448" t="n">
        <f aca="false">BN10</f>
        <v>0</v>
      </c>
      <c r="BP10" s="448" t="n">
        <f aca="false">BO10</f>
        <v>0</v>
      </c>
      <c r="BQ10" s="200"/>
      <c r="BR10" s="196"/>
      <c r="BS10" s="196"/>
      <c r="BT10" s="196"/>
    </row>
    <row r="11" customFormat="false" ht="12.75" hidden="false" customHeight="true" outlineLevel="0" collapsed="false">
      <c r="A11" s="230"/>
      <c r="B11" s="230"/>
      <c r="C11" s="230"/>
      <c r="D11" s="435" t="n">
        <v>0</v>
      </c>
      <c r="E11" s="435" t="n">
        <f aca="false">D11</f>
        <v>0</v>
      </c>
      <c r="F11" s="435" t="n">
        <f aca="false">E11</f>
        <v>0</v>
      </c>
      <c r="G11" s="435" t="n">
        <f aca="false">F11</f>
        <v>0</v>
      </c>
      <c r="H11" s="435" t="n">
        <f aca="false">G11</f>
        <v>0</v>
      </c>
      <c r="I11" s="435" t="n">
        <f aca="false">H11</f>
        <v>0</v>
      </c>
      <c r="J11" s="435" t="n">
        <f aca="false">I11</f>
        <v>0</v>
      </c>
      <c r="K11" s="435" t="n">
        <f aca="false">J11</f>
        <v>0</v>
      </c>
      <c r="L11" s="435" t="n">
        <f aca="false">K11</f>
        <v>0</v>
      </c>
      <c r="M11" s="435" t="n">
        <f aca="false">L11</f>
        <v>0</v>
      </c>
      <c r="N11" s="435" t="n">
        <f aca="false">M11</f>
        <v>0</v>
      </c>
      <c r="O11" s="452" t="n">
        <f aca="false">N11</f>
        <v>0</v>
      </c>
      <c r="P11" s="449" t="n">
        <v>0</v>
      </c>
      <c r="Q11" s="450" t="n">
        <f aca="false">P11</f>
        <v>0</v>
      </c>
      <c r="R11" s="450" t="n">
        <f aca="false">Q11</f>
        <v>0</v>
      </c>
      <c r="S11" s="450" t="n">
        <f aca="false">R11</f>
        <v>0</v>
      </c>
      <c r="T11" s="450" t="n">
        <f aca="false">S11</f>
        <v>0</v>
      </c>
      <c r="U11" s="450" t="n">
        <f aca="false">T11</f>
        <v>0</v>
      </c>
      <c r="V11" s="450" t="n">
        <f aca="false">U11</f>
        <v>0</v>
      </c>
      <c r="W11" s="450" t="n">
        <f aca="false">V11</f>
        <v>0</v>
      </c>
      <c r="X11" s="450" t="n">
        <f aca="false">W11</f>
        <v>0</v>
      </c>
      <c r="Y11" s="450" t="n">
        <f aca="false">X11</f>
        <v>0</v>
      </c>
      <c r="Z11" s="450" t="n">
        <f aca="false">Y11</f>
        <v>0</v>
      </c>
      <c r="AA11" s="451" t="n">
        <f aca="false">Z11</f>
        <v>0</v>
      </c>
      <c r="AB11" s="439" t="n">
        <v>0</v>
      </c>
      <c r="AC11" s="440" t="n">
        <f aca="false">AB11</f>
        <v>0</v>
      </c>
      <c r="AD11" s="440" t="n">
        <f aca="false">AC11</f>
        <v>0</v>
      </c>
      <c r="AE11" s="440" t="n">
        <f aca="false">AD11</f>
        <v>0</v>
      </c>
      <c r="AF11" s="440" t="n">
        <f aca="false">AE11</f>
        <v>0</v>
      </c>
      <c r="AG11" s="440" t="n">
        <f aca="false">AF11</f>
        <v>0</v>
      </c>
      <c r="AH11" s="440" t="n">
        <f aca="false">AG11</f>
        <v>0</v>
      </c>
      <c r="AI11" s="440" t="n">
        <f aca="false">AH11</f>
        <v>0</v>
      </c>
      <c r="AJ11" s="440" t="n">
        <f aca="false">AI11</f>
        <v>0</v>
      </c>
      <c r="AK11" s="440" t="n">
        <f aca="false">AJ11</f>
        <v>0</v>
      </c>
      <c r="AL11" s="440" t="n">
        <f aca="false">AK11</f>
        <v>0</v>
      </c>
      <c r="AM11" s="441" t="n">
        <f aca="false">AL11</f>
        <v>0</v>
      </c>
      <c r="AN11" s="442" t="n">
        <v>0</v>
      </c>
      <c r="AO11" s="443" t="n">
        <f aca="false">AN11</f>
        <v>0</v>
      </c>
      <c r="AP11" s="443" t="n">
        <f aca="false">AO11</f>
        <v>0</v>
      </c>
      <c r="AQ11" s="443" t="n">
        <f aca="false">AP11</f>
        <v>0</v>
      </c>
      <c r="AR11" s="443" t="n">
        <f aca="false">AQ11</f>
        <v>0</v>
      </c>
      <c r="AS11" s="443" t="n">
        <f aca="false">AR11</f>
        <v>0</v>
      </c>
      <c r="AT11" s="443" t="n">
        <f aca="false">AS11</f>
        <v>0</v>
      </c>
      <c r="AU11" s="443" t="n">
        <f aca="false">AT11</f>
        <v>0</v>
      </c>
      <c r="AV11" s="443" t="n">
        <f aca="false">AU11</f>
        <v>0</v>
      </c>
      <c r="AW11" s="443" t="n">
        <f aca="false">AV11</f>
        <v>0</v>
      </c>
      <c r="AX11" s="443" t="n">
        <f aca="false">AW11</f>
        <v>0</v>
      </c>
      <c r="AY11" s="444" t="n">
        <f aca="false">AX11</f>
        <v>0</v>
      </c>
      <c r="AZ11" s="445" t="n">
        <v>0</v>
      </c>
      <c r="BA11" s="446" t="n">
        <v>0</v>
      </c>
      <c r="BB11" s="446" t="n">
        <v>0</v>
      </c>
      <c r="BC11" s="446" t="n">
        <v>0</v>
      </c>
      <c r="BD11" s="446" t="n">
        <v>0</v>
      </c>
      <c r="BE11" s="446" t="n">
        <v>0</v>
      </c>
      <c r="BF11" s="446" t="n">
        <v>0</v>
      </c>
      <c r="BG11" s="446" t="n">
        <v>0</v>
      </c>
      <c r="BH11" s="446" t="n">
        <v>0</v>
      </c>
      <c r="BI11" s="446" t="n">
        <v>0</v>
      </c>
      <c r="BJ11" s="446" t="n">
        <v>0</v>
      </c>
      <c r="BK11" s="447" t="n">
        <v>0</v>
      </c>
      <c r="BL11" s="448" t="n">
        <f aca="false">O11</f>
        <v>0</v>
      </c>
      <c r="BM11" s="448" t="n">
        <f aca="false">BL11</f>
        <v>0</v>
      </c>
      <c r="BN11" s="448" t="n">
        <f aca="false">BM11</f>
        <v>0</v>
      </c>
      <c r="BO11" s="448" t="n">
        <f aca="false">BN11</f>
        <v>0</v>
      </c>
      <c r="BP11" s="448" t="n">
        <f aca="false">BO11</f>
        <v>0</v>
      </c>
      <c r="BQ11" s="200"/>
      <c r="BR11" s="196"/>
      <c r="BS11" s="196"/>
      <c r="BT11" s="196"/>
    </row>
    <row r="12" customFormat="false" ht="12.75" hidden="false" customHeight="true" outlineLevel="0" collapsed="false">
      <c r="A12" s="230"/>
      <c r="B12" s="230"/>
      <c r="C12" s="230"/>
      <c r="D12" s="435" t="n">
        <v>0</v>
      </c>
      <c r="E12" s="435" t="n">
        <f aca="false">D12</f>
        <v>0</v>
      </c>
      <c r="F12" s="435" t="n">
        <f aca="false">E12</f>
        <v>0</v>
      </c>
      <c r="G12" s="435" t="n">
        <f aca="false">F12</f>
        <v>0</v>
      </c>
      <c r="H12" s="435" t="n">
        <f aca="false">G12</f>
        <v>0</v>
      </c>
      <c r="I12" s="435" t="n">
        <f aca="false">H12</f>
        <v>0</v>
      </c>
      <c r="J12" s="435" t="n">
        <f aca="false">I12</f>
        <v>0</v>
      </c>
      <c r="K12" s="435" t="n">
        <f aca="false">J12</f>
        <v>0</v>
      </c>
      <c r="L12" s="435" t="n">
        <f aca="false">K12</f>
        <v>0</v>
      </c>
      <c r="M12" s="435" t="n">
        <f aca="false">L12</f>
        <v>0</v>
      </c>
      <c r="N12" s="435" t="n">
        <f aca="false">M12</f>
        <v>0</v>
      </c>
      <c r="O12" s="452" t="n">
        <f aca="false">N12</f>
        <v>0</v>
      </c>
      <c r="P12" s="449" t="n">
        <v>0</v>
      </c>
      <c r="Q12" s="450" t="n">
        <f aca="false">P12</f>
        <v>0</v>
      </c>
      <c r="R12" s="450" t="n">
        <f aca="false">Q12</f>
        <v>0</v>
      </c>
      <c r="S12" s="450" t="n">
        <f aca="false">R12</f>
        <v>0</v>
      </c>
      <c r="T12" s="450" t="n">
        <f aca="false">S12</f>
        <v>0</v>
      </c>
      <c r="U12" s="450" t="n">
        <f aca="false">T12</f>
        <v>0</v>
      </c>
      <c r="V12" s="450" t="n">
        <f aca="false">U12</f>
        <v>0</v>
      </c>
      <c r="W12" s="450" t="n">
        <f aca="false">V12</f>
        <v>0</v>
      </c>
      <c r="X12" s="450" t="n">
        <f aca="false">W12</f>
        <v>0</v>
      </c>
      <c r="Y12" s="450" t="n">
        <f aca="false">X12</f>
        <v>0</v>
      </c>
      <c r="Z12" s="450" t="n">
        <f aca="false">Y12</f>
        <v>0</v>
      </c>
      <c r="AA12" s="451" t="n">
        <f aca="false">Z12</f>
        <v>0</v>
      </c>
      <c r="AB12" s="439" t="n">
        <v>0</v>
      </c>
      <c r="AC12" s="440" t="n">
        <f aca="false">AB12</f>
        <v>0</v>
      </c>
      <c r="AD12" s="440" t="n">
        <f aca="false">AC12</f>
        <v>0</v>
      </c>
      <c r="AE12" s="440" t="n">
        <f aca="false">AD12</f>
        <v>0</v>
      </c>
      <c r="AF12" s="440" t="n">
        <f aca="false">AE12</f>
        <v>0</v>
      </c>
      <c r="AG12" s="440" t="n">
        <f aca="false">AF12</f>
        <v>0</v>
      </c>
      <c r="AH12" s="440" t="n">
        <f aca="false">AG12</f>
        <v>0</v>
      </c>
      <c r="AI12" s="440" t="n">
        <f aca="false">AH12</f>
        <v>0</v>
      </c>
      <c r="AJ12" s="440" t="n">
        <f aca="false">AI12</f>
        <v>0</v>
      </c>
      <c r="AK12" s="440" t="n">
        <f aca="false">AJ12</f>
        <v>0</v>
      </c>
      <c r="AL12" s="440" t="n">
        <f aca="false">AK12</f>
        <v>0</v>
      </c>
      <c r="AM12" s="441" t="n">
        <f aca="false">AL12</f>
        <v>0</v>
      </c>
      <c r="AN12" s="442" t="n">
        <v>0</v>
      </c>
      <c r="AO12" s="443" t="n">
        <f aca="false">AN12</f>
        <v>0</v>
      </c>
      <c r="AP12" s="443" t="n">
        <f aca="false">AO12</f>
        <v>0</v>
      </c>
      <c r="AQ12" s="443" t="n">
        <f aca="false">AP12</f>
        <v>0</v>
      </c>
      <c r="AR12" s="443" t="n">
        <f aca="false">AQ12</f>
        <v>0</v>
      </c>
      <c r="AS12" s="443" t="n">
        <f aca="false">AR12</f>
        <v>0</v>
      </c>
      <c r="AT12" s="443" t="n">
        <f aca="false">AS12</f>
        <v>0</v>
      </c>
      <c r="AU12" s="443" t="n">
        <f aca="false">AT12</f>
        <v>0</v>
      </c>
      <c r="AV12" s="443" t="n">
        <f aca="false">AU12</f>
        <v>0</v>
      </c>
      <c r="AW12" s="443" t="n">
        <f aca="false">AV12</f>
        <v>0</v>
      </c>
      <c r="AX12" s="443" t="n">
        <f aca="false">AW12</f>
        <v>0</v>
      </c>
      <c r="AY12" s="444" t="n">
        <f aca="false">AX12</f>
        <v>0</v>
      </c>
      <c r="AZ12" s="445" t="n">
        <v>0</v>
      </c>
      <c r="BA12" s="446" t="n">
        <v>0</v>
      </c>
      <c r="BB12" s="446" t="n">
        <v>0</v>
      </c>
      <c r="BC12" s="446" t="n">
        <v>0</v>
      </c>
      <c r="BD12" s="446" t="n">
        <v>0</v>
      </c>
      <c r="BE12" s="446" t="n">
        <v>0</v>
      </c>
      <c r="BF12" s="446" t="n">
        <v>0</v>
      </c>
      <c r="BG12" s="446" t="n">
        <v>0</v>
      </c>
      <c r="BH12" s="446" t="n">
        <v>0</v>
      </c>
      <c r="BI12" s="446" t="n">
        <v>0</v>
      </c>
      <c r="BJ12" s="446" t="n">
        <v>0</v>
      </c>
      <c r="BK12" s="447" t="n">
        <v>0</v>
      </c>
      <c r="BL12" s="448" t="n">
        <f aca="false">O12</f>
        <v>0</v>
      </c>
      <c r="BM12" s="448" t="n">
        <f aca="false">BL12</f>
        <v>0</v>
      </c>
      <c r="BN12" s="448" t="n">
        <f aca="false">BM12</f>
        <v>0</v>
      </c>
      <c r="BO12" s="448" t="n">
        <f aca="false">BN12</f>
        <v>0</v>
      </c>
      <c r="BP12" s="448" t="n">
        <f aca="false">BO12</f>
        <v>0</v>
      </c>
      <c r="BQ12" s="200"/>
      <c r="BR12" s="196"/>
      <c r="BS12" s="196"/>
      <c r="BT12" s="196"/>
    </row>
    <row r="13" s="434" customFormat="true" ht="13.5" hidden="false" customHeight="true" outlineLevel="0" collapsed="false">
      <c r="A13" s="453"/>
      <c r="B13" s="453"/>
      <c r="C13" s="453"/>
      <c r="D13" s="435" t="n">
        <v>0</v>
      </c>
      <c r="E13" s="435" t="n">
        <f aca="false">D13</f>
        <v>0</v>
      </c>
      <c r="F13" s="435" t="n">
        <f aca="false">E13</f>
        <v>0</v>
      </c>
      <c r="G13" s="435" t="n">
        <f aca="false">F13</f>
        <v>0</v>
      </c>
      <c r="H13" s="435" t="n">
        <f aca="false">G13</f>
        <v>0</v>
      </c>
      <c r="I13" s="435" t="n">
        <f aca="false">H13</f>
        <v>0</v>
      </c>
      <c r="J13" s="435" t="n">
        <f aca="false">I13</f>
        <v>0</v>
      </c>
      <c r="K13" s="435" t="n">
        <f aca="false">J13</f>
        <v>0</v>
      </c>
      <c r="L13" s="435" t="n">
        <f aca="false">K13</f>
        <v>0</v>
      </c>
      <c r="M13" s="435" t="n">
        <f aca="false">L13</f>
        <v>0</v>
      </c>
      <c r="N13" s="435" t="n">
        <f aca="false">M13</f>
        <v>0</v>
      </c>
      <c r="O13" s="452" t="n">
        <f aca="false">N13</f>
        <v>0</v>
      </c>
      <c r="P13" s="454" t="n">
        <v>0</v>
      </c>
      <c r="Q13" s="455" t="n">
        <f aca="false">P13</f>
        <v>0</v>
      </c>
      <c r="R13" s="455" t="n">
        <f aca="false">Q13</f>
        <v>0</v>
      </c>
      <c r="S13" s="455" t="n">
        <f aca="false">R13</f>
        <v>0</v>
      </c>
      <c r="T13" s="455" t="n">
        <f aca="false">S13</f>
        <v>0</v>
      </c>
      <c r="U13" s="455" t="n">
        <f aca="false">T13</f>
        <v>0</v>
      </c>
      <c r="V13" s="455" t="n">
        <f aca="false">U13</f>
        <v>0</v>
      </c>
      <c r="W13" s="455" t="n">
        <f aca="false">V13</f>
        <v>0</v>
      </c>
      <c r="X13" s="455" t="n">
        <f aca="false">W13</f>
        <v>0</v>
      </c>
      <c r="Y13" s="455" t="n">
        <f aca="false">X13</f>
        <v>0</v>
      </c>
      <c r="Z13" s="455" t="n">
        <f aca="false">Y13</f>
        <v>0</v>
      </c>
      <c r="AA13" s="456" t="n">
        <f aca="false">Z13</f>
        <v>0</v>
      </c>
      <c r="AB13" s="457" t="n">
        <v>0</v>
      </c>
      <c r="AC13" s="458" t="n">
        <f aca="false">AB13</f>
        <v>0</v>
      </c>
      <c r="AD13" s="458" t="n">
        <f aca="false">AC13</f>
        <v>0</v>
      </c>
      <c r="AE13" s="458" t="n">
        <f aca="false">AD13</f>
        <v>0</v>
      </c>
      <c r="AF13" s="458" t="n">
        <f aca="false">AE13</f>
        <v>0</v>
      </c>
      <c r="AG13" s="458" t="n">
        <f aca="false">AF13</f>
        <v>0</v>
      </c>
      <c r="AH13" s="458" t="n">
        <f aca="false">AG13</f>
        <v>0</v>
      </c>
      <c r="AI13" s="458" t="n">
        <f aca="false">AH13</f>
        <v>0</v>
      </c>
      <c r="AJ13" s="458" t="n">
        <f aca="false">AI13</f>
        <v>0</v>
      </c>
      <c r="AK13" s="458" t="n">
        <f aca="false">AJ13</f>
        <v>0</v>
      </c>
      <c r="AL13" s="458" t="n">
        <f aca="false">AK13</f>
        <v>0</v>
      </c>
      <c r="AM13" s="459" t="n">
        <f aca="false">AL13</f>
        <v>0</v>
      </c>
      <c r="AN13" s="460" t="n">
        <v>0</v>
      </c>
      <c r="AO13" s="461" t="n">
        <f aca="false">AN13</f>
        <v>0</v>
      </c>
      <c r="AP13" s="461" t="n">
        <f aca="false">AO13</f>
        <v>0</v>
      </c>
      <c r="AQ13" s="461" t="n">
        <f aca="false">AP13</f>
        <v>0</v>
      </c>
      <c r="AR13" s="461" t="n">
        <f aca="false">AQ13</f>
        <v>0</v>
      </c>
      <c r="AS13" s="461" t="n">
        <f aca="false">AR13</f>
        <v>0</v>
      </c>
      <c r="AT13" s="461" t="n">
        <f aca="false">AS13</f>
        <v>0</v>
      </c>
      <c r="AU13" s="461" t="n">
        <f aca="false">AT13</f>
        <v>0</v>
      </c>
      <c r="AV13" s="461" t="n">
        <f aca="false">AU13</f>
        <v>0</v>
      </c>
      <c r="AW13" s="461" t="n">
        <f aca="false">AV13</f>
        <v>0</v>
      </c>
      <c r="AX13" s="461" t="n">
        <f aca="false">AW13</f>
        <v>0</v>
      </c>
      <c r="AY13" s="462" t="n">
        <f aca="false">AX13</f>
        <v>0</v>
      </c>
      <c r="AZ13" s="463" t="n">
        <v>0</v>
      </c>
      <c r="BA13" s="464" t="n">
        <v>0</v>
      </c>
      <c r="BB13" s="464" t="n">
        <v>0</v>
      </c>
      <c r="BC13" s="464" t="n">
        <v>0</v>
      </c>
      <c r="BD13" s="464" t="n">
        <v>0</v>
      </c>
      <c r="BE13" s="464" t="n">
        <v>0</v>
      </c>
      <c r="BF13" s="464" t="n">
        <v>0</v>
      </c>
      <c r="BG13" s="464" t="n">
        <v>0</v>
      </c>
      <c r="BH13" s="464" t="n">
        <v>0</v>
      </c>
      <c r="BI13" s="464" t="n">
        <v>0</v>
      </c>
      <c r="BJ13" s="464" t="n">
        <v>0</v>
      </c>
      <c r="BK13" s="465" t="n">
        <v>0</v>
      </c>
      <c r="BL13" s="448" t="n">
        <f aca="false">O13</f>
        <v>0</v>
      </c>
      <c r="BM13" s="466" t="n">
        <f aca="false">BL13</f>
        <v>0</v>
      </c>
      <c r="BN13" s="466" t="n">
        <f aca="false">BM13</f>
        <v>0</v>
      </c>
      <c r="BO13" s="466" t="n">
        <f aca="false">BN13</f>
        <v>0</v>
      </c>
      <c r="BP13" s="466" t="n">
        <f aca="false">BO13</f>
        <v>0</v>
      </c>
      <c r="BQ13" s="200"/>
      <c r="BR13" s="210"/>
      <c r="BS13" s="210"/>
      <c r="BT13" s="210"/>
    </row>
    <row r="14" customFormat="false" ht="13.5" hidden="false" customHeight="true" outlineLevel="0" collapsed="false">
      <c r="A14" s="467" t="s">
        <v>1701</v>
      </c>
      <c r="B14" s="467"/>
      <c r="C14" s="467"/>
      <c r="D14" s="468" t="n">
        <f aca="false">SUM(D3:D13)</f>
        <v>5</v>
      </c>
      <c r="E14" s="468" t="n">
        <f aca="false">SUM(E3:E13)</f>
        <v>9</v>
      </c>
      <c r="F14" s="468" t="n">
        <f aca="false">SUM(F3:F13)</f>
        <v>11</v>
      </c>
      <c r="G14" s="468" t="n">
        <f aca="false">SUM(G3:G13)</f>
        <v>11</v>
      </c>
      <c r="H14" s="468" t="n">
        <f aca="false">SUM(H3:H13)</f>
        <v>11</v>
      </c>
      <c r="I14" s="468" t="n">
        <f aca="false">SUM(I3:I13)</f>
        <v>16</v>
      </c>
      <c r="J14" s="468" t="n">
        <f aca="false">SUM(J3:J13)</f>
        <v>26</v>
      </c>
      <c r="K14" s="468" t="n">
        <f aca="false">SUM(K3:K13)</f>
        <v>31</v>
      </c>
      <c r="L14" s="468" t="n">
        <f aca="false">SUM(L3:L13)</f>
        <v>31</v>
      </c>
      <c r="M14" s="468" t="n">
        <f aca="false">SUM(M3:M13)</f>
        <v>31</v>
      </c>
      <c r="N14" s="468" t="n">
        <f aca="false">SUM(N3:N13)</f>
        <v>31</v>
      </c>
      <c r="O14" s="469" t="n">
        <f aca="false">SUM(O3:O13)</f>
        <v>31</v>
      </c>
      <c r="P14" s="470" t="n">
        <f aca="false">SUM(P3:P13)</f>
        <v>42</v>
      </c>
      <c r="Q14" s="471" t="n">
        <f aca="false">SUM(Q3:Q13)</f>
        <v>52</v>
      </c>
      <c r="R14" s="471" t="n">
        <f aca="false">SUM(R3:R13)</f>
        <v>72</v>
      </c>
      <c r="S14" s="471" t="n">
        <f aca="false">SUM(S3:S13)</f>
        <v>92</v>
      </c>
      <c r="T14" s="471" t="n">
        <f aca="false">SUM(T3:T13)</f>
        <v>112</v>
      </c>
      <c r="U14" s="471" t="n">
        <f aca="false">SUM(U3:U13)</f>
        <v>132</v>
      </c>
      <c r="V14" s="471" t="n">
        <f aca="false">SUM(V3:V13)</f>
        <v>152</v>
      </c>
      <c r="W14" s="471" t="n">
        <f aca="false">SUM(W3:W13)</f>
        <v>162</v>
      </c>
      <c r="X14" s="471" t="n">
        <f aca="false">SUM(X3:X13)</f>
        <v>162</v>
      </c>
      <c r="Y14" s="471" t="n">
        <f aca="false">SUM(Y3:Y13)</f>
        <v>162</v>
      </c>
      <c r="Z14" s="471" t="n">
        <f aca="false">SUM(Z3:Z13)</f>
        <v>162</v>
      </c>
      <c r="AA14" s="472" t="n">
        <f aca="false">SUM(AA3:AA13)</f>
        <v>162</v>
      </c>
      <c r="AB14" s="470" t="n">
        <f aca="false">SUM(AB3:AB13)</f>
        <v>163</v>
      </c>
      <c r="AC14" s="471" t="n">
        <f aca="false">SUM(AC3:AC13)</f>
        <v>163</v>
      </c>
      <c r="AD14" s="471" t="n">
        <f aca="false">SUM(AD3:AD13)</f>
        <v>163</v>
      </c>
      <c r="AE14" s="471" t="n">
        <f aca="false">SUM(AE3:AE13)</f>
        <v>163</v>
      </c>
      <c r="AF14" s="471" t="n">
        <f aca="false">SUM(AF3:AF13)</f>
        <v>163</v>
      </c>
      <c r="AG14" s="471" t="n">
        <f aca="false">SUM(AG3:AG13)</f>
        <v>163</v>
      </c>
      <c r="AH14" s="471" t="n">
        <f aca="false">SUM(AH3:AH13)</f>
        <v>163</v>
      </c>
      <c r="AI14" s="471" t="n">
        <f aca="false">SUM(AI3:AI13)</f>
        <v>163</v>
      </c>
      <c r="AJ14" s="471" t="n">
        <f aca="false">SUM(AJ3:AJ13)</f>
        <v>163</v>
      </c>
      <c r="AK14" s="471" t="n">
        <f aca="false">SUM(AK3:AK13)</f>
        <v>163</v>
      </c>
      <c r="AL14" s="471" t="n">
        <f aca="false">SUM(AL3:AL13)</f>
        <v>163</v>
      </c>
      <c r="AM14" s="472" t="n">
        <f aca="false">SUM(AM3:AM13)</f>
        <v>163</v>
      </c>
      <c r="AN14" s="470" t="n">
        <f aca="false">SUM(AN3:AN13)</f>
        <v>163</v>
      </c>
      <c r="AO14" s="471" t="n">
        <f aca="false">SUM(AO3:AO13)</f>
        <v>163</v>
      </c>
      <c r="AP14" s="471" t="n">
        <f aca="false">SUM(AP3:AP13)</f>
        <v>163</v>
      </c>
      <c r="AQ14" s="471" t="n">
        <f aca="false">SUM(AQ3:AQ13)</f>
        <v>163</v>
      </c>
      <c r="AR14" s="471" t="n">
        <f aca="false">SUM(AR3:AR13)</f>
        <v>163</v>
      </c>
      <c r="AS14" s="471" t="n">
        <f aca="false">SUM(AS3:AS13)</f>
        <v>163</v>
      </c>
      <c r="AT14" s="471" t="n">
        <f aca="false">SUM(AT3:AT13)</f>
        <v>163</v>
      </c>
      <c r="AU14" s="471" t="n">
        <f aca="false">SUM(AU3:AU13)</f>
        <v>163</v>
      </c>
      <c r="AV14" s="471" t="n">
        <f aca="false">SUM(AV3:AV13)</f>
        <v>163</v>
      </c>
      <c r="AW14" s="471" t="n">
        <f aca="false">SUM(AW3:AW13)</f>
        <v>163</v>
      </c>
      <c r="AX14" s="471" t="n">
        <f aca="false">SUM(AX3:AX13)</f>
        <v>163</v>
      </c>
      <c r="AY14" s="472" t="n">
        <f aca="false">SUM(AY3:AY13)</f>
        <v>163</v>
      </c>
      <c r="AZ14" s="470" t="n">
        <f aca="false">SUM(AZ3:AZ13)</f>
        <v>163</v>
      </c>
      <c r="BA14" s="471" t="n">
        <f aca="false">SUM(BA3:BA13)</f>
        <v>163</v>
      </c>
      <c r="BB14" s="471" t="n">
        <f aca="false">SUM(BB3:BB13)</f>
        <v>163</v>
      </c>
      <c r="BC14" s="471" t="n">
        <f aca="false">SUM(BC3:BC13)</f>
        <v>163</v>
      </c>
      <c r="BD14" s="471" t="n">
        <f aca="false">SUM(BD3:BD13)</f>
        <v>163</v>
      </c>
      <c r="BE14" s="471" t="n">
        <f aca="false">SUM(BE3:BE13)</f>
        <v>163</v>
      </c>
      <c r="BF14" s="471" t="n">
        <f aca="false">SUM(BF3:BF13)</f>
        <v>163</v>
      </c>
      <c r="BG14" s="471" t="n">
        <f aca="false">SUM(BG3:BG13)</f>
        <v>163</v>
      </c>
      <c r="BH14" s="471" t="n">
        <f aca="false">SUM(BH3:BH13)</f>
        <v>163</v>
      </c>
      <c r="BI14" s="471" t="n">
        <f aca="false">SUM(BI3:BI13)</f>
        <v>163</v>
      </c>
      <c r="BJ14" s="471" t="n">
        <f aca="false">SUM(BJ3:BJ13)</f>
        <v>163</v>
      </c>
      <c r="BK14" s="472" t="n">
        <f aca="false">SUM(BK3:BK13)</f>
        <v>163</v>
      </c>
      <c r="BL14" s="473" t="n">
        <f aca="false">SUM(BL3:BL13)</f>
        <v>31</v>
      </c>
      <c r="BM14" s="473" t="n">
        <f aca="false">SUM(BM3:BM13)</f>
        <v>162</v>
      </c>
      <c r="BN14" s="473" t="n">
        <f aca="false">SUM(BN3:BN13)</f>
        <v>164</v>
      </c>
      <c r="BO14" s="473" t="n">
        <f aca="false">SUM(BO3:BO13)</f>
        <v>164</v>
      </c>
      <c r="BP14" s="473" t="n">
        <f aca="false">SUM(BP3:BP13)</f>
        <v>164</v>
      </c>
      <c r="BQ14" s="200"/>
      <c r="BR14" s="196"/>
      <c r="BS14" s="196"/>
      <c r="BT14" s="196" t="s">
        <v>1702</v>
      </c>
    </row>
    <row r="15" customFormat="false" ht="13.5" hidden="false" customHeight="true" outlineLevel="0" collapsed="false">
      <c r="A15" s="230"/>
      <c r="B15" s="204"/>
      <c r="C15" s="196"/>
      <c r="D15" s="196"/>
      <c r="E15" s="196"/>
      <c r="F15" s="196"/>
      <c r="G15" s="196"/>
      <c r="H15" s="196"/>
      <c r="I15" s="196"/>
      <c r="J15" s="196"/>
      <c r="K15" s="196"/>
      <c r="L15" s="196"/>
      <c r="M15" s="196"/>
      <c r="N15" s="196"/>
      <c r="O15" s="218"/>
      <c r="P15" s="474"/>
      <c r="Q15" s="196"/>
      <c r="R15" s="196"/>
      <c r="S15" s="196"/>
      <c r="T15" s="196"/>
      <c r="U15" s="196"/>
      <c r="V15" s="196"/>
      <c r="W15" s="196"/>
      <c r="X15" s="196"/>
      <c r="Y15" s="196"/>
      <c r="Z15" s="196"/>
      <c r="AA15" s="218"/>
      <c r="AB15" s="474"/>
      <c r="AC15" s="196"/>
      <c r="AD15" s="196"/>
      <c r="AE15" s="196"/>
      <c r="AF15" s="196"/>
      <c r="AG15" s="196"/>
      <c r="AH15" s="196"/>
      <c r="AI15" s="196"/>
      <c r="AJ15" s="196"/>
      <c r="AK15" s="196"/>
      <c r="AL15" s="196"/>
      <c r="AM15" s="218"/>
      <c r="AN15" s="474"/>
      <c r="AO15" s="196"/>
      <c r="AP15" s="196"/>
      <c r="AQ15" s="196"/>
      <c r="AR15" s="196"/>
      <c r="AS15" s="196"/>
      <c r="AT15" s="196"/>
      <c r="AU15" s="196"/>
      <c r="AV15" s="196"/>
      <c r="AW15" s="196"/>
      <c r="AX15" s="196"/>
      <c r="AY15" s="218"/>
      <c r="AZ15" s="474"/>
      <c r="BA15" s="196"/>
      <c r="BB15" s="196"/>
      <c r="BC15" s="196"/>
      <c r="BD15" s="196"/>
      <c r="BE15" s="196"/>
      <c r="BF15" s="196"/>
      <c r="BG15" s="196"/>
      <c r="BH15" s="196"/>
      <c r="BI15" s="196"/>
      <c r="BJ15" s="196"/>
      <c r="BK15" s="218"/>
      <c r="BL15" s="474"/>
      <c r="BM15" s="196"/>
      <c r="BN15" s="196"/>
      <c r="BO15" s="196"/>
      <c r="BP15" s="218"/>
      <c r="BQ15" s="200"/>
      <c r="BR15" s="196"/>
      <c r="BS15" s="196"/>
      <c r="BT15" s="196" t="s">
        <v>1703</v>
      </c>
    </row>
    <row r="16" customFormat="false" ht="13.5" hidden="false" customHeight="true" outlineLevel="0" collapsed="false">
      <c r="A16" s="475" t="s">
        <v>1704</v>
      </c>
      <c r="B16" s="476" t="s">
        <v>1705</v>
      </c>
      <c r="C16" s="477" t="s">
        <v>1706</v>
      </c>
      <c r="D16" s="477" t="s">
        <v>1678</v>
      </c>
      <c r="E16" s="477" t="s">
        <v>1679</v>
      </c>
      <c r="F16" s="477" t="s">
        <v>1680</v>
      </c>
      <c r="G16" s="477" t="s">
        <v>1681</v>
      </c>
      <c r="H16" s="477" t="s">
        <v>1682</v>
      </c>
      <c r="I16" s="477" t="s">
        <v>1683</v>
      </c>
      <c r="J16" s="477" t="s">
        <v>1684</v>
      </c>
      <c r="K16" s="477" t="s">
        <v>1685</v>
      </c>
      <c r="L16" s="477" t="s">
        <v>1686</v>
      </c>
      <c r="M16" s="477" t="s">
        <v>1687</v>
      </c>
      <c r="N16" s="477" t="s">
        <v>1688</v>
      </c>
      <c r="O16" s="478" t="s">
        <v>1689</v>
      </c>
      <c r="P16" s="479" t="str">
        <f aca="false">P2</f>
        <v>Month 13</v>
      </c>
      <c r="Q16" s="480" t="str">
        <f aca="false">Q2</f>
        <v>Month 14</v>
      </c>
      <c r="R16" s="480" t="str">
        <f aca="false">R2</f>
        <v>Month 15</v>
      </c>
      <c r="S16" s="480" t="str">
        <f aca="false">S2</f>
        <v>Month 16</v>
      </c>
      <c r="T16" s="480" t="str">
        <f aca="false">T2</f>
        <v>Month 17</v>
      </c>
      <c r="U16" s="480" t="str">
        <f aca="false">U2</f>
        <v>Month 18</v>
      </c>
      <c r="V16" s="480" t="str">
        <f aca="false">V2</f>
        <v>Month 19</v>
      </c>
      <c r="W16" s="480" t="str">
        <f aca="false">W2</f>
        <v>Month 20</v>
      </c>
      <c r="X16" s="480" t="str">
        <f aca="false">X2</f>
        <v>Month 21</v>
      </c>
      <c r="Y16" s="480" t="str">
        <f aca="false">Y2</f>
        <v>Month 22</v>
      </c>
      <c r="Z16" s="480" t="str">
        <f aca="false">Z2</f>
        <v>Month 23</v>
      </c>
      <c r="AA16" s="481" t="str">
        <f aca="false">AA2</f>
        <v>Month 24</v>
      </c>
      <c r="AB16" s="479" t="str">
        <f aca="false">AB2</f>
        <v>Month 25</v>
      </c>
      <c r="AC16" s="480" t="str">
        <f aca="false">AC2</f>
        <v>Month 26</v>
      </c>
      <c r="AD16" s="480" t="str">
        <f aca="false">AD2</f>
        <v>Month 27</v>
      </c>
      <c r="AE16" s="480" t="str">
        <f aca="false">AE2</f>
        <v>Month 28</v>
      </c>
      <c r="AF16" s="480" t="str">
        <f aca="false">AF2</f>
        <v>Month 29</v>
      </c>
      <c r="AG16" s="480" t="str">
        <f aca="false">AG2</f>
        <v>Month 30</v>
      </c>
      <c r="AH16" s="480" t="str">
        <f aca="false">AH2</f>
        <v>Month 31</v>
      </c>
      <c r="AI16" s="480" t="str">
        <f aca="false">AI2</f>
        <v>Month 32</v>
      </c>
      <c r="AJ16" s="480" t="str">
        <f aca="false">AJ2</f>
        <v>Month 33</v>
      </c>
      <c r="AK16" s="480" t="str">
        <f aca="false">AK2</f>
        <v>Month 34</v>
      </c>
      <c r="AL16" s="480" t="str">
        <f aca="false">AL2</f>
        <v>Month 35</v>
      </c>
      <c r="AM16" s="481" t="str">
        <f aca="false">AM2</f>
        <v>Month 36</v>
      </c>
      <c r="AN16" s="479" t="str">
        <f aca="false">AN2</f>
        <v>Month 37</v>
      </c>
      <c r="AO16" s="480" t="str">
        <f aca="false">AO2</f>
        <v>Month 38</v>
      </c>
      <c r="AP16" s="480" t="str">
        <f aca="false">AP2</f>
        <v>Month 39</v>
      </c>
      <c r="AQ16" s="480" t="str">
        <f aca="false">AQ2</f>
        <v>Month 40</v>
      </c>
      <c r="AR16" s="480" t="str">
        <f aca="false">AR2</f>
        <v>Month 41</v>
      </c>
      <c r="AS16" s="480" t="str">
        <f aca="false">AS2</f>
        <v>Month 42</v>
      </c>
      <c r="AT16" s="480" t="str">
        <f aca="false">AT2</f>
        <v>Month 43</v>
      </c>
      <c r="AU16" s="480" t="str">
        <f aca="false">AU2</f>
        <v>Month 44</v>
      </c>
      <c r="AV16" s="480" t="str">
        <f aca="false">AV2</f>
        <v>Month 45</v>
      </c>
      <c r="AW16" s="480" t="str">
        <f aca="false">AW2</f>
        <v>Month 46</v>
      </c>
      <c r="AX16" s="480" t="str">
        <f aca="false">AX2</f>
        <v>Month 47</v>
      </c>
      <c r="AY16" s="481" t="str">
        <f aca="false">AY2</f>
        <v>Month 48</v>
      </c>
      <c r="AZ16" s="479" t="str">
        <f aca="false">AZ2</f>
        <v>Month 49</v>
      </c>
      <c r="BA16" s="480" t="str">
        <f aca="false">BA2</f>
        <v>Month 50</v>
      </c>
      <c r="BB16" s="480" t="str">
        <f aca="false">BB2</f>
        <v>Month 51</v>
      </c>
      <c r="BC16" s="480" t="str">
        <f aca="false">BC2</f>
        <v>Month 52</v>
      </c>
      <c r="BD16" s="480" t="str">
        <f aca="false">BD2</f>
        <v>Month 53</v>
      </c>
      <c r="BE16" s="480" t="str">
        <f aca="false">BE2</f>
        <v>Month 54</v>
      </c>
      <c r="BF16" s="480" t="str">
        <f aca="false">BF2</f>
        <v>Month 55</v>
      </c>
      <c r="BG16" s="480" t="str">
        <f aca="false">BG2</f>
        <v>Month 56</v>
      </c>
      <c r="BH16" s="480" t="str">
        <f aca="false">BH2</f>
        <v>Month 57</v>
      </c>
      <c r="BI16" s="480" t="str">
        <f aca="false">BI2</f>
        <v>Month 58</v>
      </c>
      <c r="BJ16" s="480" t="str">
        <f aca="false">BJ2</f>
        <v>Month 59</v>
      </c>
      <c r="BK16" s="481" t="str">
        <f aca="false">BK2</f>
        <v>Month 60</v>
      </c>
      <c r="BL16" s="433" t="s">
        <v>1690</v>
      </c>
      <c r="BM16" s="433" t="s">
        <v>1691</v>
      </c>
      <c r="BN16" s="433" t="s">
        <v>1692</v>
      </c>
      <c r="BO16" s="433" t="s">
        <v>1693</v>
      </c>
      <c r="BP16" s="433" t="s">
        <v>1694</v>
      </c>
      <c r="BQ16" s="210"/>
      <c r="BR16" s="200"/>
      <c r="BS16" s="196" t="s">
        <v>1707</v>
      </c>
      <c r="BT16" s="196" t="s">
        <v>1708</v>
      </c>
      <c r="BU16" s="196" t="s">
        <v>1709</v>
      </c>
    </row>
    <row r="17" customFormat="false" ht="13.5" hidden="false" customHeight="true" outlineLevel="0" collapsed="false">
      <c r="A17" s="230" t="str">
        <f aca="false">A3</f>
        <v>Trades</v>
      </c>
      <c r="B17" s="196" t="s">
        <v>1703</v>
      </c>
      <c r="C17" s="482" t="n">
        <v>60</v>
      </c>
      <c r="D17" s="483" t="n">
        <f aca="false">D3*$C17*40*52/12</f>
        <v>41600</v>
      </c>
      <c r="E17" s="483" t="n">
        <f aca="false">E3*$C17*40*52/12</f>
        <v>83200</v>
      </c>
      <c r="F17" s="483" t="n">
        <f aca="false">F3*$C17*40*52/12</f>
        <v>104000</v>
      </c>
      <c r="G17" s="483" t="n">
        <f aca="false">G3*$C17*40*52/12</f>
        <v>104000</v>
      </c>
      <c r="H17" s="483" t="n">
        <f aca="false">H3*$C17*40*52/12</f>
        <v>104000</v>
      </c>
      <c r="I17" s="483" t="n">
        <f aca="false">I3*$C17*40*52/12</f>
        <v>156000</v>
      </c>
      <c r="J17" s="483" t="n">
        <f aca="false">J3*$C17*40*52/12</f>
        <v>260000</v>
      </c>
      <c r="K17" s="483" t="n">
        <f aca="false">K3*$C17*40*52/12</f>
        <v>312000</v>
      </c>
      <c r="L17" s="483" t="n">
        <f aca="false">L3*$C17*40*52/12</f>
        <v>312000</v>
      </c>
      <c r="M17" s="483" t="n">
        <f aca="false">M3*$C17*40*52/12</f>
        <v>312000</v>
      </c>
      <c r="N17" s="483" t="n">
        <f aca="false">N3*$C17*40*52/12</f>
        <v>312000</v>
      </c>
      <c r="O17" s="483" t="n">
        <f aca="false">O3*$C17*40*52/12</f>
        <v>312000</v>
      </c>
      <c r="P17" s="484" t="n">
        <f aca="false">P3*$C17*1.05*40*52/12</f>
        <v>327600</v>
      </c>
      <c r="Q17" s="485" t="n">
        <f aca="false">Q3*$C17*1.05*40*52/12</f>
        <v>327600</v>
      </c>
      <c r="R17" s="485" t="n">
        <f aca="false">R3*$C17*1.05*40*52/12</f>
        <v>436800</v>
      </c>
      <c r="S17" s="485" t="n">
        <f aca="false">S3*$C17*1.05*40*52/12</f>
        <v>546000</v>
      </c>
      <c r="T17" s="485" t="n">
        <f aca="false">T3*$C17*1.05*40*52/12</f>
        <v>655200</v>
      </c>
      <c r="U17" s="485" t="n">
        <f aca="false">U3*$C17*1.05*40*52/12</f>
        <v>764400</v>
      </c>
      <c r="V17" s="485" t="n">
        <f aca="false">V3*$C17*1.05*40*52/12</f>
        <v>873600</v>
      </c>
      <c r="W17" s="485" t="n">
        <f aca="false">W3*$C17*1.05*40*52/12</f>
        <v>873600</v>
      </c>
      <c r="X17" s="485" t="n">
        <f aca="false">X3*$C17*1.05*40*52/12</f>
        <v>873600</v>
      </c>
      <c r="Y17" s="485" t="n">
        <f aca="false">Y3*$C17*1.05*40*52/12</f>
        <v>873600</v>
      </c>
      <c r="Z17" s="485" t="n">
        <f aca="false">Z3*$C17*1.05*40*52/12</f>
        <v>873600</v>
      </c>
      <c r="AA17" s="486" t="n">
        <f aca="false">AA3*$C17*1.05*40*52/12</f>
        <v>873600</v>
      </c>
      <c r="AB17" s="487" t="n">
        <f aca="false">AB3*$C17*1.05^2*40*52/12</f>
        <v>917280</v>
      </c>
      <c r="AC17" s="488" t="n">
        <f aca="false">AC3*$C17*1.05^2*40*52/12</f>
        <v>917280</v>
      </c>
      <c r="AD17" s="488" t="n">
        <f aca="false">AD3*$C17*1.05^2*40*52/12</f>
        <v>917280</v>
      </c>
      <c r="AE17" s="488" t="n">
        <f aca="false">AE3*$C17*1.05^2*40*52/12</f>
        <v>917280</v>
      </c>
      <c r="AF17" s="488" t="n">
        <f aca="false">AF3*$C17*1.05^2*40*52/12</f>
        <v>917280</v>
      </c>
      <c r="AG17" s="488" t="n">
        <f aca="false">AG3*$C17*1.05^2*40*52/12</f>
        <v>917280</v>
      </c>
      <c r="AH17" s="488" t="n">
        <f aca="false">AH3*$C17*1.05^2*40*52/12</f>
        <v>917280</v>
      </c>
      <c r="AI17" s="488" t="n">
        <f aca="false">AI3*$C17*1.05^2*40*52/12</f>
        <v>917280</v>
      </c>
      <c r="AJ17" s="488" t="n">
        <f aca="false">AJ3*$C17*1.05^2*40*52/12</f>
        <v>917280</v>
      </c>
      <c r="AK17" s="488" t="n">
        <f aca="false">AK3*$C17*1.05^2*40*52/12</f>
        <v>917280</v>
      </c>
      <c r="AL17" s="488" t="n">
        <f aca="false">AL3*$C17*1.05^2*40*52/12</f>
        <v>917280</v>
      </c>
      <c r="AM17" s="489" t="n">
        <f aca="false">AM3*$C17*1.05^2*40*52/12</f>
        <v>917280</v>
      </c>
      <c r="AN17" s="490" t="n">
        <f aca="false">AN3*$C17*1.05^3*40*52/12</f>
        <v>963144</v>
      </c>
      <c r="AO17" s="491" t="n">
        <f aca="false">AO3*$C17*1.05^3*40*52/12</f>
        <v>963144</v>
      </c>
      <c r="AP17" s="491" t="n">
        <f aca="false">AP3*$C17*1.05^3*40*52/12</f>
        <v>963144</v>
      </c>
      <c r="AQ17" s="491" t="n">
        <f aca="false">AQ3*$C17*1.05^3*40*52/12</f>
        <v>963144</v>
      </c>
      <c r="AR17" s="491" t="n">
        <f aca="false">AR3*$C17*1.05^3*40*52/12</f>
        <v>963144</v>
      </c>
      <c r="AS17" s="491" t="n">
        <f aca="false">AS3*$C17*1.05^3*40*52/12</f>
        <v>963144</v>
      </c>
      <c r="AT17" s="491" t="n">
        <f aca="false">AT3*$C17*1.05^3*40*52/12</f>
        <v>963144</v>
      </c>
      <c r="AU17" s="491" t="n">
        <f aca="false">AU3*$C17*1.05^3*40*52/12</f>
        <v>963144</v>
      </c>
      <c r="AV17" s="491" t="n">
        <f aca="false">AV3*$C17*1.05^3*40*52/12</f>
        <v>963144</v>
      </c>
      <c r="AW17" s="491" t="n">
        <f aca="false">AW3*$C17*1.05^3*40*52/12</f>
        <v>963144</v>
      </c>
      <c r="AX17" s="491" t="n">
        <f aca="false">AX3*$C17*1.05^3*40*52/12</f>
        <v>963144</v>
      </c>
      <c r="AY17" s="492" t="n">
        <f aca="false">AY3*$C17*1.05^3*40*52/12</f>
        <v>963144</v>
      </c>
      <c r="AZ17" s="493" t="n">
        <f aca="false">AZ3*$C17*1.05^4*40*52/12</f>
        <v>1011301.2</v>
      </c>
      <c r="BA17" s="494" t="n">
        <f aca="false">BA3*$C17*1.05^4*40*52/12</f>
        <v>1011301.2</v>
      </c>
      <c r="BB17" s="494" t="n">
        <f aca="false">BB3*$C17*1.05^4*40*52/12</f>
        <v>1011301.2</v>
      </c>
      <c r="BC17" s="494" t="n">
        <f aca="false">BC3*$C17*1.05^4*40*52/12</f>
        <v>1011301.2</v>
      </c>
      <c r="BD17" s="494" t="n">
        <f aca="false">BD3*$C17*1.05^4*40*52/12</f>
        <v>1011301.2</v>
      </c>
      <c r="BE17" s="494" t="n">
        <f aca="false">BE3*$C17*1.05^4*40*52/12</f>
        <v>1011301.2</v>
      </c>
      <c r="BF17" s="494" t="n">
        <f aca="false">BF3*$C17*1.05^4*40*52/12</f>
        <v>1011301.2</v>
      </c>
      <c r="BG17" s="494" t="n">
        <f aca="false">BG3*$C17*1.05^4*40*52/12</f>
        <v>1011301.2</v>
      </c>
      <c r="BH17" s="494" t="n">
        <f aca="false">BH3*$C17*1.05^4*40*52/12</f>
        <v>1011301.2</v>
      </c>
      <c r="BI17" s="494" t="n">
        <f aca="false">BI3*$C17*1.05^4*40*52/12</f>
        <v>1011301.2</v>
      </c>
      <c r="BJ17" s="494" t="n">
        <f aca="false">BJ3*$C17*1.05^4*40*52/12</f>
        <v>1011301.2</v>
      </c>
      <c r="BK17" s="495" t="n">
        <f aca="false">BK3*$C17*1.05^4*40*52/12</f>
        <v>1011301.2</v>
      </c>
      <c r="BL17" s="496" t="n">
        <f aca="false">IF(SUM(D17:O17)&gt;0,SUM(D17:O17),0)</f>
        <v>2412800</v>
      </c>
      <c r="BM17" s="497" t="n">
        <f aca="false">BL17*(1+$BS$17)</f>
        <v>2533440</v>
      </c>
      <c r="BN17" s="497" t="n">
        <f aca="false">BM17*(1+$BS$17)</f>
        <v>2660112</v>
      </c>
      <c r="BO17" s="497" t="n">
        <f aca="false">BN17*(1+$BS$17)</f>
        <v>2793117.6</v>
      </c>
      <c r="BP17" s="497" t="n">
        <f aca="false">BO17*(1+$BS$17)</f>
        <v>2932773.48</v>
      </c>
      <c r="BQ17" s="483"/>
      <c r="BR17" s="200"/>
      <c r="BS17" s="498" t="n">
        <v>0.05</v>
      </c>
      <c r="BT17" s="498" t="n">
        <v>20</v>
      </c>
      <c r="BU17" s="196" t="s">
        <v>1710</v>
      </c>
    </row>
    <row r="18" customFormat="false" ht="12.75" hidden="false" customHeight="true" outlineLevel="0" collapsed="false">
      <c r="A18" s="230" t="str">
        <f aca="false">A4</f>
        <v>Admin</v>
      </c>
      <c r="B18" s="196" t="s">
        <v>1709</v>
      </c>
      <c r="C18" s="196" t="n">
        <v>9615.38</v>
      </c>
      <c r="D18" s="483" t="n">
        <f aca="false">D4*$C18*52/12</f>
        <v>41666.6466666667</v>
      </c>
      <c r="E18" s="483" t="n">
        <f aca="false">E4*$C18*52/12</f>
        <v>41666.6466666667</v>
      </c>
      <c r="F18" s="483" t="n">
        <f aca="false">F4*$C18*52/12</f>
        <v>41666.6466666667</v>
      </c>
      <c r="G18" s="483" t="n">
        <f aca="false">G4*$C18*52/12</f>
        <v>41666.6466666667</v>
      </c>
      <c r="H18" s="483" t="n">
        <f aca="false">H4*$C18*52/12</f>
        <v>41666.6466666667</v>
      </c>
      <c r="I18" s="483" t="n">
        <f aca="false">I4*$C18*52/12</f>
        <v>41666.6466666667</v>
      </c>
      <c r="J18" s="483" t="n">
        <f aca="false">J4*$C18*52/12</f>
        <v>41666.6466666667</v>
      </c>
      <c r="K18" s="483" t="n">
        <f aca="false">K4*$C18*52/12</f>
        <v>41666.6466666667</v>
      </c>
      <c r="L18" s="483" t="n">
        <f aca="false">L4*$C18*52/12</f>
        <v>41666.6466666667</v>
      </c>
      <c r="M18" s="483" t="n">
        <f aca="false">M4*$C18*52/12</f>
        <v>41666.6466666667</v>
      </c>
      <c r="N18" s="483" t="n">
        <f aca="false">N4*$C18*52/12</f>
        <v>41666.6466666667</v>
      </c>
      <c r="O18" s="483" t="n">
        <f aca="false">O4*$C18*52/12</f>
        <v>41666.6466666667</v>
      </c>
      <c r="P18" s="499" t="n">
        <f aca="false">P4*$C18*1.05*52/12</f>
        <v>87499.958</v>
      </c>
      <c r="Q18" s="500" t="n">
        <f aca="false">Q4*$C18*1.05*52/12</f>
        <v>87499.958</v>
      </c>
      <c r="R18" s="500" t="n">
        <f aca="false">R4*$C18*1.05*52/12</f>
        <v>87499.958</v>
      </c>
      <c r="S18" s="500" t="n">
        <f aca="false">S4*$C18*1.05*52/12</f>
        <v>87499.958</v>
      </c>
      <c r="T18" s="500" t="n">
        <f aca="false">T4*$C18*1.05*52/12</f>
        <v>87499.958</v>
      </c>
      <c r="U18" s="500" t="n">
        <f aca="false">U4*$C18*1.05*52/12</f>
        <v>87499.958</v>
      </c>
      <c r="V18" s="500" t="n">
        <f aca="false">V4*$C18*1.05*52/12</f>
        <v>87499.958</v>
      </c>
      <c r="W18" s="500" t="n">
        <f aca="false">W4*$C18*1.05*52/12</f>
        <v>87499.958</v>
      </c>
      <c r="X18" s="500" t="n">
        <f aca="false">X4*$C18*1.05*52/12</f>
        <v>87499.958</v>
      </c>
      <c r="Y18" s="500" t="n">
        <f aca="false">Y4*$C18*1.05*52/12</f>
        <v>87499.958</v>
      </c>
      <c r="Z18" s="500" t="n">
        <f aca="false">Z4*$C18*1.05*52/12</f>
        <v>87499.958</v>
      </c>
      <c r="AA18" s="486" t="n">
        <f aca="false">AA4*$C18*1.05*52/12</f>
        <v>87499.958</v>
      </c>
      <c r="AB18" s="487" t="n">
        <f aca="false">AB4*$C18*1.05^2*52/12</f>
        <v>137812.43385</v>
      </c>
      <c r="AC18" s="488" t="n">
        <f aca="false">AC4*$C18*1.05^2*52/12</f>
        <v>137812.43385</v>
      </c>
      <c r="AD18" s="488" t="n">
        <f aca="false">AD4*$C18*1.05^2*52/12</f>
        <v>137812.43385</v>
      </c>
      <c r="AE18" s="488" t="n">
        <f aca="false">AE4*$C18*1.05^2*52/12</f>
        <v>137812.43385</v>
      </c>
      <c r="AF18" s="488" t="n">
        <f aca="false">AF4*$C18*1.05^2*52/12</f>
        <v>137812.43385</v>
      </c>
      <c r="AG18" s="488" t="n">
        <f aca="false">AG4*$C18*1.05^2*52/12</f>
        <v>137812.43385</v>
      </c>
      <c r="AH18" s="488" t="n">
        <f aca="false">AH4*$C18*1.05^2*52/12</f>
        <v>137812.43385</v>
      </c>
      <c r="AI18" s="488" t="n">
        <f aca="false">AI4*$C18*1.05^2*52/12</f>
        <v>137812.43385</v>
      </c>
      <c r="AJ18" s="488" t="n">
        <f aca="false">AJ4*$C18*1.05^2*52/12</f>
        <v>137812.43385</v>
      </c>
      <c r="AK18" s="488" t="n">
        <f aca="false">AK4*$C18*1.05^2*52/12</f>
        <v>137812.43385</v>
      </c>
      <c r="AL18" s="488" t="n">
        <f aca="false">AL4*$C18*1.05^2*52/12</f>
        <v>137812.43385</v>
      </c>
      <c r="AM18" s="489" t="n">
        <f aca="false">AM4*$C18*1.05^2*52/12</f>
        <v>137812.43385</v>
      </c>
      <c r="AN18" s="490" t="n">
        <f aca="false">AN4*$C18*1.05^3*52/12</f>
        <v>144703.0555425</v>
      </c>
      <c r="AO18" s="491" t="n">
        <f aca="false">AO4*$C18*1.05^3*52/12</f>
        <v>144703.0555425</v>
      </c>
      <c r="AP18" s="491" t="n">
        <f aca="false">AP4*$C18*1.05^3*52/12</f>
        <v>144703.0555425</v>
      </c>
      <c r="AQ18" s="491" t="n">
        <f aca="false">AQ4*$C18*1.05^3*52/12</f>
        <v>144703.0555425</v>
      </c>
      <c r="AR18" s="491" t="n">
        <f aca="false">AR4*$C18*1.05^3*52/12</f>
        <v>144703.0555425</v>
      </c>
      <c r="AS18" s="491" t="n">
        <f aca="false">AS4*$C18*1.05^3*52/12</f>
        <v>144703.0555425</v>
      </c>
      <c r="AT18" s="491" t="n">
        <f aca="false">AT4*$C18*1.05^3*52/12</f>
        <v>144703.0555425</v>
      </c>
      <c r="AU18" s="491" t="n">
        <f aca="false">AU4*$C18*1.05^3*52/12</f>
        <v>144703.0555425</v>
      </c>
      <c r="AV18" s="491" t="n">
        <f aca="false">AV4*$C18*1.05^3*52/12</f>
        <v>144703.0555425</v>
      </c>
      <c r="AW18" s="491" t="n">
        <f aca="false">AW4*$C18*1.05^3*52/12</f>
        <v>144703.0555425</v>
      </c>
      <c r="AX18" s="491" t="n">
        <f aca="false">AX4*$C18*1.05^3*52/12</f>
        <v>144703.0555425</v>
      </c>
      <c r="AY18" s="492" t="n">
        <f aca="false">AY4*$C18*1.05^3*52/12</f>
        <v>144703.0555425</v>
      </c>
      <c r="AZ18" s="493" t="n">
        <f aca="false">AZ4*$C18*1.05^4*52/12</f>
        <v>151938.208319625</v>
      </c>
      <c r="BA18" s="494" t="n">
        <f aca="false">BA4*$C18*1.05^4*52/12</f>
        <v>151938.208319625</v>
      </c>
      <c r="BB18" s="494" t="n">
        <f aca="false">BB4*$C18*1.05^4*52/12</f>
        <v>151938.208319625</v>
      </c>
      <c r="BC18" s="494" t="n">
        <f aca="false">BC4*$C18*1.05^4*52/12</f>
        <v>151938.208319625</v>
      </c>
      <c r="BD18" s="494" t="n">
        <f aca="false">BD4*$C18*1.05^4*52/12</f>
        <v>151938.208319625</v>
      </c>
      <c r="BE18" s="494" t="n">
        <f aca="false">BE4*$C18*1.05^4*52/12</f>
        <v>151938.208319625</v>
      </c>
      <c r="BF18" s="494" t="n">
        <f aca="false">BF4*$C18*1.05^4*52/12</f>
        <v>151938.208319625</v>
      </c>
      <c r="BG18" s="494" t="n">
        <f aca="false">BG4*$C18*1.05^4*52/12</f>
        <v>151938.208319625</v>
      </c>
      <c r="BH18" s="494" t="n">
        <f aca="false">BH4*$C18*1.05^4*52/12</f>
        <v>151938.208319625</v>
      </c>
      <c r="BI18" s="494" t="n">
        <f aca="false">BI4*$C18*1.05^4*52/12</f>
        <v>151938.208319625</v>
      </c>
      <c r="BJ18" s="494" t="n">
        <f aca="false">BJ4*$C18*1.05^4*52/12</f>
        <v>151938.208319625</v>
      </c>
      <c r="BK18" s="495" t="n">
        <f aca="false">BK4*$C18*1.05^4*52/12</f>
        <v>151938.208319625</v>
      </c>
      <c r="BL18" s="497" t="n">
        <f aca="false">IF(SUM(D18:O18)&gt;0,SUM(D18:O18),0)</f>
        <v>499999.76</v>
      </c>
      <c r="BM18" s="497" t="n">
        <f aca="false">BL18*(1+$BS$17)</f>
        <v>524999.748</v>
      </c>
      <c r="BN18" s="497" t="n">
        <f aca="false">BM18*(1+$BS$17)</f>
        <v>551249.7354</v>
      </c>
      <c r="BO18" s="497" t="n">
        <f aca="false">BN18*(1+$BS$17)</f>
        <v>578812.22217</v>
      </c>
      <c r="BP18" s="497" t="n">
        <f aca="false">BO18*(1+$BS$17)</f>
        <v>607752.8332785</v>
      </c>
      <c r="BQ18" s="200"/>
      <c r="BR18" s="196"/>
      <c r="BS18" s="196"/>
      <c r="BT18" s="196" t="s">
        <v>1711</v>
      </c>
    </row>
    <row r="19" customFormat="false" ht="12.75" hidden="false" customHeight="true" outlineLevel="0" collapsed="false">
      <c r="A19" s="230" t="str">
        <f aca="false">A5</f>
        <v>Trades -2</v>
      </c>
      <c r="B19" s="196" t="s">
        <v>1703</v>
      </c>
      <c r="C19" s="196" t="n">
        <v>65</v>
      </c>
      <c r="D19" s="483" t="n">
        <f aca="false">D5*$C19*40*52/12</f>
        <v>0</v>
      </c>
      <c r="E19" s="483" t="n">
        <f aca="false">E5*$C19*40*52/12</f>
        <v>0</v>
      </c>
      <c r="F19" s="483" t="n">
        <f aca="false">F5*$C19*40*52/12</f>
        <v>0</v>
      </c>
      <c r="G19" s="483" t="n">
        <f aca="false">G5*$C19*40*52/12</f>
        <v>0</v>
      </c>
      <c r="H19" s="483" t="n">
        <f aca="false">H5*$C19*40*52/12</f>
        <v>0</v>
      </c>
      <c r="I19" s="483" t="n">
        <f aca="false">I5*$C19*40*52/12</f>
        <v>0</v>
      </c>
      <c r="J19" s="483" t="n">
        <f aca="false">J5*$C19*40*52/12</f>
        <v>0</v>
      </c>
      <c r="K19" s="483" t="n">
        <f aca="false">K5*$C19*40*52/12</f>
        <v>0</v>
      </c>
      <c r="L19" s="483" t="n">
        <f aca="false">L5*$C19*40*52/12</f>
        <v>0</v>
      </c>
      <c r="M19" s="483" t="n">
        <f aca="false">M5*$C19*40*52/12</f>
        <v>0</v>
      </c>
      <c r="N19" s="483" t="n">
        <f aca="false">N5*$C19*40*52/12</f>
        <v>0</v>
      </c>
      <c r="O19" s="501" t="n">
        <f aca="false">O5*$C19*40*52/12</f>
        <v>0</v>
      </c>
      <c r="P19" s="499" t="n">
        <f aca="false">P5*$C19*1.05*40*52/12</f>
        <v>118300</v>
      </c>
      <c r="Q19" s="500" t="n">
        <f aca="false">Q5*$C19*1.05*40*52/12</f>
        <v>236600</v>
      </c>
      <c r="R19" s="500" t="n">
        <f aca="false">R5*$C19*1.05*40*52/12</f>
        <v>354900</v>
      </c>
      <c r="S19" s="500" t="n">
        <f aca="false">S5*$C19*1.05*40*52/12</f>
        <v>473200</v>
      </c>
      <c r="T19" s="500" t="n">
        <f aca="false">T5*$C19*1.05*40*52/12</f>
        <v>591500</v>
      </c>
      <c r="U19" s="500" t="n">
        <f aca="false">U5*$C19*1.05*40*52/12</f>
        <v>709800</v>
      </c>
      <c r="V19" s="500" t="n">
        <f aca="false">V5*$C19*1.05*40*52/12</f>
        <v>828100</v>
      </c>
      <c r="W19" s="500" t="n">
        <f aca="false">W5*$C19*1.05*40*52/12</f>
        <v>946400</v>
      </c>
      <c r="X19" s="500" t="n">
        <f aca="false">X5*$C19*1.05*40*52/12</f>
        <v>946400</v>
      </c>
      <c r="Y19" s="500" t="n">
        <f aca="false">Y5*$C19*1.05*40*52/12</f>
        <v>946400</v>
      </c>
      <c r="Z19" s="500" t="n">
        <f aca="false">Z5*$C19*1.05*40*52/12</f>
        <v>946400</v>
      </c>
      <c r="AA19" s="486" t="n">
        <f aca="false">AA5*$C19*1.05*40*52/12</f>
        <v>946400</v>
      </c>
      <c r="AB19" s="487" t="n">
        <f aca="false">AB5*$C19*1.05^2*40*52/12</f>
        <v>993720</v>
      </c>
      <c r="AC19" s="488" t="n">
        <f aca="false">AC5*$C19*1.05^2*40*52/12</f>
        <v>993720</v>
      </c>
      <c r="AD19" s="488" t="n">
        <f aca="false">AD5*$C19*1.05^2*40*52/12</f>
        <v>993720</v>
      </c>
      <c r="AE19" s="488" t="n">
        <f aca="false">AE5*$C19*1.05^2*40*52/12</f>
        <v>993720</v>
      </c>
      <c r="AF19" s="488" t="n">
        <f aca="false">AF5*$C19*1.05^2*40*52/12</f>
        <v>993720</v>
      </c>
      <c r="AG19" s="488" t="n">
        <f aca="false">AG5*$C19*1.05^2*40*52/12</f>
        <v>993720</v>
      </c>
      <c r="AH19" s="488" t="n">
        <f aca="false">AH5*$C19*1.05^2*40*52/12</f>
        <v>993720</v>
      </c>
      <c r="AI19" s="488" t="n">
        <f aca="false">AI5*$C19*1.05^2*40*52/12</f>
        <v>993720</v>
      </c>
      <c r="AJ19" s="488" t="n">
        <f aca="false">AJ5*$C19*1.05^2*40*52/12</f>
        <v>993720</v>
      </c>
      <c r="AK19" s="488" t="n">
        <f aca="false">AK5*$C19*1.05^2*40*52/12</f>
        <v>993720</v>
      </c>
      <c r="AL19" s="488" t="n">
        <f aca="false">AL5*$C19*1.05^2*40*52/12</f>
        <v>993720</v>
      </c>
      <c r="AM19" s="489" t="n">
        <f aca="false">AM5*$C19*1.05^2*40*52/12</f>
        <v>993720</v>
      </c>
      <c r="AN19" s="490" t="n">
        <f aca="false">AN5*$C19*1.05^3*40*52/12</f>
        <v>1043406</v>
      </c>
      <c r="AO19" s="491" t="n">
        <f aca="false">AO5*$C19*1.05^3*40*52/12</f>
        <v>1043406</v>
      </c>
      <c r="AP19" s="491" t="n">
        <f aca="false">AP5*$C19*1.05^3*40*52/12</f>
        <v>1043406</v>
      </c>
      <c r="AQ19" s="491" t="n">
        <f aca="false">AQ5*$C19*1.05^3*40*52/12</f>
        <v>1043406</v>
      </c>
      <c r="AR19" s="491" t="n">
        <f aca="false">AR5*$C19*1.05^3*40*52/12</f>
        <v>1043406</v>
      </c>
      <c r="AS19" s="491" t="n">
        <f aca="false">AS5*$C19*1.05^3*40*52/12</f>
        <v>1043406</v>
      </c>
      <c r="AT19" s="491" t="n">
        <f aca="false">AT5*$C19*1.05^3*40*52/12</f>
        <v>1043406</v>
      </c>
      <c r="AU19" s="491" t="n">
        <f aca="false">AU5*$C19*1.05^3*40*52/12</f>
        <v>1043406</v>
      </c>
      <c r="AV19" s="491" t="n">
        <f aca="false">AV5*$C19*1.05^3*40*52/12</f>
        <v>1043406</v>
      </c>
      <c r="AW19" s="491" t="n">
        <f aca="false">AW5*$C19*1.05^3*40*52/12</f>
        <v>1043406</v>
      </c>
      <c r="AX19" s="491" t="n">
        <f aca="false">AX5*$C19*1.05^3*40*52/12</f>
        <v>1043406</v>
      </c>
      <c r="AY19" s="492" t="n">
        <f aca="false">AY5*$C19*1.05^3*40*52/12</f>
        <v>1043406</v>
      </c>
      <c r="AZ19" s="493" t="n">
        <f aca="false">AZ5*$C19*1.05^4*40*52/12</f>
        <v>1095576.3</v>
      </c>
      <c r="BA19" s="494" t="n">
        <f aca="false">BA5*$C19*1.05^4*40*52/12</f>
        <v>1095576.3</v>
      </c>
      <c r="BB19" s="494" t="n">
        <f aca="false">BB5*$C19*1.05^4*40*52/12</f>
        <v>1095576.3</v>
      </c>
      <c r="BC19" s="494" t="n">
        <f aca="false">BC5*$C19*1.05^4*40*52/12</f>
        <v>1095576.3</v>
      </c>
      <c r="BD19" s="494" t="n">
        <f aca="false">BD5*$C19*1.05^4*40*52/12</f>
        <v>1095576.3</v>
      </c>
      <c r="BE19" s="494" t="n">
        <f aca="false">BE5*$C19*1.05^4*40*52/12</f>
        <v>1095576.3</v>
      </c>
      <c r="BF19" s="494" t="n">
        <f aca="false">BF5*$C19*1.05^4*40*52/12</f>
        <v>1095576.3</v>
      </c>
      <c r="BG19" s="494" t="n">
        <f aca="false">BG5*$C19*1.05^4*40*52/12</f>
        <v>1095576.3</v>
      </c>
      <c r="BH19" s="494" t="n">
        <f aca="false">BH5*$C19*1.05^4*40*52/12</f>
        <v>1095576.3</v>
      </c>
      <c r="BI19" s="494" t="n">
        <f aca="false">BI5*$C19*1.05^4*40*52/12</f>
        <v>1095576.3</v>
      </c>
      <c r="BJ19" s="494" t="n">
        <f aca="false">BJ5*$C19*1.05^4*40*52/12</f>
        <v>1095576.3</v>
      </c>
      <c r="BK19" s="495" t="n">
        <f aca="false">BK5*$C19*1.05^4*40*52/12</f>
        <v>1095576.3</v>
      </c>
      <c r="BL19" s="497" t="n">
        <f aca="false">SUM(D19:O19)</f>
        <v>0</v>
      </c>
      <c r="BM19" s="497" t="n">
        <f aca="false">SUM(P19:AA19)</f>
        <v>8044400</v>
      </c>
      <c r="BN19" s="497" t="n">
        <f aca="false">SUM(AB19:AM19)</f>
        <v>11924640</v>
      </c>
      <c r="BO19" s="497" t="n">
        <f aca="false">SUM(AN19:AY19)</f>
        <v>12520872</v>
      </c>
      <c r="BP19" s="497" t="n">
        <f aca="false">SUM(AZ19:BK19)</f>
        <v>13146915.6</v>
      </c>
      <c r="BQ19" s="200"/>
      <c r="BR19" s="196"/>
      <c r="BS19" s="196"/>
      <c r="BT19" s="196"/>
    </row>
    <row r="20" customFormat="false" ht="12.75" hidden="false" customHeight="true" outlineLevel="0" collapsed="false">
      <c r="A20" s="230" t="str">
        <f aca="false">A6</f>
        <v>Admin-2</v>
      </c>
      <c r="B20" s="196" t="s">
        <v>1709</v>
      </c>
      <c r="C20" s="196" t="n">
        <v>9615.38</v>
      </c>
      <c r="D20" s="483" t="n">
        <f aca="false">D6*$C20*52/12</f>
        <v>0</v>
      </c>
      <c r="E20" s="483" t="n">
        <f aca="false">E6*$C20*52/12</f>
        <v>0</v>
      </c>
      <c r="F20" s="483" t="n">
        <f aca="false">F6*$C20*52/12</f>
        <v>0</v>
      </c>
      <c r="G20" s="483" t="n">
        <f aca="false">G6*$C20*52/12</f>
        <v>0</v>
      </c>
      <c r="H20" s="483" t="n">
        <f aca="false">H6*$C20*52/12</f>
        <v>0</v>
      </c>
      <c r="I20" s="483" t="n">
        <f aca="false">I6*$C20*52/12</f>
        <v>0</v>
      </c>
      <c r="J20" s="483" t="n">
        <f aca="false">J6*$C20*52/12</f>
        <v>0</v>
      </c>
      <c r="K20" s="483" t="n">
        <f aca="false">K6*$C20*52/12</f>
        <v>0</v>
      </c>
      <c r="L20" s="483" t="n">
        <f aca="false">L6*$C20*52/12</f>
        <v>0</v>
      </c>
      <c r="M20" s="483" t="n">
        <f aca="false">M6*$C20*52/12</f>
        <v>0</v>
      </c>
      <c r="N20" s="483" t="n">
        <f aca="false">N6*$C20*52/12</f>
        <v>0</v>
      </c>
      <c r="O20" s="501" t="n">
        <f aca="false">O6*$C20*52/12</f>
        <v>0</v>
      </c>
      <c r="P20" s="499" t="n">
        <f aca="false">P6*$C20*1.05*52/12</f>
        <v>0</v>
      </c>
      <c r="Q20" s="500" t="n">
        <f aca="false">Q6*$C20*1.05*52/12</f>
        <v>0</v>
      </c>
      <c r="R20" s="500" t="n">
        <f aca="false">R6*$C20*1.05*52/12</f>
        <v>0</v>
      </c>
      <c r="S20" s="500" t="n">
        <f aca="false">S6*$C20*1.05*52/12</f>
        <v>0</v>
      </c>
      <c r="T20" s="500" t="n">
        <f aca="false">T6*$C20*1.05*52/12</f>
        <v>0</v>
      </c>
      <c r="U20" s="500" t="n">
        <f aca="false">U6*$C20*1.05*52/12</f>
        <v>0</v>
      </c>
      <c r="V20" s="500" t="n">
        <f aca="false">V6*$C20*1.05*52/12</f>
        <v>0</v>
      </c>
      <c r="W20" s="500" t="n">
        <f aca="false">W6*$C20*1.05*52/12</f>
        <v>0</v>
      </c>
      <c r="X20" s="500" t="n">
        <f aca="false">X6*$C20*1.05*52/12</f>
        <v>0</v>
      </c>
      <c r="Y20" s="500" t="n">
        <f aca="false">Y6*$C20*1.05*52/12</f>
        <v>0</v>
      </c>
      <c r="Z20" s="500" t="n">
        <f aca="false">Z6*$C20*1.05*52/12</f>
        <v>0</v>
      </c>
      <c r="AA20" s="486" t="n">
        <f aca="false">AA6*$C20*1.05*52/12</f>
        <v>0</v>
      </c>
      <c r="AB20" s="487" t="n">
        <f aca="false">AB6*$C20*1.05^2*52/12</f>
        <v>0</v>
      </c>
      <c r="AC20" s="488" t="n">
        <f aca="false">AC6*$C20*1.05^2*52/12</f>
        <v>0</v>
      </c>
      <c r="AD20" s="488" t="n">
        <f aca="false">AD6*$C20*1.05^2*52/12</f>
        <v>0</v>
      </c>
      <c r="AE20" s="488" t="n">
        <f aca="false">AE6*$C20*1.05^2*52/12</f>
        <v>0</v>
      </c>
      <c r="AF20" s="488" t="n">
        <f aca="false">AF6*$C20*1.05^2*52/12</f>
        <v>0</v>
      </c>
      <c r="AG20" s="488" t="n">
        <f aca="false">AG6*$C20*1.05^2*52/12</f>
        <v>0</v>
      </c>
      <c r="AH20" s="488" t="n">
        <f aca="false">AH6*$C20*1.05^2*52/12</f>
        <v>0</v>
      </c>
      <c r="AI20" s="488" t="n">
        <f aca="false">AI6*$C20*1.05^2*52/12</f>
        <v>0</v>
      </c>
      <c r="AJ20" s="488" t="n">
        <f aca="false">AJ6*$C20*1.05^2*52/12</f>
        <v>0</v>
      </c>
      <c r="AK20" s="488" t="n">
        <f aca="false">AK6*$C20*1.05^2*52/12</f>
        <v>0</v>
      </c>
      <c r="AL20" s="488" t="n">
        <f aca="false">AL6*$C20*1.05^2*52/12</f>
        <v>0</v>
      </c>
      <c r="AM20" s="489" t="n">
        <f aca="false">AM6*$C20*1.05^2*52/12</f>
        <v>0</v>
      </c>
      <c r="AN20" s="490" t="n">
        <f aca="false">AN6*$C20*1.05^3*52/12</f>
        <v>0</v>
      </c>
      <c r="AO20" s="491" t="n">
        <f aca="false">AO6*$C20*1.05^3*52/12</f>
        <v>0</v>
      </c>
      <c r="AP20" s="491" t="n">
        <f aca="false">AP6*$C20*1.05^3*52/12</f>
        <v>0</v>
      </c>
      <c r="AQ20" s="491" t="n">
        <f aca="false">AQ6*$C20*1.05^3*52/12</f>
        <v>0</v>
      </c>
      <c r="AR20" s="491" t="n">
        <f aca="false">AR6*$C20*1.05^3*52/12</f>
        <v>0</v>
      </c>
      <c r="AS20" s="491" t="n">
        <f aca="false">AS6*$C20*1.05^3*52/12</f>
        <v>0</v>
      </c>
      <c r="AT20" s="491" t="n">
        <f aca="false">AT6*$C20*1.05^3*52/12</f>
        <v>0</v>
      </c>
      <c r="AU20" s="491" t="n">
        <f aca="false">AU6*$C20*1.05^3*52/12</f>
        <v>0</v>
      </c>
      <c r="AV20" s="491" t="n">
        <f aca="false">AV6*$C20*1.05^3*52/12</f>
        <v>0</v>
      </c>
      <c r="AW20" s="491" t="n">
        <f aca="false">AW6*$C20*1.05^3*52/12</f>
        <v>0</v>
      </c>
      <c r="AX20" s="491" t="n">
        <f aca="false">AX6*$C20*1.05^3*52/12</f>
        <v>0</v>
      </c>
      <c r="AY20" s="492" t="n">
        <f aca="false">AY6*$C20*1.05^3*52/12</f>
        <v>0</v>
      </c>
      <c r="AZ20" s="493" t="n">
        <f aca="false">AZ6*$C20*1.05^4*52/12</f>
        <v>0</v>
      </c>
      <c r="BA20" s="494" t="n">
        <f aca="false">BA6*$C20*1.05^4*52/12</f>
        <v>0</v>
      </c>
      <c r="BB20" s="494" t="n">
        <f aca="false">BB6*$C20*1.05^4*52/12</f>
        <v>0</v>
      </c>
      <c r="BC20" s="494" t="n">
        <f aca="false">BC6*$C20*1.05^4*52/12</f>
        <v>0</v>
      </c>
      <c r="BD20" s="494" t="n">
        <f aca="false">BD6*$C20*1.05^4*52/12</f>
        <v>0</v>
      </c>
      <c r="BE20" s="494" t="n">
        <f aca="false">BE6*$C20*1.05^4*52/12</f>
        <v>0</v>
      </c>
      <c r="BF20" s="494" t="n">
        <f aca="false">BF6*$C20*1.05^4*52/12</f>
        <v>0</v>
      </c>
      <c r="BG20" s="494" t="n">
        <f aca="false">BG6*$C20*1.05^4*52/12</f>
        <v>0</v>
      </c>
      <c r="BH20" s="494" t="n">
        <f aca="false">BH6*$C20*1.05^4*52/12</f>
        <v>0</v>
      </c>
      <c r="BI20" s="494" t="n">
        <f aca="false">BI6*$C20*1.05^4*52/12</f>
        <v>0</v>
      </c>
      <c r="BJ20" s="494" t="n">
        <f aca="false">BJ6*$C20*1.05^4*52/12</f>
        <v>0</v>
      </c>
      <c r="BK20" s="495" t="n">
        <f aca="false">BK6*$C20*1.05^4*52/12</f>
        <v>0</v>
      </c>
      <c r="BL20" s="497" t="n">
        <f aca="false">SUM(D20:O20)</f>
        <v>0</v>
      </c>
      <c r="BM20" s="497" t="n">
        <f aca="false">SUM(P20:AA20)</f>
        <v>0</v>
      </c>
      <c r="BN20" s="497" t="n">
        <f aca="false">SUM(AB20:AM20)</f>
        <v>0</v>
      </c>
      <c r="BO20" s="497" t="n">
        <f aca="false">SUM(AN20:AY20)</f>
        <v>0</v>
      </c>
      <c r="BP20" s="497" t="n">
        <f aca="false">SUM(AZ20:BK20)</f>
        <v>0</v>
      </c>
      <c r="BQ20" s="200"/>
      <c r="BR20" s="196"/>
      <c r="BS20" s="196"/>
      <c r="BT20" s="196"/>
    </row>
    <row r="21" customFormat="false" ht="12.75" hidden="false" customHeight="true" outlineLevel="0" collapsed="false">
      <c r="A21" s="230" t="str">
        <f aca="false">A7</f>
        <v>Trades-3</v>
      </c>
      <c r="B21" s="196" t="s">
        <v>1703</v>
      </c>
      <c r="C21" s="196" t="n">
        <v>70</v>
      </c>
      <c r="D21" s="483" t="n">
        <f aca="false">D7*$C21*40*52/12</f>
        <v>0</v>
      </c>
      <c r="E21" s="483" t="n">
        <f aca="false">E7*$C21*40*52/12</f>
        <v>0</v>
      </c>
      <c r="F21" s="483" t="n">
        <f aca="false">F7*$C21*40*52/12</f>
        <v>0</v>
      </c>
      <c r="G21" s="483" t="n">
        <f aca="false">G7*$C21*40*52/12</f>
        <v>0</v>
      </c>
      <c r="H21" s="483" t="n">
        <f aca="false">H7*$C21*40*52/12</f>
        <v>0</v>
      </c>
      <c r="I21" s="483" t="n">
        <f aca="false">I7*$C21*40*52/12</f>
        <v>0</v>
      </c>
      <c r="J21" s="483" t="n">
        <f aca="false">J7*$C21*40*52/12</f>
        <v>0</v>
      </c>
      <c r="K21" s="483" t="n">
        <f aca="false">K7*$C21*40*52/12</f>
        <v>0</v>
      </c>
      <c r="L21" s="483" t="n">
        <f aca="false">L7*$C21*40*52/12</f>
        <v>0</v>
      </c>
      <c r="M21" s="483" t="n">
        <f aca="false">M7*$C21*40*52/12</f>
        <v>0</v>
      </c>
      <c r="N21" s="483" t="n">
        <f aca="false">N7*$C21*40*52/12</f>
        <v>0</v>
      </c>
      <c r="O21" s="501" t="n">
        <f aca="false">O7*$C21*40*52/12</f>
        <v>0</v>
      </c>
      <c r="P21" s="499" t="n">
        <f aca="false">P7*$C21*1.05*40*52/12</f>
        <v>0</v>
      </c>
      <c r="Q21" s="500" t="n">
        <f aca="false">Q7*$C21*1.05*40*52/12</f>
        <v>0</v>
      </c>
      <c r="R21" s="500" t="n">
        <f aca="false">R7*$C21*1.05*40*52/12</f>
        <v>0</v>
      </c>
      <c r="S21" s="500" t="n">
        <f aca="false">S7*$C21*1.05*40*52/12</f>
        <v>0</v>
      </c>
      <c r="T21" s="500" t="n">
        <f aca="false">T7*$C21*1.05*40*52/12</f>
        <v>0</v>
      </c>
      <c r="U21" s="500" t="n">
        <f aca="false">U7*$C21*1.05*40*52/12</f>
        <v>0</v>
      </c>
      <c r="V21" s="500" t="n">
        <f aca="false">V7*$C21*1.05*40*52/12</f>
        <v>0</v>
      </c>
      <c r="W21" s="500" t="n">
        <f aca="false">W7*$C21*1.05*40*52/12</f>
        <v>0</v>
      </c>
      <c r="X21" s="500" t="n">
        <f aca="false">X7*$C21*1.05*40*52/12</f>
        <v>0</v>
      </c>
      <c r="Y21" s="500" t="n">
        <f aca="false">Y7*$C21*1.05*40*52/12</f>
        <v>0</v>
      </c>
      <c r="Z21" s="500" t="n">
        <f aca="false">Z7*$C21*1.05*40*52/12</f>
        <v>0</v>
      </c>
      <c r="AA21" s="486" t="n">
        <f aca="false">AA7*$C21*1.05*40*52/12</f>
        <v>0</v>
      </c>
      <c r="AB21" s="487" t="n">
        <f aca="false">AB7*$C21*1.05^2*40*52/12</f>
        <v>0</v>
      </c>
      <c r="AC21" s="488" t="n">
        <f aca="false">AC7*$C21*1.05^2*40*52/12</f>
        <v>0</v>
      </c>
      <c r="AD21" s="488" t="n">
        <f aca="false">AD7*$C21*1.05^2*40*52/12</f>
        <v>0</v>
      </c>
      <c r="AE21" s="488" t="n">
        <f aca="false">AE7*$C21*1.05^2*40*52/12</f>
        <v>0</v>
      </c>
      <c r="AF21" s="488" t="n">
        <f aca="false">AF7*$C21*1.05^2*40*52/12</f>
        <v>0</v>
      </c>
      <c r="AG21" s="488" t="n">
        <f aca="false">AG7*$C21*1.05^2*40*52/12</f>
        <v>0</v>
      </c>
      <c r="AH21" s="488" t="n">
        <f aca="false">AH7*$C21*1.05^2*40*52/12</f>
        <v>0</v>
      </c>
      <c r="AI21" s="488" t="n">
        <f aca="false">AI7*$C21*1.05^2*40*52/12</f>
        <v>0</v>
      </c>
      <c r="AJ21" s="488" t="n">
        <f aca="false">AJ7*$C21*1.05^2*40*52/12</f>
        <v>0</v>
      </c>
      <c r="AK21" s="488" t="n">
        <f aca="false">AK7*$C21*1.05^2*40*52/12</f>
        <v>0</v>
      </c>
      <c r="AL21" s="488" t="n">
        <f aca="false">AL7*$C21*1.05^2*40*52/12</f>
        <v>0</v>
      </c>
      <c r="AM21" s="489" t="n">
        <f aca="false">AM7*$C21*1.05^2*40*52/12</f>
        <v>0</v>
      </c>
      <c r="AN21" s="490" t="n">
        <f aca="false">AN7*$C21*1.05^3*40*52/12</f>
        <v>0</v>
      </c>
      <c r="AO21" s="491" t="n">
        <f aca="false">AO7*$C21*1.05^3*40*52/12</f>
        <v>0</v>
      </c>
      <c r="AP21" s="491" t="n">
        <f aca="false">AP7*$C21*1.05^3*40*52/12</f>
        <v>0</v>
      </c>
      <c r="AQ21" s="491" t="n">
        <f aca="false">AQ7*$C21*1.05^3*40*52/12</f>
        <v>0</v>
      </c>
      <c r="AR21" s="491" t="n">
        <f aca="false">AR7*$C21*1.05^3*40*52/12</f>
        <v>0</v>
      </c>
      <c r="AS21" s="491" t="n">
        <f aca="false">AS7*$C21*1.05^3*40*52/12</f>
        <v>0</v>
      </c>
      <c r="AT21" s="491" t="n">
        <f aca="false">AT7*$C21*1.05^3*40*52/12</f>
        <v>0</v>
      </c>
      <c r="AU21" s="491" t="n">
        <f aca="false">AU7*$C21*1.05^3*40*52/12</f>
        <v>0</v>
      </c>
      <c r="AV21" s="491" t="n">
        <f aca="false">AV7*$C21*1.05^3*40*52/12</f>
        <v>0</v>
      </c>
      <c r="AW21" s="491" t="n">
        <f aca="false">AW7*$C21*1.05^3*40*52/12</f>
        <v>0</v>
      </c>
      <c r="AX21" s="491" t="n">
        <f aca="false">AX7*$C21*1.05^3*40*52/12</f>
        <v>0</v>
      </c>
      <c r="AY21" s="492" t="n">
        <f aca="false">AY7*$C21*1.05^3*40*52/12</f>
        <v>0</v>
      </c>
      <c r="AZ21" s="493" t="n">
        <f aca="false">AZ7*$C21*1.05^4*40*52/12</f>
        <v>0</v>
      </c>
      <c r="BA21" s="494" t="n">
        <f aca="false">BA7*$C21*1.05^4*40*52/12</f>
        <v>0</v>
      </c>
      <c r="BB21" s="494" t="n">
        <f aca="false">BB7*$C21*1.05^4*40*52/12</f>
        <v>0</v>
      </c>
      <c r="BC21" s="494" t="n">
        <f aca="false">BC7*$C21*1.05^4*40*52/12</f>
        <v>0</v>
      </c>
      <c r="BD21" s="494" t="n">
        <f aca="false">BD7*$C21*1.05^4*40*52/12</f>
        <v>0</v>
      </c>
      <c r="BE21" s="494" t="n">
        <f aca="false">BE7*$C21*1.05^4*40*52/12</f>
        <v>0</v>
      </c>
      <c r="BF21" s="494" t="n">
        <f aca="false">BF7*$C21*1.05^4*40*52/12</f>
        <v>0</v>
      </c>
      <c r="BG21" s="494" t="n">
        <f aca="false">BG7*$C21*1.05^4*40*52/12</f>
        <v>0</v>
      </c>
      <c r="BH21" s="494" t="n">
        <f aca="false">BH7*$C21*1.05^4*40*52/12</f>
        <v>0</v>
      </c>
      <c r="BI21" s="494" t="n">
        <f aca="false">BI7*$C21*1.05^4*40*52/12</f>
        <v>0</v>
      </c>
      <c r="BJ21" s="494" t="n">
        <f aca="false">BJ7*$C21*1.05^4*40*52/12</f>
        <v>0</v>
      </c>
      <c r="BK21" s="495" t="n">
        <f aca="false">BK7*$C21*1.05^4*40*52/12</f>
        <v>0</v>
      </c>
      <c r="BL21" s="497" t="n">
        <f aca="false">SUM(D21:O21)</f>
        <v>0</v>
      </c>
      <c r="BM21" s="497" t="n">
        <f aca="false">SUM(P21:AA21)</f>
        <v>0</v>
      </c>
      <c r="BN21" s="497" t="n">
        <f aca="false">SUM(AB21:AM21)</f>
        <v>0</v>
      </c>
      <c r="BO21" s="497" t="n">
        <f aca="false">SUM(AN21:AY21)</f>
        <v>0</v>
      </c>
      <c r="BP21" s="497" t="n">
        <f aca="false">SUM(AZ21:BK21)</f>
        <v>0</v>
      </c>
      <c r="BQ21" s="200"/>
      <c r="BR21" s="196"/>
      <c r="BS21" s="196"/>
      <c r="BT21" s="196"/>
    </row>
    <row r="22" customFormat="false" ht="12.75" hidden="false" customHeight="true" outlineLevel="0" collapsed="false">
      <c r="A22" s="230" t="s">
        <v>1700</v>
      </c>
      <c r="B22" s="196" t="s">
        <v>1709</v>
      </c>
      <c r="C22" s="196" t="n">
        <v>9615</v>
      </c>
      <c r="D22" s="483" t="n">
        <f aca="false">D8*$C22*52/12</f>
        <v>0</v>
      </c>
      <c r="E22" s="483" t="n">
        <f aca="false">E8*$C22*52/12</f>
        <v>0</v>
      </c>
      <c r="F22" s="483" t="n">
        <f aca="false">F8*$C22*52/12</f>
        <v>0</v>
      </c>
      <c r="G22" s="483" t="n">
        <f aca="false">G8*$C22*52/12</f>
        <v>0</v>
      </c>
      <c r="H22" s="483" t="n">
        <f aca="false">H8*$C22*52/12</f>
        <v>0</v>
      </c>
      <c r="I22" s="483" t="n">
        <f aca="false">I8*$C22*52/12</f>
        <v>0</v>
      </c>
      <c r="J22" s="483" t="n">
        <f aca="false">J8*$C22*52/12</f>
        <v>0</v>
      </c>
      <c r="K22" s="483" t="n">
        <f aca="false">K8*$C22*52/12</f>
        <v>0</v>
      </c>
      <c r="L22" s="483" t="n">
        <f aca="false">L8*$C22*52/12</f>
        <v>0</v>
      </c>
      <c r="M22" s="483" t="n">
        <f aca="false">M8*$C22*52/12</f>
        <v>0</v>
      </c>
      <c r="N22" s="483" t="n">
        <f aca="false">N8*$C22*52/12</f>
        <v>0</v>
      </c>
      <c r="O22" s="501" t="n">
        <f aca="false">O8*$C22*52/12</f>
        <v>0</v>
      </c>
      <c r="P22" s="499" t="n">
        <f aca="false">P8*$C22*1.05*52/12</f>
        <v>0</v>
      </c>
      <c r="Q22" s="500" t="n">
        <f aca="false">Q8*$C22*1.05*52/12</f>
        <v>0</v>
      </c>
      <c r="R22" s="500" t="n">
        <f aca="false">R8*$C22*1.05*52/12</f>
        <v>0</v>
      </c>
      <c r="S22" s="500" t="n">
        <f aca="false">S8*$C22*1.05*52/12</f>
        <v>0</v>
      </c>
      <c r="T22" s="500" t="n">
        <f aca="false">T8*$C22*1.05*52/12</f>
        <v>0</v>
      </c>
      <c r="U22" s="500" t="n">
        <f aca="false">U8*$C22*1.05*52/12</f>
        <v>0</v>
      </c>
      <c r="V22" s="500" t="n">
        <f aca="false">V8*$C22*1.05*52/12</f>
        <v>0</v>
      </c>
      <c r="W22" s="500" t="n">
        <f aca="false">W8*$C22*1.05*52/12</f>
        <v>0</v>
      </c>
      <c r="X22" s="500" t="n">
        <f aca="false">X8*$C22*1.05*52/12</f>
        <v>0</v>
      </c>
      <c r="Y22" s="500" t="n">
        <f aca="false">Y8*$C22*1.05*52/12</f>
        <v>0</v>
      </c>
      <c r="Z22" s="500" t="n">
        <f aca="false">Z8*$C22*1.05*52/12</f>
        <v>0</v>
      </c>
      <c r="AA22" s="486" t="n">
        <f aca="false">AA8*$C22*1.05*52/12</f>
        <v>0</v>
      </c>
      <c r="AB22" s="487" t="n">
        <f aca="false">AB8*$C22*1.05^2*52/12</f>
        <v>0</v>
      </c>
      <c r="AC22" s="488" t="n">
        <f aca="false">AC8*$C22*1.05^2*52/12</f>
        <v>0</v>
      </c>
      <c r="AD22" s="488" t="n">
        <f aca="false">AD8*$C22*1.05^2*52/12</f>
        <v>0</v>
      </c>
      <c r="AE22" s="488" t="n">
        <f aca="false">AE8*$C22*1.05^2*52/12</f>
        <v>0</v>
      </c>
      <c r="AF22" s="488" t="n">
        <f aca="false">AF8*$C22*1.05^2*52/12</f>
        <v>0</v>
      </c>
      <c r="AG22" s="488" t="n">
        <f aca="false">AG8*$C22*1.05^2*52/12</f>
        <v>0</v>
      </c>
      <c r="AH22" s="488" t="n">
        <f aca="false">AH8*$C22*1.05^2*52/12</f>
        <v>0</v>
      </c>
      <c r="AI22" s="488" t="n">
        <f aca="false">AI8*$C22*1.05^2*52/12</f>
        <v>0</v>
      </c>
      <c r="AJ22" s="488" t="n">
        <f aca="false">AJ8*$C22*1.05^2*52/12</f>
        <v>0</v>
      </c>
      <c r="AK22" s="488" t="n">
        <f aca="false">AK8*$C22*1.05^2*52/12</f>
        <v>0</v>
      </c>
      <c r="AL22" s="488" t="n">
        <f aca="false">AL8*$C22*1.05^2*52/12</f>
        <v>0</v>
      </c>
      <c r="AM22" s="489" t="n">
        <f aca="false">AM8*$C22*1.05^2*52/12</f>
        <v>0</v>
      </c>
      <c r="AN22" s="490" t="n">
        <f aca="false">AN8*$C22*1.05^3*52/12</f>
        <v>0</v>
      </c>
      <c r="AO22" s="491" t="n">
        <f aca="false">AO8*$C22*1.05^3*52/12</f>
        <v>0</v>
      </c>
      <c r="AP22" s="491" t="n">
        <f aca="false">AP8*$C22*1.05^3*52/12</f>
        <v>0</v>
      </c>
      <c r="AQ22" s="491" t="n">
        <f aca="false">AQ8*$C22*1.05^3*52/12</f>
        <v>0</v>
      </c>
      <c r="AR22" s="491" t="n">
        <f aca="false">AR8*$C22*1.05^3*52/12</f>
        <v>0</v>
      </c>
      <c r="AS22" s="491" t="n">
        <f aca="false">AS8*$C22*1.05^3*52/12</f>
        <v>0</v>
      </c>
      <c r="AT22" s="491" t="n">
        <f aca="false">AT8*$C22*1.05^3*52/12</f>
        <v>0</v>
      </c>
      <c r="AU22" s="491" t="n">
        <f aca="false">AU8*$C22*1.05^3*52/12</f>
        <v>0</v>
      </c>
      <c r="AV22" s="491" t="n">
        <f aca="false">AV8*$C22*1.05^3*52/12</f>
        <v>0</v>
      </c>
      <c r="AW22" s="491" t="n">
        <f aca="false">AW8*$C22*1.05^3*52/12</f>
        <v>0</v>
      </c>
      <c r="AX22" s="491" t="n">
        <f aca="false">AX8*$C22*1.05^3*52/12</f>
        <v>0</v>
      </c>
      <c r="AY22" s="492" t="n">
        <f aca="false">AY8*$C22*1.05^3*52/12</f>
        <v>0</v>
      </c>
      <c r="AZ22" s="493" t="n">
        <f aca="false">AZ8*$C22*1.05^4*52/12</f>
        <v>0</v>
      </c>
      <c r="BA22" s="494" t="n">
        <f aca="false">BA8*$C22*1.05^4*52/12</f>
        <v>0</v>
      </c>
      <c r="BB22" s="494" t="n">
        <f aca="false">BB8*$C22*1.05^4*52/12</f>
        <v>0</v>
      </c>
      <c r="BC22" s="494" t="n">
        <f aca="false">BC8*$C22*1.05^4*52/12</f>
        <v>0</v>
      </c>
      <c r="BD22" s="494" t="n">
        <f aca="false">BD8*$C22*1.05^4*52/12</f>
        <v>0</v>
      </c>
      <c r="BE22" s="494" t="n">
        <f aca="false">BE8*$C22*1.05^4*52/12</f>
        <v>0</v>
      </c>
      <c r="BF22" s="494" t="n">
        <f aca="false">BF8*$C22*1.05^4*52/12</f>
        <v>0</v>
      </c>
      <c r="BG22" s="494" t="n">
        <f aca="false">BG8*$C22*1.05^4*52/12</f>
        <v>0</v>
      </c>
      <c r="BH22" s="494" t="n">
        <f aca="false">BH8*$C22*1.05^4*52/12</f>
        <v>0</v>
      </c>
      <c r="BI22" s="494" t="n">
        <f aca="false">BI8*$C22*1.05^4*52/12</f>
        <v>0</v>
      </c>
      <c r="BJ22" s="494" t="n">
        <f aca="false">BJ8*$C22*1.05^4*52/12</f>
        <v>0</v>
      </c>
      <c r="BK22" s="495" t="n">
        <f aca="false">BK8*$C22*1.05^4*52/12</f>
        <v>0</v>
      </c>
      <c r="BL22" s="497" t="n">
        <f aca="false">SUM(D22:O22)</f>
        <v>0</v>
      </c>
      <c r="BM22" s="497" t="n">
        <f aca="false">SUM(P22:AA22)</f>
        <v>0</v>
      </c>
      <c r="BN22" s="497" t="n">
        <f aca="false">SUM(AB22:AM22)</f>
        <v>0</v>
      </c>
      <c r="BO22" s="497" t="n">
        <f aca="false">SUM(AN22:AY22)</f>
        <v>0</v>
      </c>
      <c r="BP22" s="497" t="n">
        <f aca="false">SUM(AZ22:BK22)</f>
        <v>0</v>
      </c>
      <c r="BQ22" s="200"/>
      <c r="BR22" s="196"/>
      <c r="BS22" s="196"/>
      <c r="BT22" s="196"/>
    </row>
    <row r="23" customFormat="false" ht="12.75" hidden="false" customHeight="true" outlineLevel="0" collapsed="false">
      <c r="A23" s="230" t="n">
        <f aca="false">A9</f>
        <v>0</v>
      </c>
      <c r="B23" s="196" t="s">
        <v>1703</v>
      </c>
      <c r="C23" s="196"/>
      <c r="D23" s="483" t="n">
        <f aca="false">IF(B23="pt hourly",(C23*$BT$17*52)/12)+IF(B23="ft hourly",(C23*40*52)/12,0)+IF(B23="weekly",(C23*52)/12,0)+IF(B23="monthly",C23,0)+IF(B23="yearly",C23/12)</f>
        <v>0</v>
      </c>
      <c r="E23" s="483" t="n">
        <f aca="false">D23</f>
        <v>0</v>
      </c>
      <c r="F23" s="483" t="n">
        <f aca="false">E23</f>
        <v>0</v>
      </c>
      <c r="G23" s="483" t="n">
        <f aca="false">F23</f>
        <v>0</v>
      </c>
      <c r="H23" s="483" t="n">
        <f aca="false">G23</f>
        <v>0</v>
      </c>
      <c r="I23" s="483" t="n">
        <f aca="false">H23</f>
        <v>0</v>
      </c>
      <c r="J23" s="483" t="n">
        <f aca="false">I23</f>
        <v>0</v>
      </c>
      <c r="K23" s="483" t="n">
        <f aca="false">J23</f>
        <v>0</v>
      </c>
      <c r="L23" s="483" t="n">
        <f aca="false">K23</f>
        <v>0</v>
      </c>
      <c r="M23" s="483" t="n">
        <f aca="false">L23</f>
        <v>0</v>
      </c>
      <c r="N23" s="483" t="n">
        <f aca="false">M23</f>
        <v>0</v>
      </c>
      <c r="O23" s="501" t="n">
        <f aca="false">N23</f>
        <v>0</v>
      </c>
      <c r="P23" s="499" t="n">
        <f aca="false">O23*1.05</f>
        <v>0</v>
      </c>
      <c r="Q23" s="500" t="n">
        <f aca="false">P23</f>
        <v>0</v>
      </c>
      <c r="R23" s="500" t="n">
        <f aca="false">Q23</f>
        <v>0</v>
      </c>
      <c r="S23" s="500" t="n">
        <f aca="false">R23</f>
        <v>0</v>
      </c>
      <c r="T23" s="500" t="n">
        <f aca="false">S23</f>
        <v>0</v>
      </c>
      <c r="U23" s="500" t="n">
        <f aca="false">T23</f>
        <v>0</v>
      </c>
      <c r="V23" s="500" t="n">
        <f aca="false">U23</f>
        <v>0</v>
      </c>
      <c r="W23" s="500" t="n">
        <f aca="false">V23</f>
        <v>0</v>
      </c>
      <c r="X23" s="500" t="n">
        <f aca="false">W23</f>
        <v>0</v>
      </c>
      <c r="Y23" s="500" t="n">
        <f aca="false">X23</f>
        <v>0</v>
      </c>
      <c r="Z23" s="500" t="n">
        <f aca="false">Y23</f>
        <v>0</v>
      </c>
      <c r="AA23" s="486" t="n">
        <f aca="false">Z23</f>
        <v>0</v>
      </c>
      <c r="AB23" s="487" t="n">
        <f aca="false">AA23*1.05</f>
        <v>0</v>
      </c>
      <c r="AC23" s="488" t="n">
        <f aca="false">AB23</f>
        <v>0</v>
      </c>
      <c r="AD23" s="488" t="n">
        <f aca="false">AC23</f>
        <v>0</v>
      </c>
      <c r="AE23" s="488" t="n">
        <f aca="false">AD23</f>
        <v>0</v>
      </c>
      <c r="AF23" s="488" t="n">
        <f aca="false">AE23</f>
        <v>0</v>
      </c>
      <c r="AG23" s="488" t="n">
        <f aca="false">AF23</f>
        <v>0</v>
      </c>
      <c r="AH23" s="488" t="n">
        <f aca="false">AG23</f>
        <v>0</v>
      </c>
      <c r="AI23" s="488" t="n">
        <f aca="false">AH23</f>
        <v>0</v>
      </c>
      <c r="AJ23" s="488" t="n">
        <f aca="false">AI23</f>
        <v>0</v>
      </c>
      <c r="AK23" s="488" t="n">
        <f aca="false">AJ23</f>
        <v>0</v>
      </c>
      <c r="AL23" s="488" t="n">
        <f aca="false">AK23</f>
        <v>0</v>
      </c>
      <c r="AM23" s="489" t="n">
        <f aca="false">AL23</f>
        <v>0</v>
      </c>
      <c r="AN23" s="490" t="n">
        <f aca="false">AM23*1.05</f>
        <v>0</v>
      </c>
      <c r="AO23" s="491" t="n">
        <f aca="false">AN23</f>
        <v>0</v>
      </c>
      <c r="AP23" s="491" t="n">
        <f aca="false">AO23</f>
        <v>0</v>
      </c>
      <c r="AQ23" s="491" t="n">
        <f aca="false">AP23</f>
        <v>0</v>
      </c>
      <c r="AR23" s="491" t="n">
        <f aca="false">AQ23</f>
        <v>0</v>
      </c>
      <c r="AS23" s="491" t="n">
        <f aca="false">AR23</f>
        <v>0</v>
      </c>
      <c r="AT23" s="491" t="n">
        <f aca="false">AS23</f>
        <v>0</v>
      </c>
      <c r="AU23" s="491" t="n">
        <f aca="false">AT23</f>
        <v>0</v>
      </c>
      <c r="AV23" s="491" t="n">
        <f aca="false">AU23</f>
        <v>0</v>
      </c>
      <c r="AW23" s="491" t="n">
        <f aca="false">AV23</f>
        <v>0</v>
      </c>
      <c r="AX23" s="491" t="n">
        <f aca="false">AW23</f>
        <v>0</v>
      </c>
      <c r="AY23" s="492" t="n">
        <f aca="false">AX23</f>
        <v>0</v>
      </c>
      <c r="AZ23" s="493" t="n">
        <f aca="false">AY23*1.05</f>
        <v>0</v>
      </c>
      <c r="BA23" s="494" t="n">
        <f aca="false">AZ23</f>
        <v>0</v>
      </c>
      <c r="BB23" s="494" t="n">
        <f aca="false">BA23</f>
        <v>0</v>
      </c>
      <c r="BC23" s="494" t="n">
        <f aca="false">BB23</f>
        <v>0</v>
      </c>
      <c r="BD23" s="494" t="n">
        <f aca="false">BC23</f>
        <v>0</v>
      </c>
      <c r="BE23" s="494" t="n">
        <f aca="false">BD23</f>
        <v>0</v>
      </c>
      <c r="BF23" s="494" t="n">
        <f aca="false">BE23</f>
        <v>0</v>
      </c>
      <c r="BG23" s="494" t="n">
        <f aca="false">BF23</f>
        <v>0</v>
      </c>
      <c r="BH23" s="494" t="n">
        <f aca="false">BG23</f>
        <v>0</v>
      </c>
      <c r="BI23" s="494" t="n">
        <f aca="false">BH23</f>
        <v>0</v>
      </c>
      <c r="BJ23" s="494" t="n">
        <f aca="false">BI23</f>
        <v>0</v>
      </c>
      <c r="BK23" s="495" t="n">
        <f aca="false">BJ23</f>
        <v>0</v>
      </c>
      <c r="BL23" s="497" t="n">
        <f aca="false">IF(SUM(D23:O23)&gt;0,SUM(D23:O23),0)</f>
        <v>0</v>
      </c>
      <c r="BM23" s="497" t="n">
        <f aca="false">BL23*(1+$BS$17)</f>
        <v>0</v>
      </c>
      <c r="BN23" s="497" t="n">
        <f aca="false">BM23*(1+$BS$17)</f>
        <v>0</v>
      </c>
      <c r="BO23" s="497" t="n">
        <f aca="false">BN23*(1+$BS$17)</f>
        <v>0</v>
      </c>
      <c r="BP23" s="497" t="n">
        <f aca="false">BO23*(1+$BS$17)</f>
        <v>0</v>
      </c>
      <c r="BQ23" s="200"/>
      <c r="BR23" s="196"/>
      <c r="BS23" s="196"/>
      <c r="BT23" s="196"/>
    </row>
    <row r="24" s="434" customFormat="true" ht="12.75" hidden="false" customHeight="true" outlineLevel="0" collapsed="false">
      <c r="A24" s="230" t="n">
        <f aca="false">A10</f>
        <v>0</v>
      </c>
      <c r="B24" s="196" t="s">
        <v>1703</v>
      </c>
      <c r="C24" s="196"/>
      <c r="D24" s="483" t="n">
        <f aca="false">IF(B24="pt hourly",(C24*$BT$17*52)/12)+IF(B24="ft hourly",(C24*40*52)/12,0)+IF(B24="weekly",(C24*52)/12,0)+IF(B24="monthly",C24,0)+IF(B24="yearly",C24/12)</f>
        <v>0</v>
      </c>
      <c r="E24" s="483" t="n">
        <f aca="false">D24</f>
        <v>0</v>
      </c>
      <c r="F24" s="483" t="n">
        <f aca="false">E24</f>
        <v>0</v>
      </c>
      <c r="G24" s="483" t="n">
        <f aca="false">F24</f>
        <v>0</v>
      </c>
      <c r="H24" s="483" t="n">
        <f aca="false">G24</f>
        <v>0</v>
      </c>
      <c r="I24" s="483" t="n">
        <f aca="false">H24</f>
        <v>0</v>
      </c>
      <c r="J24" s="483" t="n">
        <f aca="false">I24</f>
        <v>0</v>
      </c>
      <c r="K24" s="483" t="n">
        <f aca="false">J24</f>
        <v>0</v>
      </c>
      <c r="L24" s="483" t="n">
        <f aca="false">K24</f>
        <v>0</v>
      </c>
      <c r="M24" s="483" t="n">
        <f aca="false">L24</f>
        <v>0</v>
      </c>
      <c r="N24" s="483" t="n">
        <f aca="false">M24</f>
        <v>0</v>
      </c>
      <c r="O24" s="501" t="n">
        <f aca="false">N24</f>
        <v>0</v>
      </c>
      <c r="P24" s="499" t="n">
        <f aca="false">O24*1.05</f>
        <v>0</v>
      </c>
      <c r="Q24" s="500" t="n">
        <f aca="false">P24</f>
        <v>0</v>
      </c>
      <c r="R24" s="500" t="n">
        <f aca="false">Q24</f>
        <v>0</v>
      </c>
      <c r="S24" s="500" t="n">
        <f aca="false">R24</f>
        <v>0</v>
      </c>
      <c r="T24" s="500" t="n">
        <f aca="false">S24</f>
        <v>0</v>
      </c>
      <c r="U24" s="500" t="n">
        <f aca="false">T24</f>
        <v>0</v>
      </c>
      <c r="V24" s="500" t="n">
        <f aca="false">U24</f>
        <v>0</v>
      </c>
      <c r="W24" s="500" t="n">
        <f aca="false">V24</f>
        <v>0</v>
      </c>
      <c r="X24" s="500" t="n">
        <f aca="false">W24</f>
        <v>0</v>
      </c>
      <c r="Y24" s="500" t="n">
        <f aca="false">X24</f>
        <v>0</v>
      </c>
      <c r="Z24" s="500" t="n">
        <f aca="false">Y24</f>
        <v>0</v>
      </c>
      <c r="AA24" s="486" t="n">
        <f aca="false">Z24</f>
        <v>0</v>
      </c>
      <c r="AB24" s="487" t="n">
        <f aca="false">AA24*1.05</f>
        <v>0</v>
      </c>
      <c r="AC24" s="488" t="n">
        <f aca="false">AB24</f>
        <v>0</v>
      </c>
      <c r="AD24" s="488" t="n">
        <f aca="false">AC24</f>
        <v>0</v>
      </c>
      <c r="AE24" s="488" t="n">
        <f aca="false">AD24</f>
        <v>0</v>
      </c>
      <c r="AF24" s="488" t="n">
        <f aca="false">AE24</f>
        <v>0</v>
      </c>
      <c r="AG24" s="488" t="n">
        <f aca="false">AF24</f>
        <v>0</v>
      </c>
      <c r="AH24" s="488" t="n">
        <f aca="false">AG24</f>
        <v>0</v>
      </c>
      <c r="AI24" s="488" t="n">
        <f aca="false">AH24</f>
        <v>0</v>
      </c>
      <c r="AJ24" s="488" t="n">
        <f aca="false">AI24</f>
        <v>0</v>
      </c>
      <c r="AK24" s="488" t="n">
        <f aca="false">AJ24</f>
        <v>0</v>
      </c>
      <c r="AL24" s="488" t="n">
        <f aca="false">AK24</f>
        <v>0</v>
      </c>
      <c r="AM24" s="489" t="n">
        <f aca="false">AL24</f>
        <v>0</v>
      </c>
      <c r="AN24" s="490" t="n">
        <f aca="false">AM24*1.05</f>
        <v>0</v>
      </c>
      <c r="AO24" s="491" t="n">
        <f aca="false">AN24</f>
        <v>0</v>
      </c>
      <c r="AP24" s="491" t="n">
        <f aca="false">AO24</f>
        <v>0</v>
      </c>
      <c r="AQ24" s="491" t="n">
        <f aca="false">AP24</f>
        <v>0</v>
      </c>
      <c r="AR24" s="491" t="n">
        <f aca="false">AQ24</f>
        <v>0</v>
      </c>
      <c r="AS24" s="491" t="n">
        <f aca="false">AR24</f>
        <v>0</v>
      </c>
      <c r="AT24" s="491" t="n">
        <f aca="false">AS24</f>
        <v>0</v>
      </c>
      <c r="AU24" s="491" t="n">
        <f aca="false">AT24</f>
        <v>0</v>
      </c>
      <c r="AV24" s="491" t="n">
        <f aca="false">AU24</f>
        <v>0</v>
      </c>
      <c r="AW24" s="491" t="n">
        <f aca="false">AV24</f>
        <v>0</v>
      </c>
      <c r="AX24" s="491" t="n">
        <f aca="false">AW24</f>
        <v>0</v>
      </c>
      <c r="AY24" s="492" t="n">
        <f aca="false">AX24</f>
        <v>0</v>
      </c>
      <c r="AZ24" s="493" t="n">
        <f aca="false">AY24*1.05</f>
        <v>0</v>
      </c>
      <c r="BA24" s="494" t="n">
        <f aca="false">AZ24</f>
        <v>0</v>
      </c>
      <c r="BB24" s="494" t="n">
        <f aca="false">BA24</f>
        <v>0</v>
      </c>
      <c r="BC24" s="494" t="n">
        <f aca="false">BB24</f>
        <v>0</v>
      </c>
      <c r="BD24" s="494" t="n">
        <f aca="false">BC24</f>
        <v>0</v>
      </c>
      <c r="BE24" s="494" t="n">
        <f aca="false">BD24</f>
        <v>0</v>
      </c>
      <c r="BF24" s="494" t="n">
        <f aca="false">BE24</f>
        <v>0</v>
      </c>
      <c r="BG24" s="494" t="n">
        <f aca="false">BF24</f>
        <v>0</v>
      </c>
      <c r="BH24" s="494" t="n">
        <f aca="false">BG24</f>
        <v>0</v>
      </c>
      <c r="BI24" s="494" t="n">
        <f aca="false">BH24</f>
        <v>0</v>
      </c>
      <c r="BJ24" s="494" t="n">
        <f aca="false">BI24</f>
        <v>0</v>
      </c>
      <c r="BK24" s="495" t="n">
        <f aca="false">BJ24</f>
        <v>0</v>
      </c>
      <c r="BL24" s="497" t="n">
        <f aca="false">IF(SUM(D24:O24)&gt;0,SUM(D24:O24),0)</f>
        <v>0</v>
      </c>
      <c r="BM24" s="497" t="n">
        <f aca="false">BL24*(1+$BS$17)</f>
        <v>0</v>
      </c>
      <c r="BN24" s="497" t="n">
        <f aca="false">BM24*(1+$BS$17)</f>
        <v>0</v>
      </c>
      <c r="BO24" s="497" t="n">
        <f aca="false">BN24*(1+$BS$17)</f>
        <v>0</v>
      </c>
      <c r="BP24" s="497" t="n">
        <f aca="false">BO24*(1+$BS$17)</f>
        <v>0</v>
      </c>
      <c r="BQ24" s="200"/>
      <c r="BR24" s="196"/>
      <c r="BS24" s="196"/>
      <c r="BT24" s="196"/>
    </row>
    <row r="25" customFormat="false" ht="12.75" hidden="false" customHeight="true" outlineLevel="0" collapsed="false">
      <c r="A25" s="230" t="n">
        <f aca="false">A11</f>
        <v>0</v>
      </c>
      <c r="B25" s="196" t="s">
        <v>1711</v>
      </c>
      <c r="C25" s="196"/>
      <c r="D25" s="483" t="n">
        <f aca="false">IF(B25="pt hourly",(C25*$BT$17*52)/12)+IF(B25="ft hourly",(C25*40*52)/12,0)+IF(B25="weekly",(C25*52)/12,0)+IF(B25="monthly",C25,0)+IF(B25="yearly",C25/12)</f>
        <v>0</v>
      </c>
      <c r="E25" s="483" t="n">
        <f aca="false">D25</f>
        <v>0</v>
      </c>
      <c r="F25" s="483" t="n">
        <f aca="false">E25</f>
        <v>0</v>
      </c>
      <c r="G25" s="483" t="n">
        <f aca="false">F25</f>
        <v>0</v>
      </c>
      <c r="H25" s="483" t="n">
        <f aca="false">G25</f>
        <v>0</v>
      </c>
      <c r="I25" s="483" t="n">
        <f aca="false">H25</f>
        <v>0</v>
      </c>
      <c r="J25" s="483" t="n">
        <f aca="false">I25</f>
        <v>0</v>
      </c>
      <c r="K25" s="483" t="n">
        <f aca="false">J25</f>
        <v>0</v>
      </c>
      <c r="L25" s="483" t="n">
        <f aca="false">K25</f>
        <v>0</v>
      </c>
      <c r="M25" s="483" t="n">
        <f aca="false">L25</f>
        <v>0</v>
      </c>
      <c r="N25" s="483" t="n">
        <f aca="false">M25</f>
        <v>0</v>
      </c>
      <c r="O25" s="501" t="n">
        <f aca="false">N25</f>
        <v>0</v>
      </c>
      <c r="P25" s="499" t="n">
        <f aca="false">O25*1.05</f>
        <v>0</v>
      </c>
      <c r="Q25" s="500" t="n">
        <f aca="false">P25</f>
        <v>0</v>
      </c>
      <c r="R25" s="500" t="n">
        <f aca="false">Q25</f>
        <v>0</v>
      </c>
      <c r="S25" s="500" t="n">
        <f aca="false">R25</f>
        <v>0</v>
      </c>
      <c r="T25" s="500" t="n">
        <f aca="false">S25</f>
        <v>0</v>
      </c>
      <c r="U25" s="500" t="n">
        <f aca="false">T25</f>
        <v>0</v>
      </c>
      <c r="V25" s="500" t="n">
        <f aca="false">U25</f>
        <v>0</v>
      </c>
      <c r="W25" s="500" t="n">
        <f aca="false">V25</f>
        <v>0</v>
      </c>
      <c r="X25" s="500" t="n">
        <f aca="false">W25</f>
        <v>0</v>
      </c>
      <c r="Y25" s="500" t="n">
        <f aca="false">X25</f>
        <v>0</v>
      </c>
      <c r="Z25" s="500" t="n">
        <f aca="false">Y25</f>
        <v>0</v>
      </c>
      <c r="AA25" s="486" t="n">
        <f aca="false">Z25</f>
        <v>0</v>
      </c>
      <c r="AB25" s="487" t="n">
        <f aca="false">AA25*1.05</f>
        <v>0</v>
      </c>
      <c r="AC25" s="488" t="n">
        <f aca="false">AB25</f>
        <v>0</v>
      </c>
      <c r="AD25" s="488" t="n">
        <f aca="false">AC25</f>
        <v>0</v>
      </c>
      <c r="AE25" s="488" t="n">
        <f aca="false">AD25</f>
        <v>0</v>
      </c>
      <c r="AF25" s="488" t="n">
        <f aca="false">AE25</f>
        <v>0</v>
      </c>
      <c r="AG25" s="488" t="n">
        <f aca="false">AF25</f>
        <v>0</v>
      </c>
      <c r="AH25" s="488" t="n">
        <f aca="false">AG25</f>
        <v>0</v>
      </c>
      <c r="AI25" s="488" t="n">
        <f aca="false">AH25</f>
        <v>0</v>
      </c>
      <c r="AJ25" s="488" t="n">
        <f aca="false">AI25</f>
        <v>0</v>
      </c>
      <c r="AK25" s="488" t="n">
        <f aca="false">AJ25</f>
        <v>0</v>
      </c>
      <c r="AL25" s="488" t="n">
        <f aca="false">AK25</f>
        <v>0</v>
      </c>
      <c r="AM25" s="489" t="n">
        <f aca="false">AL25</f>
        <v>0</v>
      </c>
      <c r="AN25" s="490" t="n">
        <f aca="false">AM25*1.05</f>
        <v>0</v>
      </c>
      <c r="AO25" s="491" t="n">
        <f aca="false">AN25</f>
        <v>0</v>
      </c>
      <c r="AP25" s="491" t="n">
        <f aca="false">AO25</f>
        <v>0</v>
      </c>
      <c r="AQ25" s="491" t="n">
        <f aca="false">AP25</f>
        <v>0</v>
      </c>
      <c r="AR25" s="491" t="n">
        <f aca="false">AQ25</f>
        <v>0</v>
      </c>
      <c r="AS25" s="491" t="n">
        <f aca="false">AR25</f>
        <v>0</v>
      </c>
      <c r="AT25" s="491" t="n">
        <f aca="false">AS25</f>
        <v>0</v>
      </c>
      <c r="AU25" s="491" t="n">
        <f aca="false">AT25</f>
        <v>0</v>
      </c>
      <c r="AV25" s="491" t="n">
        <f aca="false">AU25</f>
        <v>0</v>
      </c>
      <c r="AW25" s="491" t="n">
        <f aca="false">AV25</f>
        <v>0</v>
      </c>
      <c r="AX25" s="491" t="n">
        <f aca="false">AW25</f>
        <v>0</v>
      </c>
      <c r="AY25" s="492" t="n">
        <f aca="false">AX25</f>
        <v>0</v>
      </c>
      <c r="AZ25" s="493" t="n">
        <f aca="false">AY25*1.05</f>
        <v>0</v>
      </c>
      <c r="BA25" s="494" t="n">
        <f aca="false">AZ25</f>
        <v>0</v>
      </c>
      <c r="BB25" s="494" t="n">
        <f aca="false">BA25</f>
        <v>0</v>
      </c>
      <c r="BC25" s="494" t="n">
        <f aca="false">BB25</f>
        <v>0</v>
      </c>
      <c r="BD25" s="494" t="n">
        <f aca="false">BC25</f>
        <v>0</v>
      </c>
      <c r="BE25" s="494" t="n">
        <f aca="false">BD25</f>
        <v>0</v>
      </c>
      <c r="BF25" s="494" t="n">
        <f aca="false">BE25</f>
        <v>0</v>
      </c>
      <c r="BG25" s="494" t="n">
        <f aca="false">BF25</f>
        <v>0</v>
      </c>
      <c r="BH25" s="494" t="n">
        <f aca="false">BG25</f>
        <v>0</v>
      </c>
      <c r="BI25" s="494" t="n">
        <f aca="false">BH25</f>
        <v>0</v>
      </c>
      <c r="BJ25" s="494" t="n">
        <f aca="false">BI25</f>
        <v>0</v>
      </c>
      <c r="BK25" s="495" t="n">
        <f aca="false">BJ25</f>
        <v>0</v>
      </c>
      <c r="BL25" s="497" t="n">
        <f aca="false">IF(SUM(D25:O25)&gt;0,SUM(D25:O25),0)</f>
        <v>0</v>
      </c>
      <c r="BM25" s="497" t="n">
        <f aca="false">BL25*(1+$BS$17)</f>
        <v>0</v>
      </c>
      <c r="BN25" s="497" t="n">
        <f aca="false">BM25*(1+$BS$17)</f>
        <v>0</v>
      </c>
      <c r="BO25" s="497" t="n">
        <f aca="false">BN25*(1+$BS$17)</f>
        <v>0</v>
      </c>
      <c r="BP25" s="497" t="n">
        <f aca="false">BO25*(1+$BS$17)</f>
        <v>0</v>
      </c>
      <c r="BQ25" s="200"/>
      <c r="BR25" s="196"/>
      <c r="BS25" s="196"/>
      <c r="BT25" s="196"/>
    </row>
    <row r="26" customFormat="false" ht="12.75" hidden="false" customHeight="true" outlineLevel="0" collapsed="false">
      <c r="A26" s="230" t="n">
        <f aca="false">A12</f>
        <v>0</v>
      </c>
      <c r="B26" s="196" t="s">
        <v>1711</v>
      </c>
      <c r="C26" s="196"/>
      <c r="D26" s="483" t="n">
        <f aca="false">IF(B26="pt hourly",(C26*$BT$17*52)/12)+IF(B26="ft hourly",(C26*40*52)/12,0)+IF(B26="weekly",(C26*52)/12,0)+IF(B26="monthly",C26,0)+IF(B26="yearly",C26/12)</f>
        <v>0</v>
      </c>
      <c r="E26" s="483" t="n">
        <f aca="false">D26</f>
        <v>0</v>
      </c>
      <c r="F26" s="483" t="n">
        <f aca="false">E26</f>
        <v>0</v>
      </c>
      <c r="G26" s="483" t="n">
        <f aca="false">F26</f>
        <v>0</v>
      </c>
      <c r="H26" s="483" t="n">
        <f aca="false">G26</f>
        <v>0</v>
      </c>
      <c r="I26" s="483" t="n">
        <f aca="false">H26</f>
        <v>0</v>
      </c>
      <c r="J26" s="483" t="n">
        <f aca="false">I26</f>
        <v>0</v>
      </c>
      <c r="K26" s="483" t="n">
        <f aca="false">J26</f>
        <v>0</v>
      </c>
      <c r="L26" s="483" t="n">
        <f aca="false">K26</f>
        <v>0</v>
      </c>
      <c r="M26" s="483" t="n">
        <f aca="false">L26</f>
        <v>0</v>
      </c>
      <c r="N26" s="483" t="n">
        <f aca="false">M26</f>
        <v>0</v>
      </c>
      <c r="O26" s="501" t="n">
        <f aca="false">N26</f>
        <v>0</v>
      </c>
      <c r="P26" s="499" t="n">
        <f aca="false">O26*1.05</f>
        <v>0</v>
      </c>
      <c r="Q26" s="500" t="n">
        <f aca="false">P26</f>
        <v>0</v>
      </c>
      <c r="R26" s="500" t="n">
        <f aca="false">Q26</f>
        <v>0</v>
      </c>
      <c r="S26" s="500" t="n">
        <f aca="false">R26</f>
        <v>0</v>
      </c>
      <c r="T26" s="500" t="n">
        <f aca="false">S26</f>
        <v>0</v>
      </c>
      <c r="U26" s="500" t="n">
        <f aca="false">T26</f>
        <v>0</v>
      </c>
      <c r="V26" s="500" t="n">
        <f aca="false">U26</f>
        <v>0</v>
      </c>
      <c r="W26" s="500" t="n">
        <f aca="false">V26</f>
        <v>0</v>
      </c>
      <c r="X26" s="500" t="n">
        <f aca="false">W26</f>
        <v>0</v>
      </c>
      <c r="Y26" s="500" t="n">
        <f aca="false">X26</f>
        <v>0</v>
      </c>
      <c r="Z26" s="500" t="n">
        <f aca="false">Y26</f>
        <v>0</v>
      </c>
      <c r="AA26" s="486" t="n">
        <f aca="false">Z26</f>
        <v>0</v>
      </c>
      <c r="AB26" s="487" t="n">
        <f aca="false">AA26*1.05</f>
        <v>0</v>
      </c>
      <c r="AC26" s="488" t="n">
        <f aca="false">AB26</f>
        <v>0</v>
      </c>
      <c r="AD26" s="488" t="n">
        <f aca="false">AC26</f>
        <v>0</v>
      </c>
      <c r="AE26" s="488" t="n">
        <f aca="false">AD26</f>
        <v>0</v>
      </c>
      <c r="AF26" s="488" t="n">
        <f aca="false">AE26</f>
        <v>0</v>
      </c>
      <c r="AG26" s="488" t="n">
        <f aca="false">AF26</f>
        <v>0</v>
      </c>
      <c r="AH26" s="488" t="n">
        <f aca="false">AG26</f>
        <v>0</v>
      </c>
      <c r="AI26" s="488" t="n">
        <f aca="false">AH26</f>
        <v>0</v>
      </c>
      <c r="AJ26" s="488" t="n">
        <f aca="false">AI26</f>
        <v>0</v>
      </c>
      <c r="AK26" s="488" t="n">
        <f aca="false">AJ26</f>
        <v>0</v>
      </c>
      <c r="AL26" s="488" t="n">
        <f aca="false">AK26</f>
        <v>0</v>
      </c>
      <c r="AM26" s="489" t="n">
        <f aca="false">AL26</f>
        <v>0</v>
      </c>
      <c r="AN26" s="490" t="n">
        <f aca="false">AM26*1.05</f>
        <v>0</v>
      </c>
      <c r="AO26" s="491" t="n">
        <f aca="false">AN26</f>
        <v>0</v>
      </c>
      <c r="AP26" s="491" t="n">
        <f aca="false">AO26</f>
        <v>0</v>
      </c>
      <c r="AQ26" s="491" t="n">
        <f aca="false">AP26</f>
        <v>0</v>
      </c>
      <c r="AR26" s="491" t="n">
        <f aca="false">AQ26</f>
        <v>0</v>
      </c>
      <c r="AS26" s="491" t="n">
        <f aca="false">AR26</f>
        <v>0</v>
      </c>
      <c r="AT26" s="491" t="n">
        <f aca="false">AS26</f>
        <v>0</v>
      </c>
      <c r="AU26" s="491" t="n">
        <f aca="false">AT26</f>
        <v>0</v>
      </c>
      <c r="AV26" s="491" t="n">
        <f aca="false">AU26</f>
        <v>0</v>
      </c>
      <c r="AW26" s="491" t="n">
        <f aca="false">AV26</f>
        <v>0</v>
      </c>
      <c r="AX26" s="491" t="n">
        <f aca="false">AW26</f>
        <v>0</v>
      </c>
      <c r="AY26" s="492" t="n">
        <f aca="false">AX26</f>
        <v>0</v>
      </c>
      <c r="AZ26" s="493" t="n">
        <f aca="false">AY26*1.05</f>
        <v>0</v>
      </c>
      <c r="BA26" s="494" t="n">
        <f aca="false">AZ26</f>
        <v>0</v>
      </c>
      <c r="BB26" s="494" t="n">
        <f aca="false">BA26</f>
        <v>0</v>
      </c>
      <c r="BC26" s="494" t="n">
        <f aca="false">BB26</f>
        <v>0</v>
      </c>
      <c r="BD26" s="494" t="n">
        <f aca="false">BC26</f>
        <v>0</v>
      </c>
      <c r="BE26" s="494" t="n">
        <f aca="false">BD26</f>
        <v>0</v>
      </c>
      <c r="BF26" s="494" t="n">
        <f aca="false">BE26</f>
        <v>0</v>
      </c>
      <c r="BG26" s="494" t="n">
        <f aca="false">BF26</f>
        <v>0</v>
      </c>
      <c r="BH26" s="494" t="n">
        <f aca="false">BG26</f>
        <v>0</v>
      </c>
      <c r="BI26" s="494" t="n">
        <f aca="false">BH26</f>
        <v>0</v>
      </c>
      <c r="BJ26" s="494" t="n">
        <f aca="false">BI26</f>
        <v>0</v>
      </c>
      <c r="BK26" s="495" t="n">
        <f aca="false">BJ26</f>
        <v>0</v>
      </c>
      <c r="BL26" s="497" t="n">
        <f aca="false">IF(SUM(D26:O26)&gt;0,SUM(D26:O26),0)</f>
        <v>0</v>
      </c>
      <c r="BM26" s="497" t="n">
        <f aca="false">BL26*(1+$BS$17)</f>
        <v>0</v>
      </c>
      <c r="BN26" s="497" t="n">
        <f aca="false">BM26*(1+$BS$17)</f>
        <v>0</v>
      </c>
      <c r="BO26" s="497" t="n">
        <f aca="false">BN26*(1+$BS$17)</f>
        <v>0</v>
      </c>
      <c r="BP26" s="497" t="n">
        <f aca="false">BO26*(1+$BS$17)</f>
        <v>0</v>
      </c>
      <c r="BQ26" s="200"/>
      <c r="BR26" s="196"/>
      <c r="BS26" s="196"/>
      <c r="BT26" s="196"/>
    </row>
    <row r="27" customFormat="false" ht="13.5" hidden="false" customHeight="true" outlineLevel="0" collapsed="false">
      <c r="A27" s="230" t="n">
        <f aca="false">A13</f>
        <v>0</v>
      </c>
      <c r="B27" s="196" t="s">
        <v>1711</v>
      </c>
      <c r="C27" s="196"/>
      <c r="D27" s="502" t="n">
        <f aca="false">IF(B27="pt hourly",(C27*$BT$17*52)/12)+IF(B27="ft hourly",(C27*40*52)/12,0)+IF(B27="weekly",(C27*52)/12,0)+IF(B27="monthly",C27,0)+IF(B27="yearly",C27/12)</f>
        <v>0</v>
      </c>
      <c r="E27" s="483" t="n">
        <f aca="false">D27</f>
        <v>0</v>
      </c>
      <c r="F27" s="502" t="n">
        <f aca="false">E27</f>
        <v>0</v>
      </c>
      <c r="G27" s="502" t="n">
        <f aca="false">F27</f>
        <v>0</v>
      </c>
      <c r="H27" s="502" t="n">
        <f aca="false">G27</f>
        <v>0</v>
      </c>
      <c r="I27" s="502" t="n">
        <f aca="false">H27</f>
        <v>0</v>
      </c>
      <c r="J27" s="502" t="n">
        <f aca="false">I27</f>
        <v>0</v>
      </c>
      <c r="K27" s="502" t="n">
        <f aca="false">J27</f>
        <v>0</v>
      </c>
      <c r="L27" s="502" t="n">
        <f aca="false">K27</f>
        <v>0</v>
      </c>
      <c r="M27" s="502" t="n">
        <f aca="false">L27</f>
        <v>0</v>
      </c>
      <c r="N27" s="502" t="n">
        <f aca="false">M27</f>
        <v>0</v>
      </c>
      <c r="O27" s="503" t="n">
        <f aca="false">N27</f>
        <v>0</v>
      </c>
      <c r="P27" s="504" t="n">
        <f aca="false">O27*1.05</f>
        <v>0</v>
      </c>
      <c r="Q27" s="505" t="n">
        <f aca="false">P27</f>
        <v>0</v>
      </c>
      <c r="R27" s="505" t="n">
        <f aca="false">Q27</f>
        <v>0</v>
      </c>
      <c r="S27" s="505" t="n">
        <f aca="false">R27</f>
        <v>0</v>
      </c>
      <c r="T27" s="505" t="n">
        <f aca="false">S27</f>
        <v>0</v>
      </c>
      <c r="U27" s="505" t="n">
        <f aca="false">T27</f>
        <v>0</v>
      </c>
      <c r="V27" s="505" t="n">
        <f aca="false">U27</f>
        <v>0</v>
      </c>
      <c r="W27" s="505" t="n">
        <f aca="false">V27</f>
        <v>0</v>
      </c>
      <c r="X27" s="505" t="n">
        <f aca="false">W27</f>
        <v>0</v>
      </c>
      <c r="Y27" s="505" t="n">
        <f aca="false">X27</f>
        <v>0</v>
      </c>
      <c r="Z27" s="505" t="n">
        <f aca="false">Y27</f>
        <v>0</v>
      </c>
      <c r="AA27" s="506" t="n">
        <f aca="false">Z27</f>
        <v>0</v>
      </c>
      <c r="AB27" s="507" t="n">
        <f aca="false">AA27*1.05</f>
        <v>0</v>
      </c>
      <c r="AC27" s="508" t="n">
        <f aca="false">AB27</f>
        <v>0</v>
      </c>
      <c r="AD27" s="508" t="n">
        <f aca="false">AC27</f>
        <v>0</v>
      </c>
      <c r="AE27" s="508" t="n">
        <f aca="false">AD27</f>
        <v>0</v>
      </c>
      <c r="AF27" s="508" t="n">
        <f aca="false">AE27</f>
        <v>0</v>
      </c>
      <c r="AG27" s="508" t="n">
        <f aca="false">AF27</f>
        <v>0</v>
      </c>
      <c r="AH27" s="508" t="n">
        <f aca="false">AG27</f>
        <v>0</v>
      </c>
      <c r="AI27" s="508" t="n">
        <f aca="false">AH27</f>
        <v>0</v>
      </c>
      <c r="AJ27" s="508" t="n">
        <f aca="false">AI27</f>
        <v>0</v>
      </c>
      <c r="AK27" s="508" t="n">
        <f aca="false">AJ27</f>
        <v>0</v>
      </c>
      <c r="AL27" s="508" t="n">
        <f aca="false">AK27</f>
        <v>0</v>
      </c>
      <c r="AM27" s="509" t="n">
        <f aca="false">AL27</f>
        <v>0</v>
      </c>
      <c r="AN27" s="510" t="n">
        <f aca="false">AM27*1.05</f>
        <v>0</v>
      </c>
      <c r="AO27" s="511" t="n">
        <f aca="false">AN27</f>
        <v>0</v>
      </c>
      <c r="AP27" s="511" t="n">
        <f aca="false">AO27</f>
        <v>0</v>
      </c>
      <c r="AQ27" s="511" t="n">
        <f aca="false">AP27</f>
        <v>0</v>
      </c>
      <c r="AR27" s="511" t="n">
        <f aca="false">AQ27</f>
        <v>0</v>
      </c>
      <c r="AS27" s="511" t="n">
        <f aca="false">AR27</f>
        <v>0</v>
      </c>
      <c r="AT27" s="511" t="n">
        <f aca="false">AS27</f>
        <v>0</v>
      </c>
      <c r="AU27" s="511" t="n">
        <f aca="false">AT27</f>
        <v>0</v>
      </c>
      <c r="AV27" s="511" t="n">
        <f aca="false">AU27</f>
        <v>0</v>
      </c>
      <c r="AW27" s="511" t="n">
        <f aca="false">AV27</f>
        <v>0</v>
      </c>
      <c r="AX27" s="511" t="n">
        <f aca="false">AW27</f>
        <v>0</v>
      </c>
      <c r="AY27" s="512" t="n">
        <f aca="false">AX27</f>
        <v>0</v>
      </c>
      <c r="AZ27" s="513" t="n">
        <f aca="false">AY27*1.05</f>
        <v>0</v>
      </c>
      <c r="BA27" s="514" t="n">
        <f aca="false">AZ27</f>
        <v>0</v>
      </c>
      <c r="BB27" s="514" t="n">
        <f aca="false">BA27</f>
        <v>0</v>
      </c>
      <c r="BC27" s="514" t="n">
        <f aca="false">BB27</f>
        <v>0</v>
      </c>
      <c r="BD27" s="514" t="n">
        <f aca="false">BC27</f>
        <v>0</v>
      </c>
      <c r="BE27" s="514" t="n">
        <f aca="false">BD27</f>
        <v>0</v>
      </c>
      <c r="BF27" s="514" t="n">
        <f aca="false">BE27</f>
        <v>0</v>
      </c>
      <c r="BG27" s="514" t="n">
        <f aca="false">BF27</f>
        <v>0</v>
      </c>
      <c r="BH27" s="514" t="n">
        <f aca="false">BG27</f>
        <v>0</v>
      </c>
      <c r="BI27" s="514" t="n">
        <f aca="false">BH27</f>
        <v>0</v>
      </c>
      <c r="BJ27" s="514" t="n">
        <f aca="false">BI27</f>
        <v>0</v>
      </c>
      <c r="BK27" s="515" t="n">
        <f aca="false">BJ27</f>
        <v>0</v>
      </c>
      <c r="BL27" s="497" t="n">
        <f aca="false">IF(SUM(D27:O27)&gt;0,SUM(D27:O27),0)</f>
        <v>0</v>
      </c>
      <c r="BM27" s="497" t="n">
        <f aca="false">BL27*(1+$BS$17)</f>
        <v>0</v>
      </c>
      <c r="BN27" s="497" t="n">
        <f aca="false">BM27*(1+$BS$17)</f>
        <v>0</v>
      </c>
      <c r="BO27" s="497" t="n">
        <f aca="false">BN27*(1+$BS$17)</f>
        <v>0</v>
      </c>
      <c r="BP27" s="497" t="n">
        <f aca="false">BO27*(1+$BS$17)</f>
        <v>0</v>
      </c>
      <c r="BQ27" s="200"/>
      <c r="BR27" s="196"/>
      <c r="BS27" s="196"/>
      <c r="BT27" s="196"/>
    </row>
    <row r="28" customFormat="false" ht="13.5" hidden="false" customHeight="true" outlineLevel="0" collapsed="false">
      <c r="A28" s="516"/>
      <c r="B28" s="517"/>
      <c r="C28" s="518"/>
      <c r="D28" s="210"/>
      <c r="E28" s="518"/>
      <c r="F28" s="210"/>
      <c r="G28" s="210"/>
      <c r="H28" s="210"/>
      <c r="I28" s="210"/>
      <c r="J28" s="210"/>
      <c r="K28" s="210"/>
      <c r="L28" s="210"/>
      <c r="M28" s="210"/>
      <c r="N28" s="210"/>
      <c r="O28" s="519"/>
      <c r="P28" s="474"/>
      <c r="Q28" s="196"/>
      <c r="R28" s="196"/>
      <c r="S28" s="196"/>
      <c r="T28" s="196"/>
      <c r="U28" s="196"/>
      <c r="V28" s="196"/>
      <c r="W28" s="196"/>
      <c r="X28" s="196"/>
      <c r="Y28" s="196"/>
      <c r="Z28" s="196"/>
      <c r="AA28" s="218"/>
      <c r="AB28" s="474"/>
      <c r="AC28" s="196"/>
      <c r="AD28" s="196"/>
      <c r="AE28" s="196"/>
      <c r="AF28" s="196"/>
      <c r="AG28" s="196"/>
      <c r="AH28" s="196"/>
      <c r="AI28" s="196"/>
      <c r="AJ28" s="196"/>
      <c r="AK28" s="196"/>
      <c r="AL28" s="196"/>
      <c r="AM28" s="218"/>
      <c r="AN28" s="474"/>
      <c r="AO28" s="196"/>
      <c r="AP28" s="196"/>
      <c r="AQ28" s="196"/>
      <c r="AR28" s="196"/>
      <c r="AS28" s="196"/>
      <c r="AT28" s="196"/>
      <c r="AU28" s="196"/>
      <c r="AV28" s="196"/>
      <c r="AW28" s="196"/>
      <c r="AX28" s="196"/>
      <c r="AY28" s="218"/>
      <c r="AZ28" s="474"/>
      <c r="BA28" s="196"/>
      <c r="BB28" s="196"/>
      <c r="BC28" s="196"/>
      <c r="BD28" s="196"/>
      <c r="BE28" s="196"/>
      <c r="BF28" s="196"/>
      <c r="BG28" s="196"/>
      <c r="BH28" s="196"/>
      <c r="BI28" s="196"/>
      <c r="BJ28" s="196"/>
      <c r="BK28" s="218"/>
      <c r="BL28" s="520"/>
      <c r="BM28" s="518"/>
      <c r="BN28" s="518"/>
      <c r="BO28" s="518"/>
      <c r="BP28" s="521"/>
      <c r="BQ28" s="200"/>
      <c r="BR28" s="196"/>
      <c r="BS28" s="196"/>
      <c r="BT28" s="196"/>
    </row>
    <row r="29" customFormat="false" ht="13.5" hidden="false" customHeight="true" outlineLevel="0" collapsed="false">
      <c r="A29" s="467" t="s">
        <v>1712</v>
      </c>
      <c r="B29" s="467"/>
      <c r="C29" s="467"/>
      <c r="D29" s="477" t="s">
        <v>1678</v>
      </c>
      <c r="E29" s="477" t="s">
        <v>1679</v>
      </c>
      <c r="F29" s="477" t="s">
        <v>1680</v>
      </c>
      <c r="G29" s="477" t="s">
        <v>1681</v>
      </c>
      <c r="H29" s="477" t="s">
        <v>1682</v>
      </c>
      <c r="I29" s="477" t="s">
        <v>1683</v>
      </c>
      <c r="J29" s="477" t="s">
        <v>1684</v>
      </c>
      <c r="K29" s="477" t="s">
        <v>1685</v>
      </c>
      <c r="L29" s="477" t="s">
        <v>1686</v>
      </c>
      <c r="M29" s="477" t="s">
        <v>1687</v>
      </c>
      <c r="N29" s="477" t="s">
        <v>1688</v>
      </c>
      <c r="O29" s="478" t="s">
        <v>1689</v>
      </c>
      <c r="P29" s="479" t="str">
        <f aca="false">P16</f>
        <v>Month 13</v>
      </c>
      <c r="Q29" s="480" t="str">
        <f aca="false">Q16</f>
        <v>Month 14</v>
      </c>
      <c r="R29" s="480" t="str">
        <f aca="false">R16</f>
        <v>Month 15</v>
      </c>
      <c r="S29" s="480" t="str">
        <f aca="false">S16</f>
        <v>Month 16</v>
      </c>
      <c r="T29" s="480" t="str">
        <f aca="false">T16</f>
        <v>Month 17</v>
      </c>
      <c r="U29" s="480" t="str">
        <f aca="false">U16</f>
        <v>Month 18</v>
      </c>
      <c r="V29" s="480" t="str">
        <f aca="false">V16</f>
        <v>Month 19</v>
      </c>
      <c r="W29" s="480" t="str">
        <f aca="false">W16</f>
        <v>Month 20</v>
      </c>
      <c r="X29" s="480" t="str">
        <f aca="false">X16</f>
        <v>Month 21</v>
      </c>
      <c r="Y29" s="480" t="str">
        <f aca="false">Y16</f>
        <v>Month 22</v>
      </c>
      <c r="Z29" s="480" t="str">
        <f aca="false">Z16</f>
        <v>Month 23</v>
      </c>
      <c r="AA29" s="481" t="str">
        <f aca="false">AA16</f>
        <v>Month 24</v>
      </c>
      <c r="AB29" s="479" t="str">
        <f aca="false">AB16</f>
        <v>Month 25</v>
      </c>
      <c r="AC29" s="480" t="str">
        <f aca="false">AC16</f>
        <v>Month 26</v>
      </c>
      <c r="AD29" s="480" t="str">
        <f aca="false">AD16</f>
        <v>Month 27</v>
      </c>
      <c r="AE29" s="480" t="str">
        <f aca="false">AE16</f>
        <v>Month 28</v>
      </c>
      <c r="AF29" s="480" t="str">
        <f aca="false">AF16</f>
        <v>Month 29</v>
      </c>
      <c r="AG29" s="480" t="str">
        <f aca="false">AG16</f>
        <v>Month 30</v>
      </c>
      <c r="AH29" s="480" t="str">
        <f aca="false">AH16</f>
        <v>Month 31</v>
      </c>
      <c r="AI29" s="480" t="str">
        <f aca="false">AI16</f>
        <v>Month 32</v>
      </c>
      <c r="AJ29" s="480" t="str">
        <f aca="false">AJ16</f>
        <v>Month 33</v>
      </c>
      <c r="AK29" s="480" t="str">
        <f aca="false">AK16</f>
        <v>Month 34</v>
      </c>
      <c r="AL29" s="480" t="str">
        <f aca="false">AL16</f>
        <v>Month 35</v>
      </c>
      <c r="AM29" s="481" t="str">
        <f aca="false">AM16</f>
        <v>Month 36</v>
      </c>
      <c r="AN29" s="479" t="str">
        <f aca="false">AN16</f>
        <v>Month 37</v>
      </c>
      <c r="AO29" s="480" t="str">
        <f aca="false">AO16</f>
        <v>Month 38</v>
      </c>
      <c r="AP29" s="480" t="str">
        <f aca="false">AP16</f>
        <v>Month 39</v>
      </c>
      <c r="AQ29" s="480" t="str">
        <f aca="false">AQ16</f>
        <v>Month 40</v>
      </c>
      <c r="AR29" s="480" t="str">
        <f aca="false">AR16</f>
        <v>Month 41</v>
      </c>
      <c r="AS29" s="480" t="str">
        <f aca="false">AS16</f>
        <v>Month 42</v>
      </c>
      <c r="AT29" s="480" t="str">
        <f aca="false">AT16</f>
        <v>Month 43</v>
      </c>
      <c r="AU29" s="480" t="str">
        <f aca="false">AU16</f>
        <v>Month 44</v>
      </c>
      <c r="AV29" s="480" t="str">
        <f aca="false">AV16</f>
        <v>Month 45</v>
      </c>
      <c r="AW29" s="480" t="str">
        <f aca="false">AW16</f>
        <v>Month 46</v>
      </c>
      <c r="AX29" s="480" t="str">
        <f aca="false">AX16</f>
        <v>Month 47</v>
      </c>
      <c r="AY29" s="481" t="str">
        <f aca="false">AY16</f>
        <v>Month 48</v>
      </c>
      <c r="AZ29" s="479" t="str">
        <f aca="false">AZ16</f>
        <v>Month 49</v>
      </c>
      <c r="BA29" s="480" t="str">
        <f aca="false">BA16</f>
        <v>Month 50</v>
      </c>
      <c r="BB29" s="480" t="str">
        <f aca="false">BB16</f>
        <v>Month 51</v>
      </c>
      <c r="BC29" s="480" t="str">
        <f aca="false">BC16</f>
        <v>Month 52</v>
      </c>
      <c r="BD29" s="480" t="str">
        <f aca="false">BD16</f>
        <v>Month 53</v>
      </c>
      <c r="BE29" s="480" t="str">
        <f aca="false">BE16</f>
        <v>Month 54</v>
      </c>
      <c r="BF29" s="480" t="str">
        <f aca="false">BF16</f>
        <v>Month 55</v>
      </c>
      <c r="BG29" s="480" t="str">
        <f aca="false">BG16</f>
        <v>Month 56</v>
      </c>
      <c r="BH29" s="480" t="str">
        <f aca="false">BH16</f>
        <v>Month 57</v>
      </c>
      <c r="BI29" s="480" t="str">
        <f aca="false">BI16</f>
        <v>Month 58</v>
      </c>
      <c r="BJ29" s="480" t="str">
        <f aca="false">BJ16</f>
        <v>Month 59</v>
      </c>
      <c r="BK29" s="481" t="str">
        <f aca="false">BK16</f>
        <v>Month 60</v>
      </c>
      <c r="BL29" s="433" t="s">
        <v>1690</v>
      </c>
      <c r="BM29" s="433" t="s">
        <v>1691</v>
      </c>
      <c r="BN29" s="433" t="s">
        <v>1692</v>
      </c>
      <c r="BO29" s="433" t="s">
        <v>1693</v>
      </c>
      <c r="BP29" s="433" t="s">
        <v>1694</v>
      </c>
      <c r="BQ29" s="200"/>
      <c r="BR29" s="196"/>
      <c r="BS29" s="196"/>
      <c r="BT29" s="196"/>
    </row>
    <row r="30" customFormat="false" ht="12.75" hidden="false" customHeight="true" outlineLevel="0" collapsed="false">
      <c r="A30" s="229" t="str">
        <f aca="false">A3</f>
        <v>Trades</v>
      </c>
      <c r="B30" s="229"/>
      <c r="C30" s="229"/>
      <c r="D30" s="522" t="n">
        <f aca="false">D17</f>
        <v>41600</v>
      </c>
      <c r="E30" s="522" t="n">
        <f aca="false">E17</f>
        <v>83200</v>
      </c>
      <c r="F30" s="522" t="n">
        <f aca="false">F17</f>
        <v>104000</v>
      </c>
      <c r="G30" s="522" t="n">
        <f aca="false">G17</f>
        <v>104000</v>
      </c>
      <c r="H30" s="522" t="n">
        <f aca="false">H17</f>
        <v>104000</v>
      </c>
      <c r="I30" s="522" t="n">
        <f aca="false">I17</f>
        <v>156000</v>
      </c>
      <c r="J30" s="522" t="n">
        <f aca="false">J17</f>
        <v>260000</v>
      </c>
      <c r="K30" s="522" t="n">
        <f aca="false">K17</f>
        <v>312000</v>
      </c>
      <c r="L30" s="522" t="n">
        <f aca="false">L17</f>
        <v>312000</v>
      </c>
      <c r="M30" s="522" t="n">
        <f aca="false">M17</f>
        <v>312000</v>
      </c>
      <c r="N30" s="522" t="n">
        <f aca="false">N17</f>
        <v>312000</v>
      </c>
      <c r="O30" s="523" t="n">
        <f aca="false">O17</f>
        <v>312000</v>
      </c>
      <c r="P30" s="499" t="n">
        <f aca="false">P17</f>
        <v>327600</v>
      </c>
      <c r="Q30" s="500" t="n">
        <f aca="false">Q17</f>
        <v>327600</v>
      </c>
      <c r="R30" s="500" t="n">
        <f aca="false">R17</f>
        <v>436800</v>
      </c>
      <c r="S30" s="500" t="n">
        <f aca="false">S17</f>
        <v>546000</v>
      </c>
      <c r="T30" s="500" t="n">
        <f aca="false">T17</f>
        <v>655200</v>
      </c>
      <c r="U30" s="500" t="n">
        <f aca="false">U17</f>
        <v>764400</v>
      </c>
      <c r="V30" s="500" t="n">
        <f aca="false">V17</f>
        <v>873600</v>
      </c>
      <c r="W30" s="500" t="n">
        <f aca="false">W17</f>
        <v>873600</v>
      </c>
      <c r="X30" s="500" t="n">
        <f aca="false">X17</f>
        <v>873600</v>
      </c>
      <c r="Y30" s="500" t="n">
        <f aca="false">Y17</f>
        <v>873600</v>
      </c>
      <c r="Z30" s="500" t="n">
        <f aca="false">Z17</f>
        <v>873600</v>
      </c>
      <c r="AA30" s="486" t="n">
        <f aca="false">AA17</f>
        <v>873600</v>
      </c>
      <c r="AB30" s="487" t="n">
        <f aca="false">AB17</f>
        <v>917280</v>
      </c>
      <c r="AC30" s="488" t="n">
        <f aca="false">AC17</f>
        <v>917280</v>
      </c>
      <c r="AD30" s="488" t="n">
        <f aca="false">AD17</f>
        <v>917280</v>
      </c>
      <c r="AE30" s="488" t="n">
        <f aca="false">AE17</f>
        <v>917280</v>
      </c>
      <c r="AF30" s="488" t="n">
        <f aca="false">AF17</f>
        <v>917280</v>
      </c>
      <c r="AG30" s="488" t="n">
        <f aca="false">AG17</f>
        <v>917280</v>
      </c>
      <c r="AH30" s="488" t="n">
        <f aca="false">AH17</f>
        <v>917280</v>
      </c>
      <c r="AI30" s="488" t="n">
        <f aca="false">AI17</f>
        <v>917280</v>
      </c>
      <c r="AJ30" s="488" t="n">
        <f aca="false">AJ17</f>
        <v>917280</v>
      </c>
      <c r="AK30" s="488" t="n">
        <f aca="false">AK17</f>
        <v>917280</v>
      </c>
      <c r="AL30" s="488" t="n">
        <f aca="false">AL17</f>
        <v>917280</v>
      </c>
      <c r="AM30" s="489" t="n">
        <f aca="false">AM17</f>
        <v>917280</v>
      </c>
      <c r="AN30" s="490" t="n">
        <f aca="false">AN17</f>
        <v>963144</v>
      </c>
      <c r="AO30" s="491" t="n">
        <f aca="false">AO17</f>
        <v>963144</v>
      </c>
      <c r="AP30" s="491" t="n">
        <f aca="false">AP17</f>
        <v>963144</v>
      </c>
      <c r="AQ30" s="491" t="n">
        <f aca="false">AQ17</f>
        <v>963144</v>
      </c>
      <c r="AR30" s="491" t="n">
        <f aca="false">AR17</f>
        <v>963144</v>
      </c>
      <c r="AS30" s="491" t="n">
        <f aca="false">AS17</f>
        <v>963144</v>
      </c>
      <c r="AT30" s="491" t="n">
        <f aca="false">AT17</f>
        <v>963144</v>
      </c>
      <c r="AU30" s="491" t="n">
        <f aca="false">AU17</f>
        <v>963144</v>
      </c>
      <c r="AV30" s="491" t="n">
        <f aca="false">AV17</f>
        <v>963144</v>
      </c>
      <c r="AW30" s="491" t="n">
        <f aca="false">AW17</f>
        <v>963144</v>
      </c>
      <c r="AX30" s="491" t="n">
        <f aca="false">AX17</f>
        <v>963144</v>
      </c>
      <c r="AY30" s="492" t="n">
        <f aca="false">AY17</f>
        <v>963144</v>
      </c>
      <c r="AZ30" s="493" t="n">
        <f aca="false">AZ17</f>
        <v>1011301.2</v>
      </c>
      <c r="BA30" s="494" t="n">
        <f aca="false">BA17</f>
        <v>1011301.2</v>
      </c>
      <c r="BB30" s="494" t="n">
        <f aca="false">BB17</f>
        <v>1011301.2</v>
      </c>
      <c r="BC30" s="494" t="n">
        <f aca="false">BC17</f>
        <v>1011301.2</v>
      </c>
      <c r="BD30" s="494" t="n">
        <f aca="false">BD17</f>
        <v>1011301.2</v>
      </c>
      <c r="BE30" s="494" t="n">
        <f aca="false">BE17</f>
        <v>1011301.2</v>
      </c>
      <c r="BF30" s="494" t="n">
        <f aca="false">BF17</f>
        <v>1011301.2</v>
      </c>
      <c r="BG30" s="494" t="n">
        <f aca="false">BG17</f>
        <v>1011301.2</v>
      </c>
      <c r="BH30" s="494" t="n">
        <f aca="false">BH17</f>
        <v>1011301.2</v>
      </c>
      <c r="BI30" s="494" t="n">
        <f aca="false">BI17</f>
        <v>1011301.2</v>
      </c>
      <c r="BJ30" s="494" t="n">
        <f aca="false">BJ17</f>
        <v>1011301.2</v>
      </c>
      <c r="BK30" s="495" t="n">
        <f aca="false">BK17</f>
        <v>1011301.2</v>
      </c>
      <c r="BL30" s="496" t="n">
        <f aca="false">BL17</f>
        <v>2412800</v>
      </c>
      <c r="BM30" s="496" t="n">
        <f aca="false">BM17</f>
        <v>2533440</v>
      </c>
      <c r="BN30" s="496" t="n">
        <f aca="false">BN17</f>
        <v>2660112</v>
      </c>
      <c r="BO30" s="496" t="n">
        <f aca="false">BO17</f>
        <v>2793117.6</v>
      </c>
      <c r="BP30" s="496" t="n">
        <f aca="false">BP17</f>
        <v>2932773.48</v>
      </c>
      <c r="BQ30" s="200"/>
      <c r="BR30" s="196"/>
      <c r="BS30" s="196"/>
      <c r="BT30" s="196"/>
    </row>
    <row r="31" customFormat="false" ht="12.75" hidden="false" customHeight="true" outlineLevel="0" collapsed="false">
      <c r="A31" s="230" t="str">
        <f aca="false">A4</f>
        <v>Admin</v>
      </c>
      <c r="B31" s="230"/>
      <c r="C31" s="230"/>
      <c r="D31" s="483" t="n">
        <f aca="false">D18</f>
        <v>41666.6466666667</v>
      </c>
      <c r="E31" s="483" t="n">
        <f aca="false">E18</f>
        <v>41666.6466666667</v>
      </c>
      <c r="F31" s="483" t="n">
        <f aca="false">F18</f>
        <v>41666.6466666667</v>
      </c>
      <c r="G31" s="483" t="n">
        <f aca="false">G18</f>
        <v>41666.6466666667</v>
      </c>
      <c r="H31" s="483" t="n">
        <f aca="false">H18</f>
        <v>41666.6466666667</v>
      </c>
      <c r="I31" s="483" t="n">
        <f aca="false">I18</f>
        <v>41666.6466666667</v>
      </c>
      <c r="J31" s="483" t="n">
        <f aca="false">J18</f>
        <v>41666.6466666667</v>
      </c>
      <c r="K31" s="483" t="n">
        <f aca="false">K18</f>
        <v>41666.6466666667</v>
      </c>
      <c r="L31" s="483" t="n">
        <f aca="false">L18</f>
        <v>41666.6466666667</v>
      </c>
      <c r="M31" s="483" t="n">
        <f aca="false">M18</f>
        <v>41666.6466666667</v>
      </c>
      <c r="N31" s="483" t="n">
        <f aca="false">N18</f>
        <v>41666.6466666667</v>
      </c>
      <c r="O31" s="501" t="n">
        <f aca="false">O18</f>
        <v>41666.6466666667</v>
      </c>
      <c r="P31" s="499" t="n">
        <f aca="false">P18</f>
        <v>87499.958</v>
      </c>
      <c r="Q31" s="500" t="n">
        <f aca="false">Q18</f>
        <v>87499.958</v>
      </c>
      <c r="R31" s="500" t="n">
        <f aca="false">R18</f>
        <v>87499.958</v>
      </c>
      <c r="S31" s="500" t="n">
        <f aca="false">S18</f>
        <v>87499.958</v>
      </c>
      <c r="T31" s="500" t="n">
        <f aca="false">T18</f>
        <v>87499.958</v>
      </c>
      <c r="U31" s="500" t="n">
        <f aca="false">U18</f>
        <v>87499.958</v>
      </c>
      <c r="V31" s="500" t="n">
        <f aca="false">V18</f>
        <v>87499.958</v>
      </c>
      <c r="W31" s="500" t="n">
        <f aca="false">W18</f>
        <v>87499.958</v>
      </c>
      <c r="X31" s="500" t="n">
        <f aca="false">X18</f>
        <v>87499.958</v>
      </c>
      <c r="Y31" s="500" t="n">
        <f aca="false">Y18</f>
        <v>87499.958</v>
      </c>
      <c r="Z31" s="500" t="n">
        <f aca="false">Z18</f>
        <v>87499.958</v>
      </c>
      <c r="AA31" s="486" t="n">
        <f aca="false">AA18</f>
        <v>87499.958</v>
      </c>
      <c r="AB31" s="487" t="n">
        <f aca="false">AB18</f>
        <v>137812.43385</v>
      </c>
      <c r="AC31" s="488" t="n">
        <f aca="false">AC18</f>
        <v>137812.43385</v>
      </c>
      <c r="AD31" s="488" t="n">
        <f aca="false">AD18</f>
        <v>137812.43385</v>
      </c>
      <c r="AE31" s="488" t="n">
        <f aca="false">AE18</f>
        <v>137812.43385</v>
      </c>
      <c r="AF31" s="488" t="n">
        <f aca="false">AF18</f>
        <v>137812.43385</v>
      </c>
      <c r="AG31" s="488" t="n">
        <f aca="false">AG18</f>
        <v>137812.43385</v>
      </c>
      <c r="AH31" s="488" t="n">
        <f aca="false">AH18</f>
        <v>137812.43385</v>
      </c>
      <c r="AI31" s="488" t="n">
        <f aca="false">AI18</f>
        <v>137812.43385</v>
      </c>
      <c r="AJ31" s="488" t="n">
        <f aca="false">AJ18</f>
        <v>137812.43385</v>
      </c>
      <c r="AK31" s="488" t="n">
        <f aca="false">AK18</f>
        <v>137812.43385</v>
      </c>
      <c r="AL31" s="488" t="n">
        <f aca="false">AL18</f>
        <v>137812.43385</v>
      </c>
      <c r="AM31" s="489" t="n">
        <f aca="false">AM18</f>
        <v>137812.43385</v>
      </c>
      <c r="AN31" s="490" t="n">
        <f aca="false">AN18</f>
        <v>144703.0555425</v>
      </c>
      <c r="AO31" s="491" t="n">
        <f aca="false">AO18</f>
        <v>144703.0555425</v>
      </c>
      <c r="AP31" s="491" t="n">
        <f aca="false">AP18</f>
        <v>144703.0555425</v>
      </c>
      <c r="AQ31" s="491" t="n">
        <f aca="false">AQ18</f>
        <v>144703.0555425</v>
      </c>
      <c r="AR31" s="491" t="n">
        <f aca="false">AR18</f>
        <v>144703.0555425</v>
      </c>
      <c r="AS31" s="491" t="n">
        <f aca="false">AS18</f>
        <v>144703.0555425</v>
      </c>
      <c r="AT31" s="491" t="n">
        <f aca="false">AT18</f>
        <v>144703.0555425</v>
      </c>
      <c r="AU31" s="491" t="n">
        <f aca="false">AU18</f>
        <v>144703.0555425</v>
      </c>
      <c r="AV31" s="491" t="n">
        <f aca="false">AV18</f>
        <v>144703.0555425</v>
      </c>
      <c r="AW31" s="491" t="n">
        <f aca="false">AW18</f>
        <v>144703.0555425</v>
      </c>
      <c r="AX31" s="491" t="n">
        <f aca="false">AX18</f>
        <v>144703.0555425</v>
      </c>
      <c r="AY31" s="492" t="n">
        <f aca="false">AY18</f>
        <v>144703.0555425</v>
      </c>
      <c r="AZ31" s="493" t="n">
        <f aca="false">AZ18</f>
        <v>151938.208319625</v>
      </c>
      <c r="BA31" s="494" t="n">
        <f aca="false">BA18</f>
        <v>151938.208319625</v>
      </c>
      <c r="BB31" s="494" t="n">
        <f aca="false">BB18</f>
        <v>151938.208319625</v>
      </c>
      <c r="BC31" s="494" t="n">
        <f aca="false">BC18</f>
        <v>151938.208319625</v>
      </c>
      <c r="BD31" s="494" t="n">
        <f aca="false">BD18</f>
        <v>151938.208319625</v>
      </c>
      <c r="BE31" s="494" t="n">
        <f aca="false">BE18</f>
        <v>151938.208319625</v>
      </c>
      <c r="BF31" s="494" t="n">
        <f aca="false">BF18</f>
        <v>151938.208319625</v>
      </c>
      <c r="BG31" s="494" t="n">
        <f aca="false">BG18</f>
        <v>151938.208319625</v>
      </c>
      <c r="BH31" s="494" t="n">
        <f aca="false">BH18</f>
        <v>151938.208319625</v>
      </c>
      <c r="BI31" s="494" t="n">
        <f aca="false">BI18</f>
        <v>151938.208319625</v>
      </c>
      <c r="BJ31" s="494" t="n">
        <f aca="false">BJ18</f>
        <v>151938.208319625</v>
      </c>
      <c r="BK31" s="495" t="n">
        <f aca="false">BK18</f>
        <v>151938.208319625</v>
      </c>
      <c r="BL31" s="497" t="n">
        <f aca="false">BL18</f>
        <v>499999.76</v>
      </c>
      <c r="BM31" s="497" t="n">
        <f aca="false">BM18</f>
        <v>524999.748</v>
      </c>
      <c r="BN31" s="497" t="n">
        <f aca="false">BN18</f>
        <v>551249.7354</v>
      </c>
      <c r="BO31" s="497" t="n">
        <f aca="false">BO18</f>
        <v>578812.22217</v>
      </c>
      <c r="BP31" s="497" t="n">
        <f aca="false">BP18</f>
        <v>607752.8332785</v>
      </c>
      <c r="BQ31" s="200"/>
      <c r="BR31" s="196"/>
      <c r="BS31" s="196"/>
      <c r="BT31" s="196"/>
    </row>
    <row r="32" customFormat="false" ht="12.75" hidden="false" customHeight="true" outlineLevel="0" collapsed="false">
      <c r="A32" s="230" t="str">
        <f aca="false">A5</f>
        <v>Trades -2</v>
      </c>
      <c r="B32" s="230"/>
      <c r="C32" s="230"/>
      <c r="D32" s="483" t="n">
        <f aca="false">D19</f>
        <v>0</v>
      </c>
      <c r="E32" s="483" t="n">
        <f aca="false">E19</f>
        <v>0</v>
      </c>
      <c r="F32" s="483" t="n">
        <f aca="false">F19</f>
        <v>0</v>
      </c>
      <c r="G32" s="483" t="n">
        <f aca="false">G19</f>
        <v>0</v>
      </c>
      <c r="H32" s="483" t="n">
        <f aca="false">H19</f>
        <v>0</v>
      </c>
      <c r="I32" s="483" t="n">
        <f aca="false">I19</f>
        <v>0</v>
      </c>
      <c r="J32" s="483" t="n">
        <f aca="false">J19</f>
        <v>0</v>
      </c>
      <c r="K32" s="483" t="n">
        <f aca="false">K19</f>
        <v>0</v>
      </c>
      <c r="L32" s="483" t="n">
        <f aca="false">L19</f>
        <v>0</v>
      </c>
      <c r="M32" s="483" t="n">
        <f aca="false">M19</f>
        <v>0</v>
      </c>
      <c r="N32" s="483" t="n">
        <f aca="false">N19</f>
        <v>0</v>
      </c>
      <c r="O32" s="501" t="n">
        <f aca="false">O19</f>
        <v>0</v>
      </c>
      <c r="P32" s="499" t="n">
        <f aca="false">P19</f>
        <v>118300</v>
      </c>
      <c r="Q32" s="500" t="n">
        <f aca="false">Q19</f>
        <v>236600</v>
      </c>
      <c r="R32" s="500" t="n">
        <f aca="false">R19</f>
        <v>354900</v>
      </c>
      <c r="S32" s="500" t="n">
        <f aca="false">S19</f>
        <v>473200</v>
      </c>
      <c r="T32" s="500" t="n">
        <f aca="false">T19</f>
        <v>591500</v>
      </c>
      <c r="U32" s="500" t="n">
        <f aca="false">U19</f>
        <v>709800</v>
      </c>
      <c r="V32" s="500" t="n">
        <f aca="false">V19</f>
        <v>828100</v>
      </c>
      <c r="W32" s="500" t="n">
        <f aca="false">W19</f>
        <v>946400</v>
      </c>
      <c r="X32" s="500" t="n">
        <f aca="false">X19</f>
        <v>946400</v>
      </c>
      <c r="Y32" s="500" t="n">
        <f aca="false">Y19</f>
        <v>946400</v>
      </c>
      <c r="Z32" s="500" t="n">
        <f aca="false">Z19</f>
        <v>946400</v>
      </c>
      <c r="AA32" s="486" t="n">
        <f aca="false">AA19</f>
        <v>946400</v>
      </c>
      <c r="AB32" s="487" t="n">
        <f aca="false">AB19</f>
        <v>993720</v>
      </c>
      <c r="AC32" s="488" t="n">
        <f aca="false">AC19</f>
        <v>993720</v>
      </c>
      <c r="AD32" s="488" t="n">
        <f aca="false">AD19</f>
        <v>993720</v>
      </c>
      <c r="AE32" s="488" t="n">
        <f aca="false">AE19</f>
        <v>993720</v>
      </c>
      <c r="AF32" s="488" t="n">
        <f aca="false">AF19</f>
        <v>993720</v>
      </c>
      <c r="AG32" s="488" t="n">
        <f aca="false">AG19</f>
        <v>993720</v>
      </c>
      <c r="AH32" s="488" t="n">
        <f aca="false">AH19</f>
        <v>993720</v>
      </c>
      <c r="AI32" s="488" t="n">
        <f aca="false">AI19</f>
        <v>993720</v>
      </c>
      <c r="AJ32" s="488" t="n">
        <f aca="false">AJ19</f>
        <v>993720</v>
      </c>
      <c r="AK32" s="488" t="n">
        <f aca="false">AK19</f>
        <v>993720</v>
      </c>
      <c r="AL32" s="488" t="n">
        <f aca="false">AL19</f>
        <v>993720</v>
      </c>
      <c r="AM32" s="489" t="n">
        <f aca="false">AM19</f>
        <v>993720</v>
      </c>
      <c r="AN32" s="490" t="n">
        <f aca="false">AN19</f>
        <v>1043406</v>
      </c>
      <c r="AO32" s="491" t="n">
        <f aca="false">AO19</f>
        <v>1043406</v>
      </c>
      <c r="AP32" s="491" t="n">
        <f aca="false">AP19</f>
        <v>1043406</v>
      </c>
      <c r="AQ32" s="491" t="n">
        <f aca="false">AQ19</f>
        <v>1043406</v>
      </c>
      <c r="AR32" s="491" t="n">
        <f aca="false">AR19</f>
        <v>1043406</v>
      </c>
      <c r="AS32" s="491" t="n">
        <f aca="false">AS19</f>
        <v>1043406</v>
      </c>
      <c r="AT32" s="491" t="n">
        <f aca="false">AT19</f>
        <v>1043406</v>
      </c>
      <c r="AU32" s="491" t="n">
        <f aca="false">AU19</f>
        <v>1043406</v>
      </c>
      <c r="AV32" s="491" t="n">
        <f aca="false">AV19</f>
        <v>1043406</v>
      </c>
      <c r="AW32" s="491" t="n">
        <f aca="false">AW19</f>
        <v>1043406</v>
      </c>
      <c r="AX32" s="491" t="n">
        <f aca="false">AX19</f>
        <v>1043406</v>
      </c>
      <c r="AY32" s="492" t="n">
        <f aca="false">AY19</f>
        <v>1043406</v>
      </c>
      <c r="AZ32" s="493" t="n">
        <f aca="false">AZ19</f>
        <v>1095576.3</v>
      </c>
      <c r="BA32" s="494" t="n">
        <f aca="false">BA19</f>
        <v>1095576.3</v>
      </c>
      <c r="BB32" s="494" t="n">
        <f aca="false">BB19</f>
        <v>1095576.3</v>
      </c>
      <c r="BC32" s="494" t="n">
        <f aca="false">BC19</f>
        <v>1095576.3</v>
      </c>
      <c r="BD32" s="494" t="n">
        <f aca="false">BD19</f>
        <v>1095576.3</v>
      </c>
      <c r="BE32" s="494" t="n">
        <f aca="false">BE19</f>
        <v>1095576.3</v>
      </c>
      <c r="BF32" s="494" t="n">
        <f aca="false">BF19</f>
        <v>1095576.3</v>
      </c>
      <c r="BG32" s="494" t="n">
        <f aca="false">BG19</f>
        <v>1095576.3</v>
      </c>
      <c r="BH32" s="494" t="n">
        <f aca="false">BH19</f>
        <v>1095576.3</v>
      </c>
      <c r="BI32" s="494" t="n">
        <f aca="false">BI19</f>
        <v>1095576.3</v>
      </c>
      <c r="BJ32" s="494" t="n">
        <f aca="false">BJ19</f>
        <v>1095576.3</v>
      </c>
      <c r="BK32" s="495" t="n">
        <f aca="false">BK19</f>
        <v>1095576.3</v>
      </c>
      <c r="BL32" s="497" t="n">
        <f aca="false">BL19</f>
        <v>0</v>
      </c>
      <c r="BM32" s="497" t="n">
        <f aca="false">BM19</f>
        <v>8044400</v>
      </c>
      <c r="BN32" s="497" t="n">
        <f aca="false">BN19</f>
        <v>11924640</v>
      </c>
      <c r="BO32" s="497" t="n">
        <f aca="false">BO19</f>
        <v>12520872</v>
      </c>
      <c r="BP32" s="497" t="n">
        <f aca="false">BP19</f>
        <v>13146915.6</v>
      </c>
      <c r="BQ32" s="200"/>
      <c r="BR32" s="196"/>
      <c r="BS32" s="196"/>
      <c r="BT32" s="196"/>
    </row>
    <row r="33" customFormat="false" ht="12.75" hidden="false" customHeight="true" outlineLevel="0" collapsed="false">
      <c r="A33" s="230" t="str">
        <f aca="false">A6</f>
        <v>Admin-2</v>
      </c>
      <c r="B33" s="230"/>
      <c r="C33" s="230"/>
      <c r="D33" s="483" t="n">
        <f aca="false">D20</f>
        <v>0</v>
      </c>
      <c r="E33" s="483" t="n">
        <f aca="false">E20</f>
        <v>0</v>
      </c>
      <c r="F33" s="483" t="n">
        <f aca="false">F20</f>
        <v>0</v>
      </c>
      <c r="G33" s="483" t="n">
        <f aca="false">G20</f>
        <v>0</v>
      </c>
      <c r="H33" s="483" t="n">
        <f aca="false">H20</f>
        <v>0</v>
      </c>
      <c r="I33" s="483" t="n">
        <f aca="false">I20</f>
        <v>0</v>
      </c>
      <c r="J33" s="483" t="n">
        <f aca="false">J20</f>
        <v>0</v>
      </c>
      <c r="K33" s="483" t="n">
        <f aca="false">K20</f>
        <v>0</v>
      </c>
      <c r="L33" s="483" t="n">
        <f aca="false">L20</f>
        <v>0</v>
      </c>
      <c r="M33" s="483" t="n">
        <f aca="false">M20</f>
        <v>0</v>
      </c>
      <c r="N33" s="483" t="n">
        <f aca="false">N20</f>
        <v>0</v>
      </c>
      <c r="O33" s="501" t="n">
        <f aca="false">O20</f>
        <v>0</v>
      </c>
      <c r="P33" s="499" t="n">
        <f aca="false">P20</f>
        <v>0</v>
      </c>
      <c r="Q33" s="500" t="n">
        <f aca="false">Q20</f>
        <v>0</v>
      </c>
      <c r="R33" s="500" t="n">
        <f aca="false">R20</f>
        <v>0</v>
      </c>
      <c r="S33" s="500" t="n">
        <f aca="false">S20</f>
        <v>0</v>
      </c>
      <c r="T33" s="500" t="n">
        <f aca="false">T20</f>
        <v>0</v>
      </c>
      <c r="U33" s="500" t="n">
        <f aca="false">U20</f>
        <v>0</v>
      </c>
      <c r="V33" s="500" t="n">
        <f aca="false">V20</f>
        <v>0</v>
      </c>
      <c r="W33" s="500" t="n">
        <f aca="false">W20</f>
        <v>0</v>
      </c>
      <c r="X33" s="500" t="n">
        <f aca="false">X20</f>
        <v>0</v>
      </c>
      <c r="Y33" s="500" t="n">
        <f aca="false">Y20</f>
        <v>0</v>
      </c>
      <c r="Z33" s="500" t="n">
        <f aca="false">Z20</f>
        <v>0</v>
      </c>
      <c r="AA33" s="486" t="n">
        <f aca="false">AA20</f>
        <v>0</v>
      </c>
      <c r="AB33" s="487" t="n">
        <f aca="false">AB20</f>
        <v>0</v>
      </c>
      <c r="AC33" s="488" t="n">
        <f aca="false">AC20</f>
        <v>0</v>
      </c>
      <c r="AD33" s="488" t="n">
        <f aca="false">AD20</f>
        <v>0</v>
      </c>
      <c r="AE33" s="488" t="n">
        <f aca="false">AE20</f>
        <v>0</v>
      </c>
      <c r="AF33" s="488" t="n">
        <f aca="false">AF20</f>
        <v>0</v>
      </c>
      <c r="AG33" s="488" t="n">
        <f aca="false">AG20</f>
        <v>0</v>
      </c>
      <c r="AH33" s="488" t="n">
        <f aca="false">AH20</f>
        <v>0</v>
      </c>
      <c r="AI33" s="488" t="n">
        <f aca="false">AI20</f>
        <v>0</v>
      </c>
      <c r="AJ33" s="488" t="n">
        <f aca="false">AJ20</f>
        <v>0</v>
      </c>
      <c r="AK33" s="488" t="n">
        <f aca="false">AK20</f>
        <v>0</v>
      </c>
      <c r="AL33" s="488" t="n">
        <f aca="false">AL20</f>
        <v>0</v>
      </c>
      <c r="AM33" s="489" t="n">
        <f aca="false">AM20</f>
        <v>0</v>
      </c>
      <c r="AN33" s="490" t="n">
        <f aca="false">AN20</f>
        <v>0</v>
      </c>
      <c r="AO33" s="491" t="n">
        <f aca="false">AO20</f>
        <v>0</v>
      </c>
      <c r="AP33" s="491" t="n">
        <f aca="false">AP20</f>
        <v>0</v>
      </c>
      <c r="AQ33" s="491" t="n">
        <f aca="false">AQ20</f>
        <v>0</v>
      </c>
      <c r="AR33" s="491" t="n">
        <f aca="false">AR20</f>
        <v>0</v>
      </c>
      <c r="AS33" s="491" t="n">
        <f aca="false">AS20</f>
        <v>0</v>
      </c>
      <c r="AT33" s="491" t="n">
        <f aca="false">AT20</f>
        <v>0</v>
      </c>
      <c r="AU33" s="491" t="n">
        <f aca="false">AU20</f>
        <v>0</v>
      </c>
      <c r="AV33" s="491" t="n">
        <f aca="false">AV20</f>
        <v>0</v>
      </c>
      <c r="AW33" s="491" t="n">
        <f aca="false">AW20</f>
        <v>0</v>
      </c>
      <c r="AX33" s="491" t="n">
        <f aca="false">AX20</f>
        <v>0</v>
      </c>
      <c r="AY33" s="492" t="n">
        <f aca="false">AY20</f>
        <v>0</v>
      </c>
      <c r="AZ33" s="493" t="n">
        <f aca="false">AZ20</f>
        <v>0</v>
      </c>
      <c r="BA33" s="494" t="n">
        <f aca="false">BA20</f>
        <v>0</v>
      </c>
      <c r="BB33" s="494" t="n">
        <f aca="false">BB20</f>
        <v>0</v>
      </c>
      <c r="BC33" s="494" t="n">
        <f aca="false">BC20</f>
        <v>0</v>
      </c>
      <c r="BD33" s="494" t="n">
        <f aca="false">BD20</f>
        <v>0</v>
      </c>
      <c r="BE33" s="494" t="n">
        <f aca="false">BE20</f>
        <v>0</v>
      </c>
      <c r="BF33" s="494" t="n">
        <f aca="false">BF20</f>
        <v>0</v>
      </c>
      <c r="BG33" s="494" t="n">
        <f aca="false">BG20</f>
        <v>0</v>
      </c>
      <c r="BH33" s="494" t="n">
        <f aca="false">BH20</f>
        <v>0</v>
      </c>
      <c r="BI33" s="494" t="n">
        <f aca="false">BI20</f>
        <v>0</v>
      </c>
      <c r="BJ33" s="494" t="n">
        <f aca="false">BJ20</f>
        <v>0</v>
      </c>
      <c r="BK33" s="495" t="n">
        <f aca="false">BK20</f>
        <v>0</v>
      </c>
      <c r="BL33" s="497" t="n">
        <f aca="false">BL20</f>
        <v>0</v>
      </c>
      <c r="BM33" s="497" t="n">
        <f aca="false">BM20</f>
        <v>0</v>
      </c>
      <c r="BN33" s="497" t="n">
        <f aca="false">BN20</f>
        <v>0</v>
      </c>
      <c r="BO33" s="497" t="n">
        <f aca="false">BO20</f>
        <v>0</v>
      </c>
      <c r="BP33" s="497" t="n">
        <f aca="false">BP20</f>
        <v>0</v>
      </c>
    </row>
    <row r="34" customFormat="false" ht="12.75" hidden="false" customHeight="true" outlineLevel="0" collapsed="false">
      <c r="A34" s="230" t="str">
        <f aca="false">A7</f>
        <v>Trades-3</v>
      </c>
      <c r="B34" s="230"/>
      <c r="C34" s="230"/>
      <c r="D34" s="483" t="n">
        <f aca="false">D21</f>
        <v>0</v>
      </c>
      <c r="E34" s="483" t="n">
        <f aca="false">E21</f>
        <v>0</v>
      </c>
      <c r="F34" s="483" t="n">
        <f aca="false">F21</f>
        <v>0</v>
      </c>
      <c r="G34" s="483" t="n">
        <f aca="false">G21</f>
        <v>0</v>
      </c>
      <c r="H34" s="483" t="n">
        <f aca="false">H21</f>
        <v>0</v>
      </c>
      <c r="I34" s="483" t="n">
        <f aca="false">I21</f>
        <v>0</v>
      </c>
      <c r="J34" s="483" t="n">
        <f aca="false">J21</f>
        <v>0</v>
      </c>
      <c r="K34" s="483" t="n">
        <f aca="false">K21</f>
        <v>0</v>
      </c>
      <c r="L34" s="483" t="n">
        <f aca="false">L21</f>
        <v>0</v>
      </c>
      <c r="M34" s="483" t="n">
        <f aca="false">M21</f>
        <v>0</v>
      </c>
      <c r="N34" s="483" t="n">
        <f aca="false">N21</f>
        <v>0</v>
      </c>
      <c r="O34" s="501" t="n">
        <f aca="false">O21</f>
        <v>0</v>
      </c>
      <c r="P34" s="499" t="n">
        <f aca="false">P21</f>
        <v>0</v>
      </c>
      <c r="Q34" s="500" t="n">
        <f aca="false">Q21</f>
        <v>0</v>
      </c>
      <c r="R34" s="500" t="n">
        <f aca="false">R21</f>
        <v>0</v>
      </c>
      <c r="S34" s="500" t="n">
        <f aca="false">S21</f>
        <v>0</v>
      </c>
      <c r="T34" s="500" t="n">
        <f aca="false">T21</f>
        <v>0</v>
      </c>
      <c r="U34" s="500" t="n">
        <f aca="false">U21</f>
        <v>0</v>
      </c>
      <c r="V34" s="500" t="n">
        <f aca="false">V21</f>
        <v>0</v>
      </c>
      <c r="W34" s="500" t="n">
        <f aca="false">W21</f>
        <v>0</v>
      </c>
      <c r="X34" s="500" t="n">
        <f aca="false">X21</f>
        <v>0</v>
      </c>
      <c r="Y34" s="500" t="n">
        <f aca="false">Y21</f>
        <v>0</v>
      </c>
      <c r="Z34" s="500" t="n">
        <f aca="false">Z21</f>
        <v>0</v>
      </c>
      <c r="AA34" s="486" t="n">
        <f aca="false">AA21</f>
        <v>0</v>
      </c>
      <c r="AB34" s="487" t="n">
        <f aca="false">AB21</f>
        <v>0</v>
      </c>
      <c r="AC34" s="488" t="n">
        <f aca="false">AC21</f>
        <v>0</v>
      </c>
      <c r="AD34" s="488" t="n">
        <f aca="false">AD21</f>
        <v>0</v>
      </c>
      <c r="AE34" s="488" t="n">
        <f aca="false">AE21</f>
        <v>0</v>
      </c>
      <c r="AF34" s="488" t="n">
        <f aca="false">AF21</f>
        <v>0</v>
      </c>
      <c r="AG34" s="488" t="n">
        <f aca="false">AG21</f>
        <v>0</v>
      </c>
      <c r="AH34" s="488" t="n">
        <f aca="false">AH21</f>
        <v>0</v>
      </c>
      <c r="AI34" s="488" t="n">
        <f aca="false">AI21</f>
        <v>0</v>
      </c>
      <c r="AJ34" s="488" t="n">
        <f aca="false">AJ21</f>
        <v>0</v>
      </c>
      <c r="AK34" s="488" t="n">
        <f aca="false">AK21</f>
        <v>0</v>
      </c>
      <c r="AL34" s="488" t="n">
        <f aca="false">AL21</f>
        <v>0</v>
      </c>
      <c r="AM34" s="489" t="n">
        <f aca="false">AM21</f>
        <v>0</v>
      </c>
      <c r="AN34" s="490" t="n">
        <f aca="false">AN21</f>
        <v>0</v>
      </c>
      <c r="AO34" s="491" t="n">
        <f aca="false">AO21</f>
        <v>0</v>
      </c>
      <c r="AP34" s="491" t="n">
        <f aca="false">AP21</f>
        <v>0</v>
      </c>
      <c r="AQ34" s="491" t="n">
        <f aca="false">AQ21</f>
        <v>0</v>
      </c>
      <c r="AR34" s="491" t="n">
        <f aca="false">AR21</f>
        <v>0</v>
      </c>
      <c r="AS34" s="491" t="n">
        <f aca="false">AS21</f>
        <v>0</v>
      </c>
      <c r="AT34" s="491" t="n">
        <f aca="false">AT21</f>
        <v>0</v>
      </c>
      <c r="AU34" s="491" t="n">
        <f aca="false">AU21</f>
        <v>0</v>
      </c>
      <c r="AV34" s="491" t="n">
        <f aca="false">AV21</f>
        <v>0</v>
      </c>
      <c r="AW34" s="491" t="n">
        <f aca="false">AW21</f>
        <v>0</v>
      </c>
      <c r="AX34" s="491" t="n">
        <f aca="false">AX21</f>
        <v>0</v>
      </c>
      <c r="AY34" s="492" t="n">
        <f aca="false">AY21</f>
        <v>0</v>
      </c>
      <c r="AZ34" s="493" t="n">
        <f aca="false">AZ21</f>
        <v>0</v>
      </c>
      <c r="BA34" s="494" t="n">
        <f aca="false">BA21</f>
        <v>0</v>
      </c>
      <c r="BB34" s="494" t="n">
        <f aca="false">BB21</f>
        <v>0</v>
      </c>
      <c r="BC34" s="494" t="n">
        <f aca="false">BC21</f>
        <v>0</v>
      </c>
      <c r="BD34" s="494" t="n">
        <f aca="false">BD21</f>
        <v>0</v>
      </c>
      <c r="BE34" s="494" t="n">
        <f aca="false">BE21</f>
        <v>0</v>
      </c>
      <c r="BF34" s="494" t="n">
        <f aca="false">BF21</f>
        <v>0</v>
      </c>
      <c r="BG34" s="494" t="n">
        <f aca="false">BG21</f>
        <v>0</v>
      </c>
      <c r="BH34" s="494" t="n">
        <f aca="false">BH21</f>
        <v>0</v>
      </c>
      <c r="BI34" s="494" t="n">
        <f aca="false">BI21</f>
        <v>0</v>
      </c>
      <c r="BJ34" s="494" t="n">
        <f aca="false">BJ21</f>
        <v>0</v>
      </c>
      <c r="BK34" s="495" t="n">
        <f aca="false">BK21</f>
        <v>0</v>
      </c>
      <c r="BL34" s="497" t="n">
        <f aca="false">BL21</f>
        <v>0</v>
      </c>
      <c r="BM34" s="497" t="n">
        <f aca="false">BM21</f>
        <v>0</v>
      </c>
      <c r="BN34" s="497" t="n">
        <f aca="false">BN21</f>
        <v>0</v>
      </c>
      <c r="BO34" s="497" t="n">
        <f aca="false">BO21</f>
        <v>0</v>
      </c>
      <c r="BP34" s="497" t="n">
        <f aca="false">BP21</f>
        <v>0</v>
      </c>
    </row>
    <row r="35" customFormat="false" ht="12.75" hidden="false" customHeight="true" outlineLevel="0" collapsed="false">
      <c r="A35" s="230" t="s">
        <v>1700</v>
      </c>
      <c r="B35" s="230"/>
      <c r="C35" s="230"/>
      <c r="D35" s="483" t="n">
        <f aca="false">D22</f>
        <v>0</v>
      </c>
      <c r="E35" s="483" t="n">
        <f aca="false">E22</f>
        <v>0</v>
      </c>
      <c r="F35" s="483" t="n">
        <f aca="false">F22</f>
        <v>0</v>
      </c>
      <c r="G35" s="483" t="n">
        <f aca="false">G22</f>
        <v>0</v>
      </c>
      <c r="H35" s="483" t="n">
        <f aca="false">H22</f>
        <v>0</v>
      </c>
      <c r="I35" s="483" t="n">
        <f aca="false">I22</f>
        <v>0</v>
      </c>
      <c r="J35" s="483" t="n">
        <f aca="false">J22</f>
        <v>0</v>
      </c>
      <c r="K35" s="483" t="n">
        <f aca="false">K22</f>
        <v>0</v>
      </c>
      <c r="L35" s="483" t="n">
        <f aca="false">L22</f>
        <v>0</v>
      </c>
      <c r="M35" s="483" t="n">
        <f aca="false">M22</f>
        <v>0</v>
      </c>
      <c r="N35" s="483" t="n">
        <f aca="false">N22</f>
        <v>0</v>
      </c>
      <c r="O35" s="501" t="n">
        <f aca="false">O22</f>
        <v>0</v>
      </c>
      <c r="P35" s="499" t="n">
        <f aca="false">P22</f>
        <v>0</v>
      </c>
      <c r="Q35" s="500" t="n">
        <f aca="false">Q22</f>
        <v>0</v>
      </c>
      <c r="R35" s="500" t="n">
        <f aca="false">R22</f>
        <v>0</v>
      </c>
      <c r="S35" s="500" t="n">
        <f aca="false">S22</f>
        <v>0</v>
      </c>
      <c r="T35" s="500" t="n">
        <f aca="false">T22</f>
        <v>0</v>
      </c>
      <c r="U35" s="500" t="n">
        <f aca="false">U22</f>
        <v>0</v>
      </c>
      <c r="V35" s="500" t="n">
        <f aca="false">V22</f>
        <v>0</v>
      </c>
      <c r="W35" s="500" t="n">
        <f aca="false">W22</f>
        <v>0</v>
      </c>
      <c r="X35" s="500" t="n">
        <f aca="false">X22</f>
        <v>0</v>
      </c>
      <c r="Y35" s="500" t="n">
        <f aca="false">Y22</f>
        <v>0</v>
      </c>
      <c r="Z35" s="500" t="n">
        <f aca="false">Z22</f>
        <v>0</v>
      </c>
      <c r="AA35" s="486" t="n">
        <f aca="false">AA22</f>
        <v>0</v>
      </c>
      <c r="AB35" s="487" t="n">
        <f aca="false">AB22</f>
        <v>0</v>
      </c>
      <c r="AC35" s="488" t="n">
        <f aca="false">AC22</f>
        <v>0</v>
      </c>
      <c r="AD35" s="488" t="n">
        <f aca="false">AD22</f>
        <v>0</v>
      </c>
      <c r="AE35" s="488" t="n">
        <f aca="false">AE22</f>
        <v>0</v>
      </c>
      <c r="AF35" s="488" t="n">
        <f aca="false">AF22</f>
        <v>0</v>
      </c>
      <c r="AG35" s="488" t="n">
        <f aca="false">AG22</f>
        <v>0</v>
      </c>
      <c r="AH35" s="488" t="n">
        <f aca="false">AH22</f>
        <v>0</v>
      </c>
      <c r="AI35" s="488" t="n">
        <f aca="false">AI22</f>
        <v>0</v>
      </c>
      <c r="AJ35" s="488" t="n">
        <f aca="false">AJ22</f>
        <v>0</v>
      </c>
      <c r="AK35" s="488" t="n">
        <f aca="false">AK22</f>
        <v>0</v>
      </c>
      <c r="AL35" s="488" t="n">
        <f aca="false">AL22</f>
        <v>0</v>
      </c>
      <c r="AM35" s="489" t="n">
        <f aca="false">AM22</f>
        <v>0</v>
      </c>
      <c r="AN35" s="490" t="n">
        <f aca="false">AN22</f>
        <v>0</v>
      </c>
      <c r="AO35" s="491" t="n">
        <f aca="false">AO22</f>
        <v>0</v>
      </c>
      <c r="AP35" s="491" t="n">
        <f aca="false">AP22</f>
        <v>0</v>
      </c>
      <c r="AQ35" s="491" t="n">
        <f aca="false">AQ22</f>
        <v>0</v>
      </c>
      <c r="AR35" s="491" t="n">
        <f aca="false">AR22</f>
        <v>0</v>
      </c>
      <c r="AS35" s="491" t="n">
        <f aca="false">AS22</f>
        <v>0</v>
      </c>
      <c r="AT35" s="491" t="n">
        <f aca="false">AT22</f>
        <v>0</v>
      </c>
      <c r="AU35" s="491" t="n">
        <f aca="false">AU22</f>
        <v>0</v>
      </c>
      <c r="AV35" s="491" t="n">
        <f aca="false">AV22</f>
        <v>0</v>
      </c>
      <c r="AW35" s="491" t="n">
        <f aca="false">AW22</f>
        <v>0</v>
      </c>
      <c r="AX35" s="491" t="n">
        <f aca="false">AX22</f>
        <v>0</v>
      </c>
      <c r="AY35" s="492" t="n">
        <f aca="false">AY22</f>
        <v>0</v>
      </c>
      <c r="AZ35" s="493" t="n">
        <f aca="false">AZ22</f>
        <v>0</v>
      </c>
      <c r="BA35" s="494" t="n">
        <f aca="false">BA22</f>
        <v>0</v>
      </c>
      <c r="BB35" s="494" t="n">
        <f aca="false">BB22</f>
        <v>0</v>
      </c>
      <c r="BC35" s="494" t="n">
        <f aca="false">BC22</f>
        <v>0</v>
      </c>
      <c r="BD35" s="494" t="n">
        <f aca="false">BD22</f>
        <v>0</v>
      </c>
      <c r="BE35" s="494" t="n">
        <f aca="false">BE22</f>
        <v>0</v>
      </c>
      <c r="BF35" s="494" t="n">
        <f aca="false">BF22</f>
        <v>0</v>
      </c>
      <c r="BG35" s="494" t="n">
        <f aca="false">BG22</f>
        <v>0</v>
      </c>
      <c r="BH35" s="494" t="n">
        <f aca="false">BH22</f>
        <v>0</v>
      </c>
      <c r="BI35" s="494" t="n">
        <f aca="false">BI22</f>
        <v>0</v>
      </c>
      <c r="BJ35" s="494" t="n">
        <f aca="false">BJ22</f>
        <v>0</v>
      </c>
      <c r="BK35" s="495" t="n">
        <f aca="false">BK22</f>
        <v>0</v>
      </c>
      <c r="BL35" s="497" t="n">
        <f aca="false">BL22</f>
        <v>0</v>
      </c>
      <c r="BM35" s="497" t="n">
        <f aca="false">BM22</f>
        <v>0</v>
      </c>
      <c r="BN35" s="497" t="n">
        <f aca="false">BN22</f>
        <v>0</v>
      </c>
      <c r="BO35" s="497" t="n">
        <f aca="false">BO22</f>
        <v>0</v>
      </c>
      <c r="BP35" s="497" t="n">
        <f aca="false">BP22</f>
        <v>0</v>
      </c>
    </row>
    <row r="36" customFormat="false" ht="12.75" hidden="false" customHeight="true" outlineLevel="0" collapsed="false">
      <c r="A36" s="230" t="n">
        <f aca="false">A9</f>
        <v>0</v>
      </c>
      <c r="B36" s="230"/>
      <c r="C36" s="230"/>
      <c r="D36" s="483" t="n">
        <f aca="false">D23</f>
        <v>0</v>
      </c>
      <c r="E36" s="483" t="n">
        <f aca="false">E23</f>
        <v>0</v>
      </c>
      <c r="F36" s="483" t="n">
        <f aca="false">F23</f>
        <v>0</v>
      </c>
      <c r="G36" s="483" t="n">
        <f aca="false">G23</f>
        <v>0</v>
      </c>
      <c r="H36" s="483" t="n">
        <f aca="false">H23</f>
        <v>0</v>
      </c>
      <c r="I36" s="483" t="n">
        <f aca="false">I23</f>
        <v>0</v>
      </c>
      <c r="J36" s="483" t="n">
        <f aca="false">J23</f>
        <v>0</v>
      </c>
      <c r="K36" s="483" t="n">
        <f aca="false">K23</f>
        <v>0</v>
      </c>
      <c r="L36" s="483" t="n">
        <f aca="false">L23</f>
        <v>0</v>
      </c>
      <c r="M36" s="483" t="n">
        <f aca="false">M23</f>
        <v>0</v>
      </c>
      <c r="N36" s="483" t="n">
        <f aca="false">N23</f>
        <v>0</v>
      </c>
      <c r="O36" s="501" t="n">
        <f aca="false">O23</f>
        <v>0</v>
      </c>
      <c r="P36" s="499" t="n">
        <f aca="false">P23</f>
        <v>0</v>
      </c>
      <c r="Q36" s="500" t="n">
        <f aca="false">Q23</f>
        <v>0</v>
      </c>
      <c r="R36" s="500" t="n">
        <f aca="false">R23</f>
        <v>0</v>
      </c>
      <c r="S36" s="500" t="n">
        <f aca="false">S23</f>
        <v>0</v>
      </c>
      <c r="T36" s="500" t="n">
        <f aca="false">T23</f>
        <v>0</v>
      </c>
      <c r="U36" s="500" t="n">
        <f aca="false">U23</f>
        <v>0</v>
      </c>
      <c r="V36" s="500" t="n">
        <f aca="false">V23</f>
        <v>0</v>
      </c>
      <c r="W36" s="500" t="n">
        <f aca="false">W23</f>
        <v>0</v>
      </c>
      <c r="X36" s="500" t="n">
        <f aca="false">X23</f>
        <v>0</v>
      </c>
      <c r="Y36" s="500" t="n">
        <f aca="false">Y23</f>
        <v>0</v>
      </c>
      <c r="Z36" s="500" t="n">
        <f aca="false">Z23</f>
        <v>0</v>
      </c>
      <c r="AA36" s="486" t="n">
        <f aca="false">AA23</f>
        <v>0</v>
      </c>
      <c r="AB36" s="487" t="n">
        <f aca="false">AB23</f>
        <v>0</v>
      </c>
      <c r="AC36" s="488" t="n">
        <f aca="false">AC23</f>
        <v>0</v>
      </c>
      <c r="AD36" s="488" t="n">
        <f aca="false">AD23</f>
        <v>0</v>
      </c>
      <c r="AE36" s="488" t="n">
        <f aca="false">AE23</f>
        <v>0</v>
      </c>
      <c r="AF36" s="488" t="n">
        <f aca="false">AF23</f>
        <v>0</v>
      </c>
      <c r="AG36" s="488" t="n">
        <f aca="false">AG23</f>
        <v>0</v>
      </c>
      <c r="AH36" s="488" t="n">
        <f aca="false">AH23</f>
        <v>0</v>
      </c>
      <c r="AI36" s="488" t="n">
        <f aca="false">AI23</f>
        <v>0</v>
      </c>
      <c r="AJ36" s="488" t="n">
        <f aca="false">AJ23</f>
        <v>0</v>
      </c>
      <c r="AK36" s="488" t="n">
        <f aca="false">AK23</f>
        <v>0</v>
      </c>
      <c r="AL36" s="488" t="n">
        <f aca="false">AL23</f>
        <v>0</v>
      </c>
      <c r="AM36" s="489" t="n">
        <f aca="false">AM23</f>
        <v>0</v>
      </c>
      <c r="AN36" s="490" t="n">
        <f aca="false">AN23</f>
        <v>0</v>
      </c>
      <c r="AO36" s="491" t="n">
        <f aca="false">AO23</f>
        <v>0</v>
      </c>
      <c r="AP36" s="491" t="n">
        <f aca="false">AP23</f>
        <v>0</v>
      </c>
      <c r="AQ36" s="491" t="n">
        <f aca="false">AQ23</f>
        <v>0</v>
      </c>
      <c r="AR36" s="491" t="n">
        <f aca="false">AR23</f>
        <v>0</v>
      </c>
      <c r="AS36" s="491" t="n">
        <f aca="false">AS23</f>
        <v>0</v>
      </c>
      <c r="AT36" s="491" t="n">
        <f aca="false">AT23</f>
        <v>0</v>
      </c>
      <c r="AU36" s="491" t="n">
        <f aca="false">AU23</f>
        <v>0</v>
      </c>
      <c r="AV36" s="491" t="n">
        <f aca="false">AV23</f>
        <v>0</v>
      </c>
      <c r="AW36" s="491" t="n">
        <f aca="false">AW23</f>
        <v>0</v>
      </c>
      <c r="AX36" s="491" t="n">
        <f aca="false">AX23</f>
        <v>0</v>
      </c>
      <c r="AY36" s="492" t="n">
        <f aca="false">AY23</f>
        <v>0</v>
      </c>
      <c r="AZ36" s="493" t="n">
        <f aca="false">AZ23</f>
        <v>0</v>
      </c>
      <c r="BA36" s="494" t="n">
        <f aca="false">BA23</f>
        <v>0</v>
      </c>
      <c r="BB36" s="494" t="n">
        <f aca="false">BB23</f>
        <v>0</v>
      </c>
      <c r="BC36" s="494" t="n">
        <f aca="false">BC23</f>
        <v>0</v>
      </c>
      <c r="BD36" s="494" t="n">
        <f aca="false">BD23</f>
        <v>0</v>
      </c>
      <c r="BE36" s="494" t="n">
        <f aca="false">BE23</f>
        <v>0</v>
      </c>
      <c r="BF36" s="494" t="n">
        <f aca="false">BF23</f>
        <v>0</v>
      </c>
      <c r="BG36" s="494" t="n">
        <f aca="false">BG23</f>
        <v>0</v>
      </c>
      <c r="BH36" s="494" t="n">
        <f aca="false">BH23</f>
        <v>0</v>
      </c>
      <c r="BI36" s="494" t="n">
        <f aca="false">BI23</f>
        <v>0</v>
      </c>
      <c r="BJ36" s="494" t="n">
        <f aca="false">BJ23</f>
        <v>0</v>
      </c>
      <c r="BK36" s="495" t="n">
        <f aca="false">BK23</f>
        <v>0</v>
      </c>
      <c r="BL36" s="497" t="n">
        <f aca="false">BL23</f>
        <v>0</v>
      </c>
      <c r="BM36" s="497" t="n">
        <f aca="false">BM23</f>
        <v>0</v>
      </c>
      <c r="BN36" s="497" t="n">
        <f aca="false">BN23</f>
        <v>0</v>
      </c>
      <c r="BO36" s="497" t="n">
        <f aca="false">BO23</f>
        <v>0</v>
      </c>
      <c r="BP36" s="497" t="n">
        <f aca="false">BP23</f>
        <v>0</v>
      </c>
    </row>
    <row r="37" customFormat="false" ht="12.75" hidden="false" customHeight="true" outlineLevel="0" collapsed="false">
      <c r="A37" s="230" t="n">
        <f aca="false">A10</f>
        <v>0</v>
      </c>
      <c r="B37" s="230"/>
      <c r="C37" s="230"/>
      <c r="D37" s="483" t="n">
        <f aca="false">D24</f>
        <v>0</v>
      </c>
      <c r="E37" s="483" t="n">
        <f aca="false">E24</f>
        <v>0</v>
      </c>
      <c r="F37" s="483" t="n">
        <f aca="false">F24</f>
        <v>0</v>
      </c>
      <c r="G37" s="483" t="n">
        <f aca="false">G24</f>
        <v>0</v>
      </c>
      <c r="H37" s="483" t="n">
        <f aca="false">H24</f>
        <v>0</v>
      </c>
      <c r="I37" s="483" t="n">
        <f aca="false">I24</f>
        <v>0</v>
      </c>
      <c r="J37" s="483" t="n">
        <f aca="false">J24</f>
        <v>0</v>
      </c>
      <c r="K37" s="483" t="n">
        <f aca="false">K24</f>
        <v>0</v>
      </c>
      <c r="L37" s="483" t="n">
        <f aca="false">L24</f>
        <v>0</v>
      </c>
      <c r="M37" s="483" t="n">
        <f aca="false">M24</f>
        <v>0</v>
      </c>
      <c r="N37" s="483" t="n">
        <f aca="false">N24</f>
        <v>0</v>
      </c>
      <c r="O37" s="501" t="n">
        <f aca="false">O24</f>
        <v>0</v>
      </c>
      <c r="P37" s="499" t="n">
        <f aca="false">P24</f>
        <v>0</v>
      </c>
      <c r="Q37" s="500" t="n">
        <f aca="false">Q24</f>
        <v>0</v>
      </c>
      <c r="R37" s="500" t="n">
        <f aca="false">R24</f>
        <v>0</v>
      </c>
      <c r="S37" s="500" t="n">
        <f aca="false">S24</f>
        <v>0</v>
      </c>
      <c r="T37" s="500" t="n">
        <f aca="false">T24</f>
        <v>0</v>
      </c>
      <c r="U37" s="500" t="n">
        <f aca="false">U24</f>
        <v>0</v>
      </c>
      <c r="V37" s="500" t="n">
        <f aca="false">V24</f>
        <v>0</v>
      </c>
      <c r="W37" s="500" t="n">
        <f aca="false">W24</f>
        <v>0</v>
      </c>
      <c r="X37" s="500" t="n">
        <f aca="false">X24</f>
        <v>0</v>
      </c>
      <c r="Y37" s="500" t="n">
        <f aca="false">Y24</f>
        <v>0</v>
      </c>
      <c r="Z37" s="500" t="n">
        <f aca="false">Z24</f>
        <v>0</v>
      </c>
      <c r="AA37" s="486" t="n">
        <f aca="false">AA24</f>
        <v>0</v>
      </c>
      <c r="AB37" s="487" t="n">
        <f aca="false">AB24</f>
        <v>0</v>
      </c>
      <c r="AC37" s="488" t="n">
        <f aca="false">AC24</f>
        <v>0</v>
      </c>
      <c r="AD37" s="488" t="n">
        <f aca="false">AD24</f>
        <v>0</v>
      </c>
      <c r="AE37" s="488" t="n">
        <f aca="false">AE24</f>
        <v>0</v>
      </c>
      <c r="AF37" s="488" t="n">
        <f aca="false">AF24</f>
        <v>0</v>
      </c>
      <c r="AG37" s="488" t="n">
        <f aca="false">AG24</f>
        <v>0</v>
      </c>
      <c r="AH37" s="488" t="n">
        <f aca="false">AH24</f>
        <v>0</v>
      </c>
      <c r="AI37" s="488" t="n">
        <f aca="false">AI24</f>
        <v>0</v>
      </c>
      <c r="AJ37" s="488" t="n">
        <f aca="false">AJ24</f>
        <v>0</v>
      </c>
      <c r="AK37" s="488" t="n">
        <f aca="false">AK24</f>
        <v>0</v>
      </c>
      <c r="AL37" s="488" t="n">
        <f aca="false">AL24</f>
        <v>0</v>
      </c>
      <c r="AM37" s="489" t="n">
        <f aca="false">AM24</f>
        <v>0</v>
      </c>
      <c r="AN37" s="490" t="n">
        <f aca="false">AN24</f>
        <v>0</v>
      </c>
      <c r="AO37" s="491" t="n">
        <f aca="false">AO24</f>
        <v>0</v>
      </c>
      <c r="AP37" s="491" t="n">
        <f aca="false">AP24</f>
        <v>0</v>
      </c>
      <c r="AQ37" s="491" t="n">
        <f aca="false">AQ24</f>
        <v>0</v>
      </c>
      <c r="AR37" s="491" t="n">
        <f aca="false">AR24</f>
        <v>0</v>
      </c>
      <c r="AS37" s="491" t="n">
        <f aca="false">AS24</f>
        <v>0</v>
      </c>
      <c r="AT37" s="491" t="n">
        <f aca="false">AT24</f>
        <v>0</v>
      </c>
      <c r="AU37" s="491" t="n">
        <f aca="false">AU24</f>
        <v>0</v>
      </c>
      <c r="AV37" s="491" t="n">
        <f aca="false">AV24</f>
        <v>0</v>
      </c>
      <c r="AW37" s="491" t="n">
        <f aca="false">AW24</f>
        <v>0</v>
      </c>
      <c r="AX37" s="491" t="n">
        <f aca="false">AX24</f>
        <v>0</v>
      </c>
      <c r="AY37" s="492" t="n">
        <f aca="false">AY24</f>
        <v>0</v>
      </c>
      <c r="AZ37" s="493" t="n">
        <f aca="false">AZ24</f>
        <v>0</v>
      </c>
      <c r="BA37" s="494" t="n">
        <f aca="false">BA24</f>
        <v>0</v>
      </c>
      <c r="BB37" s="494" t="n">
        <f aca="false">BB24</f>
        <v>0</v>
      </c>
      <c r="BC37" s="494" t="n">
        <f aca="false">BC24</f>
        <v>0</v>
      </c>
      <c r="BD37" s="494" t="n">
        <f aca="false">BD24</f>
        <v>0</v>
      </c>
      <c r="BE37" s="494" t="n">
        <f aca="false">BE24</f>
        <v>0</v>
      </c>
      <c r="BF37" s="494" t="n">
        <f aca="false">BF24</f>
        <v>0</v>
      </c>
      <c r="BG37" s="494" t="n">
        <f aca="false">BG24</f>
        <v>0</v>
      </c>
      <c r="BH37" s="494" t="n">
        <f aca="false">BH24</f>
        <v>0</v>
      </c>
      <c r="BI37" s="494" t="n">
        <f aca="false">BI24</f>
        <v>0</v>
      </c>
      <c r="BJ37" s="494" t="n">
        <f aca="false">BJ24</f>
        <v>0</v>
      </c>
      <c r="BK37" s="495" t="n">
        <f aca="false">BK24</f>
        <v>0</v>
      </c>
      <c r="BL37" s="497" t="n">
        <f aca="false">BL24</f>
        <v>0</v>
      </c>
      <c r="BM37" s="497" t="n">
        <f aca="false">BM24</f>
        <v>0</v>
      </c>
      <c r="BN37" s="497" t="n">
        <f aca="false">BN24</f>
        <v>0</v>
      </c>
      <c r="BO37" s="497" t="n">
        <f aca="false">BO24</f>
        <v>0</v>
      </c>
      <c r="BP37" s="497" t="n">
        <f aca="false">BP24</f>
        <v>0</v>
      </c>
    </row>
    <row r="38" customFormat="false" ht="12.75" hidden="false" customHeight="true" outlineLevel="0" collapsed="false">
      <c r="A38" s="230" t="n">
        <f aca="false">A11</f>
        <v>0</v>
      </c>
      <c r="B38" s="230"/>
      <c r="C38" s="230"/>
      <c r="D38" s="483" t="n">
        <f aca="false">D25</f>
        <v>0</v>
      </c>
      <c r="E38" s="483" t="n">
        <f aca="false">E25</f>
        <v>0</v>
      </c>
      <c r="F38" s="483" t="n">
        <f aca="false">F25</f>
        <v>0</v>
      </c>
      <c r="G38" s="483" t="n">
        <f aca="false">G25</f>
        <v>0</v>
      </c>
      <c r="H38" s="483" t="n">
        <f aca="false">H25</f>
        <v>0</v>
      </c>
      <c r="I38" s="483" t="n">
        <f aca="false">I25</f>
        <v>0</v>
      </c>
      <c r="J38" s="483" t="n">
        <f aca="false">J25</f>
        <v>0</v>
      </c>
      <c r="K38" s="483" t="n">
        <f aca="false">K25</f>
        <v>0</v>
      </c>
      <c r="L38" s="483" t="n">
        <f aca="false">L25</f>
        <v>0</v>
      </c>
      <c r="M38" s="483" t="n">
        <f aca="false">M25</f>
        <v>0</v>
      </c>
      <c r="N38" s="483" t="n">
        <f aca="false">N25</f>
        <v>0</v>
      </c>
      <c r="O38" s="501" t="n">
        <f aca="false">O25</f>
        <v>0</v>
      </c>
      <c r="P38" s="499" t="n">
        <f aca="false">P25</f>
        <v>0</v>
      </c>
      <c r="Q38" s="500" t="n">
        <f aca="false">Q25</f>
        <v>0</v>
      </c>
      <c r="R38" s="500" t="n">
        <f aca="false">R25</f>
        <v>0</v>
      </c>
      <c r="S38" s="500" t="n">
        <f aca="false">S25</f>
        <v>0</v>
      </c>
      <c r="T38" s="500" t="n">
        <f aca="false">T25</f>
        <v>0</v>
      </c>
      <c r="U38" s="500" t="n">
        <f aca="false">U25</f>
        <v>0</v>
      </c>
      <c r="V38" s="500" t="n">
        <f aca="false">V25</f>
        <v>0</v>
      </c>
      <c r="W38" s="500" t="n">
        <f aca="false">W25</f>
        <v>0</v>
      </c>
      <c r="X38" s="500" t="n">
        <f aca="false">X25</f>
        <v>0</v>
      </c>
      <c r="Y38" s="500" t="n">
        <f aca="false">Y25</f>
        <v>0</v>
      </c>
      <c r="Z38" s="500" t="n">
        <f aca="false">Z25</f>
        <v>0</v>
      </c>
      <c r="AA38" s="486" t="n">
        <f aca="false">AA25</f>
        <v>0</v>
      </c>
      <c r="AB38" s="487" t="n">
        <f aca="false">AB25</f>
        <v>0</v>
      </c>
      <c r="AC38" s="488" t="n">
        <f aca="false">AC25</f>
        <v>0</v>
      </c>
      <c r="AD38" s="488" t="n">
        <f aca="false">AD25</f>
        <v>0</v>
      </c>
      <c r="AE38" s="488" t="n">
        <f aca="false">AE25</f>
        <v>0</v>
      </c>
      <c r="AF38" s="488" t="n">
        <f aca="false">AF25</f>
        <v>0</v>
      </c>
      <c r="AG38" s="488" t="n">
        <f aca="false">AG25</f>
        <v>0</v>
      </c>
      <c r="AH38" s="488" t="n">
        <f aca="false">AH25</f>
        <v>0</v>
      </c>
      <c r="AI38" s="488" t="n">
        <f aca="false">AI25</f>
        <v>0</v>
      </c>
      <c r="AJ38" s="488" t="n">
        <f aca="false">AJ25</f>
        <v>0</v>
      </c>
      <c r="AK38" s="488" t="n">
        <f aca="false">AK25</f>
        <v>0</v>
      </c>
      <c r="AL38" s="488" t="n">
        <f aca="false">AL25</f>
        <v>0</v>
      </c>
      <c r="AM38" s="489" t="n">
        <f aca="false">AM25</f>
        <v>0</v>
      </c>
      <c r="AN38" s="490" t="n">
        <f aca="false">AN25</f>
        <v>0</v>
      </c>
      <c r="AO38" s="491" t="n">
        <f aca="false">AO25</f>
        <v>0</v>
      </c>
      <c r="AP38" s="491" t="n">
        <f aca="false">AP25</f>
        <v>0</v>
      </c>
      <c r="AQ38" s="491" t="n">
        <f aca="false">AQ25</f>
        <v>0</v>
      </c>
      <c r="AR38" s="491" t="n">
        <f aca="false">AR25</f>
        <v>0</v>
      </c>
      <c r="AS38" s="491" t="n">
        <f aca="false">AS25</f>
        <v>0</v>
      </c>
      <c r="AT38" s="491" t="n">
        <f aca="false">AT25</f>
        <v>0</v>
      </c>
      <c r="AU38" s="491" t="n">
        <f aca="false">AU25</f>
        <v>0</v>
      </c>
      <c r="AV38" s="491" t="n">
        <f aca="false">AV25</f>
        <v>0</v>
      </c>
      <c r="AW38" s="491" t="n">
        <f aca="false">AW25</f>
        <v>0</v>
      </c>
      <c r="AX38" s="491" t="n">
        <f aca="false">AX25</f>
        <v>0</v>
      </c>
      <c r="AY38" s="492" t="n">
        <f aca="false">AY25</f>
        <v>0</v>
      </c>
      <c r="AZ38" s="493" t="n">
        <f aca="false">AZ25</f>
        <v>0</v>
      </c>
      <c r="BA38" s="494" t="n">
        <f aca="false">BA25</f>
        <v>0</v>
      </c>
      <c r="BB38" s="494" t="n">
        <f aca="false">BB25</f>
        <v>0</v>
      </c>
      <c r="BC38" s="494" t="n">
        <f aca="false">BC25</f>
        <v>0</v>
      </c>
      <c r="BD38" s="494" t="n">
        <f aca="false">BD25</f>
        <v>0</v>
      </c>
      <c r="BE38" s="494" t="n">
        <f aca="false">BE25</f>
        <v>0</v>
      </c>
      <c r="BF38" s="494" t="n">
        <f aca="false">BF25</f>
        <v>0</v>
      </c>
      <c r="BG38" s="494" t="n">
        <f aca="false">BG25</f>
        <v>0</v>
      </c>
      <c r="BH38" s="494" t="n">
        <f aca="false">BH25</f>
        <v>0</v>
      </c>
      <c r="BI38" s="494" t="n">
        <f aca="false">BI25</f>
        <v>0</v>
      </c>
      <c r="BJ38" s="494" t="n">
        <f aca="false">BJ25</f>
        <v>0</v>
      </c>
      <c r="BK38" s="495" t="n">
        <f aca="false">BK25</f>
        <v>0</v>
      </c>
      <c r="BL38" s="497" t="n">
        <f aca="false">BL25</f>
        <v>0</v>
      </c>
      <c r="BM38" s="497" t="n">
        <f aca="false">BM25</f>
        <v>0</v>
      </c>
      <c r="BN38" s="497" t="n">
        <f aca="false">BN25</f>
        <v>0</v>
      </c>
      <c r="BO38" s="497" t="n">
        <f aca="false">BO25</f>
        <v>0</v>
      </c>
      <c r="BP38" s="497" t="n">
        <f aca="false">BP25</f>
        <v>0</v>
      </c>
    </row>
    <row r="39" customFormat="false" ht="12.75" hidden="false" customHeight="true" outlineLevel="0" collapsed="false">
      <c r="A39" s="230" t="n">
        <f aca="false">A12</f>
        <v>0</v>
      </c>
      <c r="B39" s="230"/>
      <c r="C39" s="230"/>
      <c r="D39" s="483" t="n">
        <f aca="false">D26</f>
        <v>0</v>
      </c>
      <c r="E39" s="483" t="n">
        <f aca="false">E26</f>
        <v>0</v>
      </c>
      <c r="F39" s="483" t="n">
        <f aca="false">F26</f>
        <v>0</v>
      </c>
      <c r="G39" s="483" t="n">
        <f aca="false">G26</f>
        <v>0</v>
      </c>
      <c r="H39" s="483" t="n">
        <f aca="false">H26</f>
        <v>0</v>
      </c>
      <c r="I39" s="483" t="n">
        <f aca="false">I26</f>
        <v>0</v>
      </c>
      <c r="J39" s="483" t="n">
        <f aca="false">J26</f>
        <v>0</v>
      </c>
      <c r="K39" s="483" t="n">
        <f aca="false">K26</f>
        <v>0</v>
      </c>
      <c r="L39" s="483" t="n">
        <f aca="false">L26</f>
        <v>0</v>
      </c>
      <c r="M39" s="483" t="n">
        <f aca="false">M26</f>
        <v>0</v>
      </c>
      <c r="N39" s="483" t="n">
        <f aca="false">N26</f>
        <v>0</v>
      </c>
      <c r="O39" s="501" t="n">
        <f aca="false">O26</f>
        <v>0</v>
      </c>
      <c r="P39" s="499" t="n">
        <f aca="false">P26</f>
        <v>0</v>
      </c>
      <c r="Q39" s="500" t="n">
        <f aca="false">Q26</f>
        <v>0</v>
      </c>
      <c r="R39" s="500" t="n">
        <f aca="false">R26</f>
        <v>0</v>
      </c>
      <c r="S39" s="500" t="n">
        <f aca="false">S26</f>
        <v>0</v>
      </c>
      <c r="T39" s="500" t="n">
        <f aca="false">T26</f>
        <v>0</v>
      </c>
      <c r="U39" s="500" t="n">
        <f aca="false">U26</f>
        <v>0</v>
      </c>
      <c r="V39" s="500" t="n">
        <f aca="false">V26</f>
        <v>0</v>
      </c>
      <c r="W39" s="500" t="n">
        <f aca="false">W26</f>
        <v>0</v>
      </c>
      <c r="X39" s="500" t="n">
        <f aca="false">X26</f>
        <v>0</v>
      </c>
      <c r="Y39" s="500" t="n">
        <f aca="false">Y26</f>
        <v>0</v>
      </c>
      <c r="Z39" s="500" t="n">
        <f aca="false">Z26</f>
        <v>0</v>
      </c>
      <c r="AA39" s="486" t="n">
        <f aca="false">AA26</f>
        <v>0</v>
      </c>
      <c r="AB39" s="487" t="n">
        <f aca="false">AB26</f>
        <v>0</v>
      </c>
      <c r="AC39" s="488" t="n">
        <f aca="false">AC26</f>
        <v>0</v>
      </c>
      <c r="AD39" s="488" t="n">
        <f aca="false">AD26</f>
        <v>0</v>
      </c>
      <c r="AE39" s="488" t="n">
        <f aca="false">AE26</f>
        <v>0</v>
      </c>
      <c r="AF39" s="488" t="n">
        <f aca="false">AF26</f>
        <v>0</v>
      </c>
      <c r="AG39" s="488" t="n">
        <f aca="false">AG26</f>
        <v>0</v>
      </c>
      <c r="AH39" s="488" t="n">
        <f aca="false">AH26</f>
        <v>0</v>
      </c>
      <c r="AI39" s="488" t="n">
        <f aca="false">AI26</f>
        <v>0</v>
      </c>
      <c r="AJ39" s="488" t="n">
        <f aca="false">AJ26</f>
        <v>0</v>
      </c>
      <c r="AK39" s="488" t="n">
        <f aca="false">AK26</f>
        <v>0</v>
      </c>
      <c r="AL39" s="488" t="n">
        <f aca="false">AL26</f>
        <v>0</v>
      </c>
      <c r="AM39" s="489" t="n">
        <f aca="false">AM26</f>
        <v>0</v>
      </c>
      <c r="AN39" s="490" t="n">
        <f aca="false">AN26</f>
        <v>0</v>
      </c>
      <c r="AO39" s="491" t="n">
        <f aca="false">AO26</f>
        <v>0</v>
      </c>
      <c r="AP39" s="491" t="n">
        <f aca="false">AP26</f>
        <v>0</v>
      </c>
      <c r="AQ39" s="491" t="n">
        <f aca="false">AQ26</f>
        <v>0</v>
      </c>
      <c r="AR39" s="491" t="n">
        <f aca="false">AR26</f>
        <v>0</v>
      </c>
      <c r="AS39" s="491" t="n">
        <f aca="false">AS26</f>
        <v>0</v>
      </c>
      <c r="AT39" s="491" t="n">
        <f aca="false">AT26</f>
        <v>0</v>
      </c>
      <c r="AU39" s="491" t="n">
        <f aca="false">AU26</f>
        <v>0</v>
      </c>
      <c r="AV39" s="491" t="n">
        <f aca="false">AV26</f>
        <v>0</v>
      </c>
      <c r="AW39" s="491" t="n">
        <f aca="false">AW26</f>
        <v>0</v>
      </c>
      <c r="AX39" s="491" t="n">
        <f aca="false">AX26</f>
        <v>0</v>
      </c>
      <c r="AY39" s="492" t="n">
        <f aca="false">AY26</f>
        <v>0</v>
      </c>
      <c r="AZ39" s="493" t="n">
        <f aca="false">AZ26</f>
        <v>0</v>
      </c>
      <c r="BA39" s="494" t="n">
        <f aca="false">BA26</f>
        <v>0</v>
      </c>
      <c r="BB39" s="494" t="n">
        <f aca="false">BB26</f>
        <v>0</v>
      </c>
      <c r="BC39" s="494" t="n">
        <f aca="false">BC26</f>
        <v>0</v>
      </c>
      <c r="BD39" s="494" t="n">
        <f aca="false">BD26</f>
        <v>0</v>
      </c>
      <c r="BE39" s="494" t="n">
        <f aca="false">BE26</f>
        <v>0</v>
      </c>
      <c r="BF39" s="494" t="n">
        <f aca="false">BF26</f>
        <v>0</v>
      </c>
      <c r="BG39" s="494" t="n">
        <f aca="false">BG26</f>
        <v>0</v>
      </c>
      <c r="BH39" s="494" t="n">
        <f aca="false">BH26</f>
        <v>0</v>
      </c>
      <c r="BI39" s="494" t="n">
        <f aca="false">BI26</f>
        <v>0</v>
      </c>
      <c r="BJ39" s="494" t="n">
        <f aca="false">BJ26</f>
        <v>0</v>
      </c>
      <c r="BK39" s="495" t="n">
        <f aca="false">BK26</f>
        <v>0</v>
      </c>
      <c r="BL39" s="497" t="n">
        <f aca="false">BL26</f>
        <v>0</v>
      </c>
      <c r="BM39" s="497" t="n">
        <f aca="false">BM26</f>
        <v>0</v>
      </c>
      <c r="BN39" s="497" t="n">
        <f aca="false">BN26</f>
        <v>0</v>
      </c>
      <c r="BO39" s="497" t="n">
        <f aca="false">BO26</f>
        <v>0</v>
      </c>
      <c r="BP39" s="497" t="n">
        <f aca="false">BP26</f>
        <v>0</v>
      </c>
    </row>
    <row r="40" customFormat="false" ht="13.5" hidden="false" customHeight="true" outlineLevel="0" collapsed="false">
      <c r="A40" s="230" t="n">
        <f aca="false">A13</f>
        <v>0</v>
      </c>
      <c r="B40" s="230"/>
      <c r="C40" s="230"/>
      <c r="D40" s="483" t="n">
        <f aca="false">D27</f>
        <v>0</v>
      </c>
      <c r="E40" s="483" t="n">
        <f aca="false">E27</f>
        <v>0</v>
      </c>
      <c r="F40" s="483" t="n">
        <f aca="false">F27</f>
        <v>0</v>
      </c>
      <c r="G40" s="483" t="n">
        <f aca="false">G27</f>
        <v>0</v>
      </c>
      <c r="H40" s="483" t="n">
        <f aca="false">H27</f>
        <v>0</v>
      </c>
      <c r="I40" s="483" t="n">
        <f aca="false">I27</f>
        <v>0</v>
      </c>
      <c r="J40" s="483" t="n">
        <f aca="false">J27</f>
        <v>0</v>
      </c>
      <c r="K40" s="483" t="n">
        <f aca="false">K27</f>
        <v>0</v>
      </c>
      <c r="L40" s="483" t="n">
        <f aca="false">L27</f>
        <v>0</v>
      </c>
      <c r="M40" s="483" t="n">
        <f aca="false">M27</f>
        <v>0</v>
      </c>
      <c r="N40" s="483" t="n">
        <f aca="false">N27</f>
        <v>0</v>
      </c>
      <c r="O40" s="501" t="n">
        <f aca="false">O27</f>
        <v>0</v>
      </c>
      <c r="P40" s="499" t="n">
        <f aca="false">P27</f>
        <v>0</v>
      </c>
      <c r="Q40" s="505" t="n">
        <f aca="false">Q27</f>
        <v>0</v>
      </c>
      <c r="R40" s="505" t="n">
        <f aca="false">R27</f>
        <v>0</v>
      </c>
      <c r="S40" s="505" t="n">
        <f aca="false">S27</f>
        <v>0</v>
      </c>
      <c r="T40" s="505" t="n">
        <f aca="false">T27</f>
        <v>0</v>
      </c>
      <c r="U40" s="505" t="n">
        <f aca="false">U27</f>
        <v>0</v>
      </c>
      <c r="V40" s="505" t="n">
        <f aca="false">V27</f>
        <v>0</v>
      </c>
      <c r="W40" s="505" t="n">
        <f aca="false">W27</f>
        <v>0</v>
      </c>
      <c r="X40" s="505" t="n">
        <f aca="false">X27</f>
        <v>0</v>
      </c>
      <c r="Y40" s="505" t="n">
        <f aca="false">Y27</f>
        <v>0</v>
      </c>
      <c r="Z40" s="505" t="n">
        <f aca="false">Z27</f>
        <v>0</v>
      </c>
      <c r="AA40" s="506" t="n">
        <f aca="false">AA27</f>
        <v>0</v>
      </c>
      <c r="AB40" s="507" t="n">
        <f aca="false">AB27</f>
        <v>0</v>
      </c>
      <c r="AC40" s="508" t="n">
        <f aca="false">AC27</f>
        <v>0</v>
      </c>
      <c r="AD40" s="508" t="n">
        <f aca="false">AD27</f>
        <v>0</v>
      </c>
      <c r="AE40" s="508" t="n">
        <f aca="false">AE27</f>
        <v>0</v>
      </c>
      <c r="AF40" s="508" t="n">
        <f aca="false">AF27</f>
        <v>0</v>
      </c>
      <c r="AG40" s="508" t="n">
        <f aca="false">AG27</f>
        <v>0</v>
      </c>
      <c r="AH40" s="508" t="n">
        <f aca="false">AH27</f>
        <v>0</v>
      </c>
      <c r="AI40" s="508" t="n">
        <f aca="false">AI27</f>
        <v>0</v>
      </c>
      <c r="AJ40" s="508" t="n">
        <f aca="false">AJ27</f>
        <v>0</v>
      </c>
      <c r="AK40" s="508" t="n">
        <f aca="false">AK27</f>
        <v>0</v>
      </c>
      <c r="AL40" s="508" t="n">
        <f aca="false">AL27</f>
        <v>0</v>
      </c>
      <c r="AM40" s="509" t="n">
        <f aca="false">AM27</f>
        <v>0</v>
      </c>
      <c r="AN40" s="510" t="n">
        <f aca="false">AN27</f>
        <v>0</v>
      </c>
      <c r="AO40" s="511" t="n">
        <f aca="false">AO27</f>
        <v>0</v>
      </c>
      <c r="AP40" s="511" t="n">
        <f aca="false">AP27</f>
        <v>0</v>
      </c>
      <c r="AQ40" s="511" t="n">
        <f aca="false">AQ27</f>
        <v>0</v>
      </c>
      <c r="AR40" s="511" t="n">
        <f aca="false">AR27</f>
        <v>0</v>
      </c>
      <c r="AS40" s="511" t="n">
        <f aca="false">AS27</f>
        <v>0</v>
      </c>
      <c r="AT40" s="511" t="n">
        <f aca="false">AT27</f>
        <v>0</v>
      </c>
      <c r="AU40" s="511" t="n">
        <f aca="false">AU27</f>
        <v>0</v>
      </c>
      <c r="AV40" s="511" t="n">
        <f aca="false">AV27</f>
        <v>0</v>
      </c>
      <c r="AW40" s="511" t="n">
        <f aca="false">AW27</f>
        <v>0</v>
      </c>
      <c r="AX40" s="511" t="n">
        <f aca="false">AX27</f>
        <v>0</v>
      </c>
      <c r="AY40" s="512" t="n">
        <f aca="false">AY27</f>
        <v>0</v>
      </c>
      <c r="AZ40" s="513" t="n">
        <f aca="false">AZ27</f>
        <v>0</v>
      </c>
      <c r="BA40" s="514" t="n">
        <f aca="false">BA27</f>
        <v>0</v>
      </c>
      <c r="BB40" s="514" t="n">
        <f aca="false">BB27</f>
        <v>0</v>
      </c>
      <c r="BC40" s="514" t="n">
        <f aca="false">BC27</f>
        <v>0</v>
      </c>
      <c r="BD40" s="514" t="n">
        <f aca="false">BD27</f>
        <v>0</v>
      </c>
      <c r="BE40" s="514" t="n">
        <f aca="false">BE27</f>
        <v>0</v>
      </c>
      <c r="BF40" s="514" t="n">
        <f aca="false">BF27</f>
        <v>0</v>
      </c>
      <c r="BG40" s="514" t="n">
        <f aca="false">BG27</f>
        <v>0</v>
      </c>
      <c r="BH40" s="514" t="n">
        <f aca="false">BH27</f>
        <v>0</v>
      </c>
      <c r="BI40" s="514" t="n">
        <f aca="false">BI27</f>
        <v>0</v>
      </c>
      <c r="BJ40" s="514" t="n">
        <f aca="false">BJ27</f>
        <v>0</v>
      </c>
      <c r="BK40" s="515" t="n">
        <f aca="false">BK27</f>
        <v>0</v>
      </c>
      <c r="BL40" s="497" t="n">
        <f aca="false">BL27</f>
        <v>0</v>
      </c>
      <c r="BM40" s="497" t="n">
        <f aca="false">BM27</f>
        <v>0</v>
      </c>
      <c r="BN40" s="497" t="n">
        <f aca="false">BN27</f>
        <v>0</v>
      </c>
      <c r="BO40" s="497" t="n">
        <f aca="false">BO27</f>
        <v>0</v>
      </c>
      <c r="BP40" s="497" t="n">
        <f aca="false">BP27</f>
        <v>0</v>
      </c>
    </row>
    <row r="41" s="434" customFormat="true" ht="13.5" hidden="false" customHeight="true" outlineLevel="0" collapsed="false">
      <c r="A41" s="467" t="s">
        <v>1713</v>
      </c>
      <c r="B41" s="467"/>
      <c r="C41" s="467"/>
      <c r="D41" s="419" t="n">
        <f aca="false">SUM(D30:D40)</f>
        <v>83266.6466666667</v>
      </c>
      <c r="E41" s="419" t="n">
        <f aca="false">SUM(E30:E40)</f>
        <v>124866.646666667</v>
      </c>
      <c r="F41" s="419" t="n">
        <f aca="false">SUM(F30:F40)</f>
        <v>145666.646666667</v>
      </c>
      <c r="G41" s="419" t="n">
        <f aca="false">SUM(G30:G40)</f>
        <v>145666.646666667</v>
      </c>
      <c r="H41" s="419" t="n">
        <f aca="false">SUM(H30:H40)</f>
        <v>145666.646666667</v>
      </c>
      <c r="I41" s="419" t="n">
        <f aca="false">SUM(I30:I40)</f>
        <v>197666.646666667</v>
      </c>
      <c r="J41" s="419" t="n">
        <f aca="false">SUM(J30:J40)</f>
        <v>301666.646666667</v>
      </c>
      <c r="K41" s="419" t="n">
        <f aca="false">SUM(K30:K40)</f>
        <v>353666.646666667</v>
      </c>
      <c r="L41" s="419" t="n">
        <f aca="false">SUM(L30:L40)</f>
        <v>353666.646666667</v>
      </c>
      <c r="M41" s="419" t="n">
        <f aca="false">SUM(M30:M40)</f>
        <v>353666.646666667</v>
      </c>
      <c r="N41" s="419" t="n">
        <f aca="false">SUM(N30:N40)</f>
        <v>353666.646666667</v>
      </c>
      <c r="O41" s="420" t="n">
        <f aca="false">SUM(O30:O40)</f>
        <v>353666.646666667</v>
      </c>
      <c r="P41" s="467" t="n">
        <f aca="false">SUM(P30:P40)</f>
        <v>533399.958</v>
      </c>
      <c r="Q41" s="477" t="n">
        <f aca="false">SUM(Q30:Q40)</f>
        <v>651699.958</v>
      </c>
      <c r="R41" s="477" t="n">
        <f aca="false">SUM(R30:R40)</f>
        <v>879199.958</v>
      </c>
      <c r="S41" s="477" t="n">
        <f aca="false">SUM(S30:S40)</f>
        <v>1106699.958</v>
      </c>
      <c r="T41" s="477" t="n">
        <f aca="false">SUM(T30:T40)</f>
        <v>1334199.958</v>
      </c>
      <c r="U41" s="477" t="n">
        <f aca="false">SUM(U30:U40)</f>
        <v>1561699.958</v>
      </c>
      <c r="V41" s="477" t="n">
        <f aca="false">SUM(V30:V40)</f>
        <v>1789199.958</v>
      </c>
      <c r="W41" s="477" t="n">
        <f aca="false">SUM(W30:W40)</f>
        <v>1907499.958</v>
      </c>
      <c r="X41" s="477" t="n">
        <f aca="false">SUM(X30:X40)</f>
        <v>1907499.958</v>
      </c>
      <c r="Y41" s="477" t="n">
        <f aca="false">SUM(Y30:Y40)</f>
        <v>1907499.958</v>
      </c>
      <c r="Z41" s="477" t="n">
        <f aca="false">SUM(Z30:Z40)</f>
        <v>1907499.958</v>
      </c>
      <c r="AA41" s="478" t="n">
        <f aca="false">SUM(AA30:AA40)</f>
        <v>1907499.958</v>
      </c>
      <c r="AB41" s="467" t="n">
        <f aca="false">SUM(AB30:AB40)</f>
        <v>2048812.43385</v>
      </c>
      <c r="AC41" s="477" t="n">
        <f aca="false">SUM(AC30:AC40)</f>
        <v>2048812.43385</v>
      </c>
      <c r="AD41" s="477" t="n">
        <f aca="false">SUM(AD30:AD40)</f>
        <v>2048812.43385</v>
      </c>
      <c r="AE41" s="477" t="n">
        <f aca="false">SUM(AE30:AE40)</f>
        <v>2048812.43385</v>
      </c>
      <c r="AF41" s="477" t="n">
        <f aca="false">SUM(AF30:AF40)</f>
        <v>2048812.43385</v>
      </c>
      <c r="AG41" s="477" t="n">
        <f aca="false">SUM(AG30:AG40)</f>
        <v>2048812.43385</v>
      </c>
      <c r="AH41" s="477" t="n">
        <f aca="false">SUM(AH30:AH40)</f>
        <v>2048812.43385</v>
      </c>
      <c r="AI41" s="477" t="n">
        <f aca="false">SUM(AI30:AI40)</f>
        <v>2048812.43385</v>
      </c>
      <c r="AJ41" s="477" t="n">
        <f aca="false">SUM(AJ30:AJ40)</f>
        <v>2048812.43385</v>
      </c>
      <c r="AK41" s="477" t="n">
        <f aca="false">SUM(AK30:AK40)</f>
        <v>2048812.43385</v>
      </c>
      <c r="AL41" s="477" t="n">
        <f aca="false">SUM(AL30:AL40)</f>
        <v>2048812.43385</v>
      </c>
      <c r="AM41" s="478" t="n">
        <f aca="false">SUM(AM30:AM40)</f>
        <v>2048812.43385</v>
      </c>
      <c r="AN41" s="467" t="n">
        <f aca="false">SUM(AN30:AN40)</f>
        <v>2151253.0555425</v>
      </c>
      <c r="AO41" s="477" t="n">
        <f aca="false">SUM(AO30:AO40)</f>
        <v>2151253.0555425</v>
      </c>
      <c r="AP41" s="477" t="n">
        <f aca="false">SUM(AP30:AP40)</f>
        <v>2151253.0555425</v>
      </c>
      <c r="AQ41" s="477" t="n">
        <f aca="false">SUM(AQ30:AQ40)</f>
        <v>2151253.0555425</v>
      </c>
      <c r="AR41" s="477" t="n">
        <f aca="false">SUM(AR30:AR40)</f>
        <v>2151253.0555425</v>
      </c>
      <c r="AS41" s="477" t="n">
        <f aca="false">SUM(AS30:AS40)</f>
        <v>2151253.0555425</v>
      </c>
      <c r="AT41" s="477" t="n">
        <f aca="false">SUM(AT30:AT40)</f>
        <v>2151253.0555425</v>
      </c>
      <c r="AU41" s="477" t="n">
        <f aca="false">SUM(AU30:AU40)</f>
        <v>2151253.0555425</v>
      </c>
      <c r="AV41" s="477" t="n">
        <f aca="false">SUM(AV30:AV40)</f>
        <v>2151253.0555425</v>
      </c>
      <c r="AW41" s="477" t="n">
        <f aca="false">SUM(AW30:AW40)</f>
        <v>2151253.0555425</v>
      </c>
      <c r="AX41" s="477" t="n">
        <f aca="false">SUM(AX30:AX40)</f>
        <v>2151253.0555425</v>
      </c>
      <c r="AY41" s="478" t="n">
        <f aca="false">SUM(AY30:AY40)</f>
        <v>2151253.0555425</v>
      </c>
      <c r="AZ41" s="467" t="n">
        <f aca="false">SUM(AZ30:AZ40)</f>
        <v>2258815.70831963</v>
      </c>
      <c r="BA41" s="477" t="n">
        <f aca="false">SUM(BA30:BA40)</f>
        <v>2258815.70831963</v>
      </c>
      <c r="BB41" s="477" t="n">
        <f aca="false">SUM(BB30:BB40)</f>
        <v>2258815.70831963</v>
      </c>
      <c r="BC41" s="477" t="n">
        <f aca="false">SUM(BC30:BC40)</f>
        <v>2258815.70831963</v>
      </c>
      <c r="BD41" s="477" t="n">
        <f aca="false">SUM(BD30:BD40)</f>
        <v>2258815.70831963</v>
      </c>
      <c r="BE41" s="477" t="n">
        <f aca="false">SUM(BE30:BE40)</f>
        <v>2258815.70831963</v>
      </c>
      <c r="BF41" s="477" t="n">
        <f aca="false">SUM(BF30:BF40)</f>
        <v>2258815.70831963</v>
      </c>
      <c r="BG41" s="477" t="n">
        <f aca="false">SUM(BG30:BG40)</f>
        <v>2258815.70831963</v>
      </c>
      <c r="BH41" s="477" t="n">
        <f aca="false">SUM(BH30:BH40)</f>
        <v>2258815.70831963</v>
      </c>
      <c r="BI41" s="477" t="n">
        <f aca="false">SUM(BI30:BI40)</f>
        <v>2258815.70831963</v>
      </c>
      <c r="BJ41" s="477" t="n">
        <f aca="false">SUM(BJ30:BJ40)</f>
        <v>2258815.70831963</v>
      </c>
      <c r="BK41" s="478" t="n">
        <f aca="false">SUM(BK30:BK40)</f>
        <v>2258815.70831963</v>
      </c>
      <c r="BL41" s="524" t="n">
        <f aca="false">SUM(BL30:BL40)</f>
        <v>2912799.76</v>
      </c>
      <c r="BM41" s="524" t="n">
        <f aca="false">SUM(BM30:BM40)</f>
        <v>11102839.748</v>
      </c>
      <c r="BN41" s="524" t="n">
        <f aca="false">SUM(BN30:BN40)</f>
        <v>15136001.7354</v>
      </c>
      <c r="BO41" s="524" t="n">
        <f aca="false">SUM(BO30:BO40)</f>
        <v>15892801.82217</v>
      </c>
      <c r="BP41" s="524" t="n">
        <f aca="false">SUM(BP30:BP40)</f>
        <v>16687441.9132785</v>
      </c>
    </row>
    <row r="42" customFormat="false" ht="12.75" hidden="false" customHeight="true" outlineLevel="0" collapsed="false">
      <c r="A42" s="204"/>
      <c r="B42" s="204"/>
      <c r="C42" s="196"/>
      <c r="D42" s="483"/>
      <c r="E42" s="483"/>
      <c r="F42" s="483"/>
      <c r="G42" s="483"/>
      <c r="H42" s="483"/>
      <c r="I42" s="483"/>
      <c r="J42" s="483"/>
      <c r="K42" s="483"/>
      <c r="L42" s="483"/>
      <c r="M42" s="483"/>
      <c r="N42" s="483"/>
      <c r="O42" s="483"/>
      <c r="P42" s="196"/>
      <c r="Q42" s="196"/>
      <c r="R42" s="196"/>
      <c r="S42" s="196"/>
      <c r="T42" s="196"/>
      <c r="U42" s="196"/>
      <c r="V42" s="196"/>
      <c r="W42" s="196"/>
      <c r="X42" s="196"/>
      <c r="Y42" s="196"/>
      <c r="Z42" s="196"/>
      <c r="AA42" s="196"/>
      <c r="AB42" s="196"/>
      <c r="AC42" s="196"/>
      <c r="AD42" s="196"/>
      <c r="AE42" s="196"/>
      <c r="AF42" s="196"/>
      <c r="AG42" s="196"/>
      <c r="AH42" s="196"/>
      <c r="AI42" s="196"/>
      <c r="AJ42" s="196"/>
      <c r="AK42" s="196"/>
      <c r="AL42" s="196"/>
      <c r="AM42" s="196"/>
      <c r="AN42" s="196"/>
      <c r="AO42" s="196"/>
      <c r="AP42" s="196"/>
      <c r="AQ42" s="196"/>
      <c r="AR42" s="196"/>
      <c r="AS42" s="196"/>
      <c r="AT42" s="196"/>
      <c r="AU42" s="196"/>
      <c r="AV42" s="196"/>
      <c r="AW42" s="196"/>
      <c r="AX42" s="196"/>
      <c r="AY42" s="196"/>
      <c r="AZ42" s="196"/>
      <c r="BA42" s="196"/>
      <c r="BB42" s="196"/>
      <c r="BC42" s="196"/>
      <c r="BD42" s="196"/>
      <c r="BE42" s="196"/>
      <c r="BF42" s="196"/>
      <c r="BG42" s="196"/>
      <c r="BH42" s="196"/>
      <c r="BI42" s="196"/>
      <c r="BJ42" s="196"/>
      <c r="BK42" s="196"/>
      <c r="BL42" s="483"/>
      <c r="BM42" s="483"/>
      <c r="BN42" s="483"/>
      <c r="BO42" s="483"/>
      <c r="BP42" s="483"/>
    </row>
    <row r="43" customFormat="false" ht="12.75" hidden="false" customHeight="true" outlineLevel="0" collapsed="false">
      <c r="A43" s="204"/>
      <c r="B43" s="204"/>
      <c r="C43" s="196"/>
      <c r="D43" s="196"/>
      <c r="E43" s="196"/>
      <c r="F43" s="196"/>
      <c r="G43" s="196"/>
      <c r="H43" s="196"/>
      <c r="I43" s="196"/>
      <c r="J43" s="196"/>
      <c r="K43" s="196"/>
      <c r="L43" s="196"/>
      <c r="M43" s="196"/>
      <c r="N43" s="196"/>
      <c r="P43" s="525"/>
      <c r="Q43" s="525"/>
      <c r="R43" s="525"/>
      <c r="S43" s="525"/>
      <c r="T43" s="525"/>
      <c r="U43" s="525"/>
      <c r="V43" s="525"/>
      <c r="W43" s="525"/>
      <c r="X43" s="525"/>
      <c r="Y43" s="525"/>
      <c r="Z43" s="525"/>
      <c r="AA43" s="525"/>
      <c r="AB43" s="525"/>
      <c r="AC43" s="525"/>
      <c r="AD43" s="525"/>
      <c r="AE43" s="525"/>
      <c r="AF43" s="525"/>
      <c r="AG43" s="525"/>
      <c r="AH43" s="525"/>
      <c r="AI43" s="525"/>
      <c r="AJ43" s="525"/>
      <c r="AK43" s="525"/>
      <c r="AL43" s="525"/>
      <c r="AM43" s="525"/>
      <c r="AN43" s="525"/>
      <c r="AO43" s="525"/>
      <c r="AP43" s="525"/>
      <c r="AQ43" s="525"/>
      <c r="AR43" s="525"/>
      <c r="AS43" s="525"/>
      <c r="AT43" s="525"/>
      <c r="AU43" s="525"/>
      <c r="AV43" s="525"/>
      <c r="AW43" s="525"/>
      <c r="AX43" s="525"/>
      <c r="AY43" s="525"/>
      <c r="AZ43" s="525"/>
      <c r="BA43" s="525"/>
      <c r="BB43" s="525"/>
      <c r="BC43" s="525"/>
      <c r="BD43" s="525"/>
      <c r="BE43" s="525"/>
      <c r="BF43" s="525"/>
      <c r="BG43" s="525"/>
      <c r="BH43" s="525"/>
      <c r="BI43" s="525"/>
      <c r="BJ43" s="525"/>
      <c r="BL43" s="196" t="n">
        <f aca="false">SUM(Revenue!BJ118)</f>
        <v>9796385.44344048</v>
      </c>
      <c r="BM43" s="196" t="n">
        <f aca="false">SUM(Revenue!BK118)</f>
        <v>63473726.2030143</v>
      </c>
      <c r="BN43" s="196" t="n">
        <f aca="false">SUM(Revenue!BL118)</f>
        <v>167140846.428</v>
      </c>
      <c r="BO43" s="196" t="n">
        <f aca="false">SUM(Revenue!BM118)</f>
        <v>181069250.297</v>
      </c>
      <c r="BP43" s="196" t="n">
        <f aca="false">SUM(Revenue!BN118)</f>
        <v>194997654.166</v>
      </c>
      <c r="BQ43" s="204" t="s">
        <v>1714</v>
      </c>
    </row>
    <row r="44" customFormat="false" ht="12.75" hidden="false" customHeight="true" outlineLevel="0" collapsed="false">
      <c r="BL44" s="242" t="n">
        <v>500000</v>
      </c>
      <c r="BM44" s="242" t="n">
        <v>500000</v>
      </c>
      <c r="BN44" s="242" t="n">
        <v>500000</v>
      </c>
      <c r="BO44" s="242" t="n">
        <v>500000</v>
      </c>
      <c r="BP44" s="242" t="n">
        <v>500000</v>
      </c>
      <c r="BQ44" s="22" t="s">
        <v>1715</v>
      </c>
    </row>
    <row r="45" customFormat="false" ht="12.75" hidden="false" customHeight="true" outlineLevel="0" collapsed="false">
      <c r="BL45" s="196" t="n">
        <f aca="false">BL43-BL44</f>
        <v>9296385.44344048</v>
      </c>
      <c r="BM45" s="196" t="n">
        <f aca="false">BM43-BM44</f>
        <v>62973726.2030143</v>
      </c>
      <c r="BN45" s="196" t="n">
        <f aca="false">BN43-BN44</f>
        <v>166640846.428</v>
      </c>
      <c r="BO45" s="196" t="n">
        <f aca="false">BO43-BO44</f>
        <v>180569250.297</v>
      </c>
      <c r="BP45" s="196" t="n">
        <f aca="false">BP43-BP44</f>
        <v>194497654.166</v>
      </c>
      <c r="BQ45" s="22" t="s">
        <v>201</v>
      </c>
    </row>
    <row r="46" customFormat="false" ht="12.75" hidden="false" customHeight="true" outlineLevel="0" collapsed="false">
      <c r="BL46" s="526" t="n">
        <f aca="false">BL43/BL44</f>
        <v>19.592770886881</v>
      </c>
      <c r="BM46" s="527" t="n">
        <f aca="false">BM43/BM44</f>
        <v>126.947452406029</v>
      </c>
      <c r="BN46" s="527" t="n">
        <f aca="false">BN43/BN44</f>
        <v>334.281692856</v>
      </c>
      <c r="BO46" s="527" t="n">
        <f aca="false">BO43/BO44</f>
        <v>362.138500594</v>
      </c>
      <c r="BP46" s="527" t="n">
        <f aca="false">BP43/BP44</f>
        <v>389.995308332</v>
      </c>
      <c r="BQ46" s="22" t="s">
        <v>1716</v>
      </c>
    </row>
    <row r="48" customFormat="false" ht="13.5" hidden="false" customHeight="true" outlineLevel="0" collapsed="false"/>
    <row r="49" customFormat="false" ht="13.5" hidden="false" customHeight="true" outlineLevel="0" collapsed="false">
      <c r="AY49" s="528"/>
    </row>
  </sheetData>
  <mergeCells count="26">
    <mergeCell ref="A2:C2"/>
    <mergeCell ref="A3:C3"/>
    <mergeCell ref="A4:C4"/>
    <mergeCell ref="A5:C5"/>
    <mergeCell ref="A6:C6"/>
    <mergeCell ref="A7:C7"/>
    <mergeCell ref="A8:C8"/>
    <mergeCell ref="A9:C9"/>
    <mergeCell ref="A10:C10"/>
    <mergeCell ref="A11:C11"/>
    <mergeCell ref="A12:C12"/>
    <mergeCell ref="A13:C13"/>
    <mergeCell ref="A14:C14"/>
    <mergeCell ref="A29:C29"/>
    <mergeCell ref="A30:C30"/>
    <mergeCell ref="A31:C31"/>
    <mergeCell ref="A32:C32"/>
    <mergeCell ref="A33:C33"/>
    <mergeCell ref="A34:C34"/>
    <mergeCell ref="A35:C35"/>
    <mergeCell ref="A36:C36"/>
    <mergeCell ref="A37:C37"/>
    <mergeCell ref="A38:C38"/>
    <mergeCell ref="A39:C39"/>
    <mergeCell ref="A40:C40"/>
    <mergeCell ref="A41:C41"/>
  </mergeCells>
  <conditionalFormatting sqref="BL45:BP45">
    <cfRule type="cellIs" priority="2" operator="greaterThan" aboveAverage="0" equalAverage="0" bottom="0" percent="0" rank="0" text="" dxfId="3">
      <formula>0</formula>
    </cfRule>
  </conditionalFormatting>
  <conditionalFormatting sqref="BL46:BP46">
    <cfRule type="cellIs" priority="3" operator="lessThan" aboveAverage="0" equalAverage="0" bottom="0" percent="0" rank="0" text="" dxfId="4">
      <formula>1</formula>
    </cfRule>
    <cfRule type="cellIs" priority="4" operator="greaterThanOrEqual" aboveAverage="0" equalAverage="0" bottom="0" percent="0" rank="0" text="" dxfId="5">
      <formula>1</formula>
    </cfRule>
  </conditionalFormatting>
  <dataValidations count="1">
    <dataValidation allowBlank="true" errorStyle="stop" operator="between" prompt="Select wage frequency from the drop-down box" showDropDown="false" showErrorMessage="true" showInputMessage="true" sqref="B17:B27" type="list">
      <formula1>$BT$14:$BT$18</formula1>
      <formula2>0</formula2>
    </dataValidation>
  </dataValidations>
  <printOptions headings="false" gridLines="false" gridLinesSet="true" horizontalCentered="false" verticalCentered="false"/>
  <pageMargins left="0.25" right="0.25" top="0.75" bottom="0.75" header="0.511811023622047" footer="0.511811023622047"/>
  <pageSetup paperSize="1" scale="100" fitToWidth="0" fitToHeight="1" pageOrder="downThenOver" orientation="landscape"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LibreOffice/25.2.3.2$Linux_X86_64 LibreOffice_project/520$Build-2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2026-06-11T19:21:51Z</dcterms:created>
  <dc:creator>openpyxl</dc:creator>
  <dc:description/>
  <dc:language>en-US</dc:language>
  <cp:lastModifiedBy/>
  <dcterms:modified xsi:type="dcterms:W3CDTF">2026-06-11T21:55:49Z</dcterms:modified>
  <cp:revision>9</cp:revision>
  <dc:subject/>
  <dc:title/>
</cp:coreProperties>
</file>

<file path=docProps/custom.xml><?xml version="1.0" encoding="utf-8"?>
<Properties xmlns="http://schemas.openxmlformats.org/officeDocument/2006/custom-properties" xmlns:vt="http://schemas.openxmlformats.org/officeDocument/2006/docPropsVTypes"/>
</file>